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Nasdaq" sheetId="2" r:id="rId5"/>
    <sheet state="visible" name="S&amp;P500" sheetId="3" r:id="rId6"/>
    <sheet state="visible" name="Russell2000" sheetId="4" r:id="rId7"/>
    <sheet state="visible" name="TheDow" sheetId="5" r:id="rId8"/>
  </sheets>
  <definedNames>
    <definedName hidden="1" localSheetId="1" name="_xlnm._FilterDatabase">Nasdaq!$A$3:$D$101</definedName>
    <definedName hidden="1" localSheetId="2" name="_xlnm._FilterDatabase">'S&amp;P500'!$A$3:$D$506</definedName>
    <definedName hidden="1" localSheetId="3" name="_xlnm._FilterDatabase">Russell2000!$A$3:$D$200</definedName>
    <definedName hidden="1" localSheetId="4" name="_xlnm._FilterDatabase">TheDow!$A$3:$D$33</definedName>
    <definedName hidden="1" localSheetId="3" name="Z_079970AE_96C8_4881_A886_EC4406253171_.wvu.FilterData">Russell2000!$A$3:$D$200</definedName>
  </definedNames>
  <calcPr/>
  <customWorkbookViews>
    <customWorkbookView activeSheetId="0" maximized="1" windowHeight="0" windowWidth="0" guid="{079970AE-96C8-4881-A886-EC4406253171}" name="Filter 1"/>
  </customWorkbookViews>
</workbook>
</file>

<file path=xl/sharedStrings.xml><?xml version="1.0" encoding="utf-8"?>
<sst xmlns="http://schemas.openxmlformats.org/spreadsheetml/2006/main" count="3756" uniqueCount="3464">
  <si>
    <t>Top 10 companies from each index</t>
  </si>
  <si>
    <t>Nasdaq</t>
  </si>
  <si>
    <t>S&amp;P 500</t>
  </si>
  <si>
    <t>rank</t>
  </si>
  <si>
    <t>Symbol</t>
  </si>
  <si>
    <t>Name</t>
  </si>
  <si>
    <t>Market Cap(Nov/03/2022)</t>
  </si>
  <si>
    <t>Defensibility</t>
  </si>
  <si>
    <t>MRNA</t>
  </si>
  <si>
    <t>Moderna, Inc.</t>
  </si>
  <si>
    <t>CPB</t>
  </si>
  <si>
    <t>Campbell Soup</t>
  </si>
  <si>
    <t>CLX</t>
  </si>
  <si>
    <t>Clorox</t>
  </si>
  <si>
    <t>GIS</t>
  </si>
  <si>
    <t>General Mills Inc</t>
  </si>
  <si>
    <t>EQT</t>
  </si>
  <si>
    <t>EQT Corporation</t>
  </si>
  <si>
    <t>INDEX(GOOGLEFINANCE($A5,"price",DATE(2008,9,4)),2,2)</t>
  </si>
  <si>
    <t>KMB</t>
  </si>
  <si>
    <t>Kimberly Clark Corp</t>
  </si>
  <si>
    <t>KR</t>
  </si>
  <si>
    <t>Kroger</t>
  </si>
  <si>
    <t>GILD</t>
  </si>
  <si>
    <t>Gilead Sciences Inc</t>
  </si>
  <si>
    <t>K</t>
  </si>
  <si>
    <t>Kellogg</t>
  </si>
  <si>
    <t>REGN</t>
  </si>
  <si>
    <t>Regeneron Pharmaceuticals Inc</t>
  </si>
  <si>
    <t>Russell 2000</t>
  </si>
  <si>
    <t>Dow Jones</t>
  </si>
  <si>
    <t>LANC</t>
  </si>
  <si>
    <t>Lancaster Colony Corp</t>
  </si>
  <si>
    <t>WMT</t>
  </si>
  <si>
    <t>Walmart Stores Inc</t>
  </si>
  <si>
    <t>FIZZ</t>
  </si>
  <si>
    <t>National Beverage Corp</t>
  </si>
  <si>
    <t>PG</t>
  </si>
  <si>
    <t>Procter &amp; Gamble</t>
  </si>
  <si>
    <t>AAON</t>
  </si>
  <si>
    <t>AAON, Inc.</t>
  </si>
  <si>
    <t>JNJ</t>
  </si>
  <si>
    <t>Johnson &amp; Johnson</t>
  </si>
  <si>
    <t>FCFS</t>
  </si>
  <si>
    <t>Firstcash Inc</t>
  </si>
  <si>
    <t>WBA</t>
  </si>
  <si>
    <t>Walgreen Boots Alliance Inc</t>
  </si>
  <si>
    <t>EXPO</t>
  </si>
  <si>
    <t>Exponent Inc</t>
  </si>
  <si>
    <t>VZ</t>
  </si>
  <si>
    <t>Verizon Communications Inc</t>
  </si>
  <si>
    <t>MUSA</t>
  </si>
  <si>
    <t>Murphy USA Inc.</t>
  </si>
  <si>
    <t>AMGN</t>
  </si>
  <si>
    <t>Amgen Inc</t>
  </si>
  <si>
    <t>ONB</t>
  </si>
  <si>
    <t>Old National Bancorp</t>
  </si>
  <si>
    <t>KO</t>
  </si>
  <si>
    <t>Coca-Cola</t>
  </si>
  <si>
    <t>TGNA</t>
  </si>
  <si>
    <t>Tegna Inc</t>
  </si>
  <si>
    <t>MRK</t>
  </si>
  <si>
    <t>Merck &amp; Co Inc</t>
  </si>
  <si>
    <t>COKE</t>
  </si>
  <si>
    <t>Coca Cola Bottling</t>
  </si>
  <si>
    <t>MMM</t>
  </si>
  <si>
    <t>3M</t>
  </si>
  <si>
    <t>AMN</t>
  </si>
  <si>
    <t>AMN Healthcare Services Inc</t>
  </si>
  <si>
    <t>MCD</t>
  </si>
  <si>
    <t>Mcdonalds Corp</t>
  </si>
  <si>
    <t>financial crisis of 2008(Lehman Brothers)</t>
  </si>
  <si>
    <t>flash crash in 2010</t>
  </si>
  <si>
    <t>August stock market fall 2011</t>
  </si>
  <si>
    <t>stock marekt selloff 2015-16</t>
  </si>
  <si>
    <t>covid stock market crash 2020</t>
  </si>
  <si>
    <t>2008</t>
  </si>
  <si>
    <t>2010</t>
  </si>
  <si>
    <t>2011</t>
  </si>
  <si>
    <t>2015</t>
  </si>
  <si>
    <t>2020</t>
  </si>
  <si>
    <t>Sep/14/2008(closing)</t>
  </si>
  <si>
    <t>Sep/15/2008(closing)</t>
  </si>
  <si>
    <t>May/05/2010(closing)</t>
  </si>
  <si>
    <t>May/06/2010(closing)</t>
  </si>
  <si>
    <t>Aug/07/2011(closing)</t>
  </si>
  <si>
    <t>Aug/08/2011(closing)</t>
  </si>
  <si>
    <t>Aug/23/2015(closing)</t>
  </si>
  <si>
    <t>Aug/24/2015(closing)</t>
  </si>
  <si>
    <t>Feb/19/2020(closing)</t>
  </si>
  <si>
    <t>Feb/20/2020(closing)</t>
  </si>
  <si>
    <t>ZM</t>
  </si>
  <si>
    <t>Zoom Video Communications, Inc.</t>
  </si>
  <si>
    <t>Gilead Sciences, Inc.</t>
  </si>
  <si>
    <t>Regeneron Pharmaceuticals, Inc.</t>
  </si>
  <si>
    <t>COST</t>
  </si>
  <si>
    <t>Costco Wholesale Corporation</t>
  </si>
  <si>
    <t>Walgreens Boots Alliance, Inc.</t>
  </si>
  <si>
    <t>Amgen Inc.</t>
  </si>
  <si>
    <t>PEP</t>
  </si>
  <si>
    <t>Pepsico, Inc.</t>
  </si>
  <si>
    <t>ATVI</t>
  </si>
  <si>
    <t>Activision Blizzard, Inc</t>
  </si>
  <si>
    <t>MDLZ</t>
  </si>
  <si>
    <t>Mondelez International, Inc.</t>
  </si>
  <si>
    <t>XEL</t>
  </si>
  <si>
    <t>Xcel Energy Inc.</t>
  </si>
  <si>
    <t>VRTX</t>
  </si>
  <si>
    <t>Vertex Pharmaceuticals Incorporated</t>
  </si>
  <si>
    <t>FAST</t>
  </si>
  <si>
    <t>Fastenal Company</t>
  </si>
  <si>
    <t>BIIB</t>
  </si>
  <si>
    <t>Biogen Inc.</t>
  </si>
  <si>
    <t>DLTR</t>
  </si>
  <si>
    <t>Dollar Tree, Inc.</t>
  </si>
  <si>
    <t>ORLY</t>
  </si>
  <si>
    <t>O'Reilly Automotive, Inc.</t>
  </si>
  <si>
    <t>IDXX</t>
  </si>
  <si>
    <t>IDEXX Laboratories, Inc.</t>
  </si>
  <si>
    <t>AEP</t>
  </si>
  <si>
    <t>American Electric Power Company, Inc.</t>
  </si>
  <si>
    <t>EBAY</t>
  </si>
  <si>
    <t>eBay Inc.</t>
  </si>
  <si>
    <t>AZN</t>
  </si>
  <si>
    <t>Astrazeneca PLC</t>
  </si>
  <si>
    <t>AMZN</t>
  </si>
  <si>
    <t>Amazon.com, Inc.</t>
  </si>
  <si>
    <t>FISV</t>
  </si>
  <si>
    <t>Fiserv, Inc.</t>
  </si>
  <si>
    <t>CMCSA</t>
  </si>
  <si>
    <t>Comcast Corporation</t>
  </si>
  <si>
    <t>KDP</t>
  </si>
  <si>
    <t>Keurig Dr Pepper Inc.</t>
  </si>
  <si>
    <t>PCAR</t>
  </si>
  <si>
    <t>PACCAR Inc.</t>
  </si>
  <si>
    <t>ODFL</t>
  </si>
  <si>
    <t>Old Dominion Freight Line, Inc.</t>
  </si>
  <si>
    <t>VRSK</t>
  </si>
  <si>
    <t>Verisk Analytics, Inc.</t>
  </si>
  <si>
    <t>SGEN</t>
  </si>
  <si>
    <t>Seagen Inc.</t>
  </si>
  <si>
    <t>MSFT</t>
  </si>
  <si>
    <t>Microsoft Corporation</t>
  </si>
  <si>
    <t>EA</t>
  </si>
  <si>
    <t>Electronic Arts Inc.</t>
  </si>
  <si>
    <t>TXN</t>
  </si>
  <si>
    <t>Texas Instruments Incorporated</t>
  </si>
  <si>
    <t>MNST</t>
  </si>
  <si>
    <t>Monster Beverage Corporation</t>
  </si>
  <si>
    <t>TMUS</t>
  </si>
  <si>
    <t>T-Mobile US, Inc.</t>
  </si>
  <si>
    <t>KLAC</t>
  </si>
  <si>
    <t>KLA Corporation</t>
  </si>
  <si>
    <t>INTU</t>
  </si>
  <si>
    <t>Intuit Inc.</t>
  </si>
  <si>
    <t>QCOM</t>
  </si>
  <si>
    <t>QUALCOMM Incorporated</t>
  </si>
  <si>
    <t>ILMN</t>
  </si>
  <si>
    <t>Illumina, Inc.</t>
  </si>
  <si>
    <t>NTES</t>
  </si>
  <si>
    <t>NetEase, Inc.</t>
  </si>
  <si>
    <t>ADI</t>
  </si>
  <si>
    <t>Analog Devices, Inc.</t>
  </si>
  <si>
    <t>VRSN</t>
  </si>
  <si>
    <t>VeriSign, Inc.</t>
  </si>
  <si>
    <t>ADBE</t>
  </si>
  <si>
    <t>Adobe Inc.</t>
  </si>
  <si>
    <t>HON</t>
  </si>
  <si>
    <t>Honeywell International Inc.</t>
  </si>
  <si>
    <t>CSCO</t>
  </si>
  <si>
    <t>Cisco Systems, Inc.</t>
  </si>
  <si>
    <t>NFLX</t>
  </si>
  <si>
    <t>Netflix, Inc.</t>
  </si>
  <si>
    <t>JD</t>
  </si>
  <si>
    <t>JD.com, Inc.</t>
  </si>
  <si>
    <t>ADP</t>
  </si>
  <si>
    <t>Automatic Data Processing, Inc.</t>
  </si>
  <si>
    <t>SNPS</t>
  </si>
  <si>
    <t>Synopsys, Inc.</t>
  </si>
  <si>
    <t>GOOGL</t>
  </si>
  <si>
    <t>Alphabet Inc.</t>
  </si>
  <si>
    <t>CPRT</t>
  </si>
  <si>
    <t>Copart, Inc.</t>
  </si>
  <si>
    <t>ANSS</t>
  </si>
  <si>
    <t>ANSYS, Inc.</t>
  </si>
  <si>
    <t>CTAS</t>
  </si>
  <si>
    <t>Cintas Corporation</t>
  </si>
  <si>
    <t>KHC</t>
  </si>
  <si>
    <t>The Kraft Heinz Company</t>
  </si>
  <si>
    <t>PDD</t>
  </si>
  <si>
    <t>Pinduoduo Inc.</t>
  </si>
  <si>
    <t>ASML</t>
  </si>
  <si>
    <t>ASML Holding N.V.</t>
  </si>
  <si>
    <t>INTC</t>
  </si>
  <si>
    <t>Intel Corporation</t>
  </si>
  <si>
    <t>AAPL</t>
  </si>
  <si>
    <t>Apple Inc.</t>
  </si>
  <si>
    <t>CHTR</t>
  </si>
  <si>
    <t>Charter Communications, Inc.</t>
  </si>
  <si>
    <t>SBUX</t>
  </si>
  <si>
    <t>Starbucks Corporation</t>
  </si>
  <si>
    <t>PAYX</t>
  </si>
  <si>
    <t>Paychex, Inc.</t>
  </si>
  <si>
    <t>ADSK</t>
  </si>
  <si>
    <t>Autodesk, Inc.</t>
  </si>
  <si>
    <t>MRVL</t>
  </si>
  <si>
    <t>Marvell Technology, Inc.</t>
  </si>
  <si>
    <t>BIDU</t>
  </si>
  <si>
    <t>Baidu, Inc.</t>
  </si>
  <si>
    <t>LRCX</t>
  </si>
  <si>
    <t>Lam Research Corporation</t>
  </si>
  <si>
    <t>CDNS</t>
  </si>
  <si>
    <t>Cadence Design Systems, Inc.</t>
  </si>
  <si>
    <t>ISRG</t>
  </si>
  <si>
    <t>Intuitive Surgical, Inc.</t>
  </si>
  <si>
    <t>DXCM</t>
  </si>
  <si>
    <t>DexCom, Inc.</t>
  </si>
  <si>
    <t>MELI</t>
  </si>
  <si>
    <t>MercadoLibre, Inc.</t>
  </si>
  <si>
    <t>AMAT</t>
  </si>
  <si>
    <t>Applied Materials, Inc.</t>
  </si>
  <si>
    <t>CSX</t>
  </si>
  <si>
    <t>CSX Corporation</t>
  </si>
  <si>
    <t>AMD</t>
  </si>
  <si>
    <t>Advanced Micro Devices, Inc.</t>
  </si>
  <si>
    <t>PYPL</t>
  </si>
  <si>
    <t>PayPal Holdings, Inc.</t>
  </si>
  <si>
    <t>EXC</t>
  </si>
  <si>
    <t>Exelon Corporation</t>
  </si>
  <si>
    <t>ALGN</t>
  </si>
  <si>
    <t>Align Technology, Inc.</t>
  </si>
  <si>
    <t>ROST</t>
  </si>
  <si>
    <t>Ross Stores, Inc.</t>
  </si>
  <si>
    <t>MU</t>
  </si>
  <si>
    <t>Micron Technology, Inc.</t>
  </si>
  <si>
    <t>CTSH</t>
  </si>
  <si>
    <t>Cognizant Technology Solutions Corporation</t>
  </si>
  <si>
    <t>MAR</t>
  </si>
  <si>
    <t>Marriott International</t>
  </si>
  <si>
    <t>NVDA</t>
  </si>
  <si>
    <t>NVIDIA Corporation</t>
  </si>
  <si>
    <t>BKNG</t>
  </si>
  <si>
    <t>Booking Holdings Inc.</t>
  </si>
  <si>
    <t>FTNT</t>
  </si>
  <si>
    <t>Fortinet, Inc.</t>
  </si>
  <si>
    <t>AVGO</t>
  </si>
  <si>
    <t>Broadcom Inc.</t>
  </si>
  <si>
    <t>LULU</t>
  </si>
  <si>
    <t>lululemon athletica inc.</t>
  </si>
  <si>
    <t>MCHP</t>
  </si>
  <si>
    <t>Microchip Technology Incorporated</t>
  </si>
  <si>
    <t>SWKS</t>
  </si>
  <si>
    <t>Skyworks Solutions, Inc.</t>
  </si>
  <si>
    <t>GOOG</t>
  </si>
  <si>
    <t>NXPI</t>
  </si>
  <si>
    <t>NXP Semiconductors N.V.</t>
  </si>
  <si>
    <t>DOCU</t>
  </si>
  <si>
    <t>DocuSign, Inc.</t>
  </si>
  <si>
    <t>SIRI</t>
  </si>
  <si>
    <t>Sirius XM Holdings Inc.</t>
  </si>
  <si>
    <t>META</t>
  </si>
  <si>
    <t>Meta Platforms, Inc.</t>
  </si>
  <si>
    <t>TEAM</t>
  </si>
  <si>
    <t>Atlassian Corporation</t>
  </si>
  <si>
    <t>TSLA</t>
  </si>
  <si>
    <t>Tesla, Inc.</t>
  </si>
  <si>
    <t>WDAY</t>
  </si>
  <si>
    <t>Workday, Inc.</t>
  </si>
  <si>
    <t>PANW</t>
  </si>
  <si>
    <t>Palo Alto Networks, Inc.</t>
  </si>
  <si>
    <t>SPLK</t>
  </si>
  <si>
    <t>Splunk Inc.</t>
  </si>
  <si>
    <t>OKTA</t>
  </si>
  <si>
    <t>Okta, Inc.</t>
  </si>
  <si>
    <t>ZS</t>
  </si>
  <si>
    <t>Zscaler, Inc.</t>
  </si>
  <si>
    <t>DDOG</t>
  </si>
  <si>
    <t>Datadog, Inc.</t>
  </si>
  <si>
    <t>CRWD</t>
  </si>
  <si>
    <t>CrowdStrike Holdings, Inc.</t>
  </si>
  <si>
    <t>Description</t>
  </si>
  <si>
    <t>Market cap</t>
  </si>
  <si>
    <t>CARR</t>
  </si>
  <si>
    <t>Carrier Global Corporation</t>
  </si>
  <si>
    <t>WBD</t>
  </si>
  <si>
    <t>Warner Bros. Discovery, Inc. - Series A</t>
  </si>
  <si>
    <t>CEG</t>
  </si>
  <si>
    <t>Constellation Energy Corporation</t>
  </si>
  <si>
    <t>OTIS</t>
  </si>
  <si>
    <t>Otis Worldwide Corporation</t>
  </si>
  <si>
    <t>VTRS</t>
  </si>
  <si>
    <t>Viatris Inc.</t>
  </si>
  <si>
    <t>MTCH</t>
  </si>
  <si>
    <t>Match Group Inc</t>
  </si>
  <si>
    <t>OGN</t>
  </si>
  <si>
    <t>Organon &amp; Co.</t>
  </si>
  <si>
    <t>SJM</t>
  </si>
  <si>
    <t>J.M. Smucker</t>
  </si>
  <si>
    <t>HRL</t>
  </si>
  <si>
    <t>Hormel Foods Corp</t>
  </si>
  <si>
    <t>LLY</t>
  </si>
  <si>
    <t>Eli Lilly</t>
  </si>
  <si>
    <t>CAG</t>
  </si>
  <si>
    <t>Conagra Brands Inc</t>
  </si>
  <si>
    <t>ED</t>
  </si>
  <si>
    <t>Consolidated Edison Inc</t>
  </si>
  <si>
    <t>NEM</t>
  </si>
  <si>
    <t>Newmont Corporation</t>
  </si>
  <si>
    <t>CHRW</t>
  </si>
  <si>
    <t>C.H. Robinson Worldwide, Inc.</t>
  </si>
  <si>
    <t>Costco Wholesale Corp</t>
  </si>
  <si>
    <t>HSY</t>
  </si>
  <si>
    <t>Hershey Foods</t>
  </si>
  <si>
    <t>DLR</t>
  </si>
  <si>
    <t>Digital Realty Trust, Inc</t>
  </si>
  <si>
    <t>MO</t>
  </si>
  <si>
    <t>Altria Group Inc</t>
  </si>
  <si>
    <t>BDX</t>
  </si>
  <si>
    <t>Becton Dickinson</t>
  </si>
  <si>
    <t>WEC</t>
  </si>
  <si>
    <t>WEC Energy Group Inc</t>
  </si>
  <si>
    <t>ROL</t>
  </si>
  <si>
    <t>Rollins Inc</t>
  </si>
  <si>
    <t>CL</t>
  </si>
  <si>
    <t>Colgate-Palmolive</t>
  </si>
  <si>
    <t>ABC</t>
  </si>
  <si>
    <t>AmerisourceBergen Corp</t>
  </si>
  <si>
    <t>Pepsico Inc</t>
  </si>
  <si>
    <t>DVA</t>
  </si>
  <si>
    <t>Davita Inc</t>
  </si>
  <si>
    <t>JKHY</t>
  </si>
  <si>
    <t>Jack Henry &amp; Associates, Inc.</t>
  </si>
  <si>
    <t>Activision Blizzard Inc</t>
  </si>
  <si>
    <t>Mondelez International Inc</t>
  </si>
  <si>
    <t>ABT</t>
  </si>
  <si>
    <t>Abbott Laboratories</t>
  </si>
  <si>
    <t>CHD</t>
  </si>
  <si>
    <t>Church And Dwight Inc</t>
  </si>
  <si>
    <t>ECL</t>
  </si>
  <si>
    <t>Ecolab Inc</t>
  </si>
  <si>
    <t>PFE</t>
  </si>
  <si>
    <t>Pfizer Inc</t>
  </si>
  <si>
    <t>TGT</t>
  </si>
  <si>
    <t>Target Corp</t>
  </si>
  <si>
    <t>UPS</t>
  </si>
  <si>
    <t>United Parcel Service Inc Class B</t>
  </si>
  <si>
    <t>Xcel Energy Inc</t>
  </si>
  <si>
    <t>DG</t>
  </si>
  <si>
    <t>Dollar General Corp</t>
  </si>
  <si>
    <t>T</t>
  </si>
  <si>
    <t>AT&amp;T Inc.</t>
  </si>
  <si>
    <t>AOS</t>
  </si>
  <si>
    <t>A O Smith Corp</t>
  </si>
  <si>
    <t>EXPD</t>
  </si>
  <si>
    <t>Expeditors International Of Washington</t>
  </si>
  <si>
    <t>PGR</t>
  </si>
  <si>
    <t>Progressive Corp</t>
  </si>
  <si>
    <t>CTRA</t>
  </si>
  <si>
    <t>Coterra Energy Inc.</t>
  </si>
  <si>
    <t>AZO</t>
  </si>
  <si>
    <t>Autozone Inc</t>
  </si>
  <si>
    <t>AWK</t>
  </si>
  <si>
    <t>American Water Works Inc</t>
  </si>
  <si>
    <t>BMY</t>
  </si>
  <si>
    <t>Bristol Myers Squibb</t>
  </si>
  <si>
    <t>Vertex Pharmaceuticals Inc</t>
  </si>
  <si>
    <t>Fastenal</t>
  </si>
  <si>
    <t>PM</t>
  </si>
  <si>
    <t>Philip Morris International Inc</t>
  </si>
  <si>
    <t>EFX</t>
  </si>
  <si>
    <t>Equifax Inc</t>
  </si>
  <si>
    <t>Biogen Inc</t>
  </si>
  <si>
    <t>TMO</t>
  </si>
  <si>
    <t>Thermo Fisher Scientific Inc</t>
  </si>
  <si>
    <t>BRK.B</t>
  </si>
  <si>
    <t>Berkshire Hathaway Inc. Class B</t>
  </si>
  <si>
    <t>CMS</t>
  </si>
  <si>
    <t>CMS Energy Corp</t>
  </si>
  <si>
    <t>Dollar Tree Inc</t>
  </si>
  <si>
    <t>DUK</t>
  </si>
  <si>
    <t>Duke Energy Corp</t>
  </si>
  <si>
    <t>ABMD</t>
  </si>
  <si>
    <t>Abiomed Inc</t>
  </si>
  <si>
    <t>BAX</t>
  </si>
  <si>
    <t>Baxter International Inc</t>
  </si>
  <si>
    <t>ES</t>
  </si>
  <si>
    <t>Eversource Energy</t>
  </si>
  <si>
    <t>TAP</t>
  </si>
  <si>
    <t>Molson Coors Brewing Class B</t>
  </si>
  <si>
    <t>DPZ</t>
  </si>
  <si>
    <t>Dominos Pizza Inc</t>
  </si>
  <si>
    <t>Oreilly Automotive Inc</t>
  </si>
  <si>
    <t>WM</t>
  </si>
  <si>
    <t>Waste Management Inc</t>
  </si>
  <si>
    <t>MTD</t>
  </si>
  <si>
    <t>Mettler Toledo Inc</t>
  </si>
  <si>
    <t>RMD</t>
  </si>
  <si>
    <t>Resmed Inc</t>
  </si>
  <si>
    <t>Idexx Laboratories Inc</t>
  </si>
  <si>
    <t>D</t>
  </si>
  <si>
    <t>Dominion Energy Inc</t>
  </si>
  <si>
    <t>TYL</t>
  </si>
  <si>
    <t>Tyler Technologies Inc</t>
  </si>
  <si>
    <t>TECH</t>
  </si>
  <si>
    <t>Bio-Techne Corp</t>
  </si>
  <si>
    <t>WST</t>
  </si>
  <si>
    <t>West Pharmaceutical Services Inc</t>
  </si>
  <si>
    <t>DGX</t>
  </si>
  <si>
    <t>Quest Diagnostics Inc</t>
  </si>
  <si>
    <t>JNPR</t>
  </si>
  <si>
    <t>Juniper Networks Inc</t>
  </si>
  <si>
    <t>CCI</t>
  </si>
  <si>
    <t>Crown Castle International Corp.</t>
  </si>
  <si>
    <t>American Electric Power Inc</t>
  </si>
  <si>
    <t>AMT</t>
  </si>
  <si>
    <t>American Tower Corporation</t>
  </si>
  <si>
    <t>NLOK</t>
  </si>
  <si>
    <t>NortonLifeLock Inc.</t>
  </si>
  <si>
    <t>MKC</t>
  </si>
  <si>
    <t>McCormick &amp; Co  Non-voting</t>
  </si>
  <si>
    <t>ATO</t>
  </si>
  <si>
    <t>Atmos Energy Corp</t>
  </si>
  <si>
    <t>CNC</t>
  </si>
  <si>
    <t>Centene Corp</t>
  </si>
  <si>
    <t>SBAC</t>
  </si>
  <si>
    <t>SBA Communications Corporation</t>
  </si>
  <si>
    <t>MOH</t>
  </si>
  <si>
    <t>Molina Healthcare Inc</t>
  </si>
  <si>
    <t>ITW</t>
  </si>
  <si>
    <t>Illinois Tool Inc</t>
  </si>
  <si>
    <t>Ebay Inc</t>
  </si>
  <si>
    <t>HUM</t>
  </si>
  <si>
    <t>Humana Inc</t>
  </si>
  <si>
    <t>FIS</t>
  </si>
  <si>
    <t>Fidelity National Information Services</t>
  </si>
  <si>
    <t>AEE</t>
  </si>
  <si>
    <t>Ameren Corp</t>
  </si>
  <si>
    <t>Amazon.Com Inc.</t>
  </si>
  <si>
    <t>MCK</t>
  </si>
  <si>
    <t>Mckesson Corp</t>
  </si>
  <si>
    <t>CAH</t>
  </si>
  <si>
    <t>Cardinal Health Inc</t>
  </si>
  <si>
    <t>BIO</t>
  </si>
  <si>
    <t>Bio Rad Laboratories Inc Class A</t>
  </si>
  <si>
    <t>Fiserv Inc</t>
  </si>
  <si>
    <t>LNT</t>
  </si>
  <si>
    <t>Alliant Energy Corp</t>
  </si>
  <si>
    <t>Comcast A Corp</t>
  </si>
  <si>
    <t>DHR</t>
  </si>
  <si>
    <t>Danaher Corp</t>
  </si>
  <si>
    <t>BALL</t>
  </si>
  <si>
    <t>Ball Corporation</t>
  </si>
  <si>
    <t>BR</t>
  </si>
  <si>
    <t>Broadridge Financial Solutions Inc</t>
  </si>
  <si>
    <t>Paccar Inc</t>
  </si>
  <si>
    <t>CVS</t>
  </si>
  <si>
    <t>CVS Health Corp</t>
  </si>
  <si>
    <t>BRO</t>
  </si>
  <si>
    <t>Brown &amp; Brown Inc</t>
  </si>
  <si>
    <t>PKG</t>
  </si>
  <si>
    <t>Packaging Corp Of America</t>
  </si>
  <si>
    <t>BF.B</t>
  </si>
  <si>
    <t>Brown Forman Inc Class B</t>
  </si>
  <si>
    <t>TFX</t>
  </si>
  <si>
    <t>Teleflex Inc</t>
  </si>
  <si>
    <t>WAT</t>
  </si>
  <si>
    <t>Waters Corp</t>
  </si>
  <si>
    <t>GWW</t>
  </si>
  <si>
    <t>W.W. Grainger Inc</t>
  </si>
  <si>
    <t>Old Dominion Freight Line Inc</t>
  </si>
  <si>
    <t>Verisk Analytics Inc</t>
  </si>
  <si>
    <t>UNH</t>
  </si>
  <si>
    <t>Unitedhealth Group Inc</t>
  </si>
  <si>
    <t>NOC</t>
  </si>
  <si>
    <t>Northrop Grumman Corp</t>
  </si>
  <si>
    <t>SHW</t>
  </si>
  <si>
    <t>Sherwin Williams</t>
  </si>
  <si>
    <t>ELV</t>
  </si>
  <si>
    <t>Elevance Health, Inc.</t>
  </si>
  <si>
    <t>LUMN</t>
  </si>
  <si>
    <t>CenturyLink, Inc.</t>
  </si>
  <si>
    <t>PSA</t>
  </si>
  <si>
    <t>Public Storage</t>
  </si>
  <si>
    <t>RSG</t>
  </si>
  <si>
    <t>Republic Services Inc</t>
  </si>
  <si>
    <t>Microsoft Corp</t>
  </si>
  <si>
    <t>INCY</t>
  </si>
  <si>
    <t>Incyte Corp</t>
  </si>
  <si>
    <t>GPC</t>
  </si>
  <si>
    <t>Genuine Parts</t>
  </si>
  <si>
    <t>Electronic Arts Inc</t>
  </si>
  <si>
    <t>SO</t>
  </si>
  <si>
    <t>Southern Co</t>
  </si>
  <si>
    <t>EQIX</t>
  </si>
  <si>
    <t>Equinix, Inc.</t>
  </si>
  <si>
    <t>IFF</t>
  </si>
  <si>
    <t>International Flavors &amp; Fragrances</t>
  </si>
  <si>
    <t>KEYS</t>
  </si>
  <si>
    <t>Keysight Technologies Inc</t>
  </si>
  <si>
    <t>Texas Instrument Inc</t>
  </si>
  <si>
    <t>AON</t>
  </si>
  <si>
    <t>Aon Plc</t>
  </si>
  <si>
    <t>WTW</t>
  </si>
  <si>
    <t>Willis Towers Watson Public Limited Company</t>
  </si>
  <si>
    <t>ADM</t>
  </si>
  <si>
    <t>Archer-Daniels-Midland Company</t>
  </si>
  <si>
    <t>PWR</t>
  </si>
  <si>
    <t>Quanta Services Inc</t>
  </si>
  <si>
    <t>ROP</t>
  </si>
  <si>
    <t>Roper Technologies Inc</t>
  </si>
  <si>
    <t>NTAP</t>
  </si>
  <si>
    <t>NetApp Inc</t>
  </si>
  <si>
    <t>Monster Beverage Corp</t>
  </si>
  <si>
    <t>T Mobile US Inc</t>
  </si>
  <si>
    <t>KLA-Tencor Corporation</t>
  </si>
  <si>
    <t>STE</t>
  </si>
  <si>
    <t>STERIS PLC</t>
  </si>
  <si>
    <t>CME</t>
  </si>
  <si>
    <t>CME Group Inc Class A</t>
  </si>
  <si>
    <t>NEE</t>
  </si>
  <si>
    <t>Nextera Energy Inc</t>
  </si>
  <si>
    <t>LIN</t>
  </si>
  <si>
    <t>Linde Plc</t>
  </si>
  <si>
    <t>AKAM</t>
  </si>
  <si>
    <t>Akamai Technologies Inc</t>
  </si>
  <si>
    <t>AJG</t>
  </si>
  <si>
    <t>Arthur J Gallagher</t>
  </si>
  <si>
    <t>GRMN</t>
  </si>
  <si>
    <t>Garmin Ltd</t>
  </si>
  <si>
    <t>Intuit Inc</t>
  </si>
  <si>
    <t>HSIC</t>
  </si>
  <si>
    <t>Henry Schein Inc</t>
  </si>
  <si>
    <t>Qualcomm Inc</t>
  </si>
  <si>
    <t>Illumina Inc</t>
  </si>
  <si>
    <t>CMI</t>
  </si>
  <si>
    <t>Cummins Inc</t>
  </si>
  <si>
    <t>V</t>
  </si>
  <si>
    <t>Visa Inc Class A</t>
  </si>
  <si>
    <t>ORCL</t>
  </si>
  <si>
    <t>Oracle Corp</t>
  </si>
  <si>
    <t>EW</t>
  </si>
  <si>
    <t>Edwards Lifesciences Corp</t>
  </si>
  <si>
    <t>Analog Devices Inc</t>
  </si>
  <si>
    <t>CSGP</t>
  </si>
  <si>
    <t>Costar Group Inc</t>
  </si>
  <si>
    <t>ICE</t>
  </si>
  <si>
    <t>Intercontinental Exchange Inc</t>
  </si>
  <si>
    <t>Verisign Inc</t>
  </si>
  <si>
    <t>RHI</t>
  </si>
  <si>
    <t>Robert Half</t>
  </si>
  <si>
    <t>MMC</t>
  </si>
  <si>
    <t>Marsh &amp; McLennan Inc</t>
  </si>
  <si>
    <t>MKTX</t>
  </si>
  <si>
    <t>Marketaxess Holdings Inc</t>
  </si>
  <si>
    <t>PNW</t>
  </si>
  <si>
    <t>Pinnacle West Corp</t>
  </si>
  <si>
    <t>Adobe Inc</t>
  </si>
  <si>
    <t>Honeywell International Inc</t>
  </si>
  <si>
    <t>JCI</t>
  </si>
  <si>
    <t>Johnson Controls International Plc</t>
  </si>
  <si>
    <t>Cisco Systems Inc</t>
  </si>
  <si>
    <t>Netflix Inc</t>
  </si>
  <si>
    <t>FFIV</t>
  </si>
  <si>
    <t>F5 Networks Inc</t>
  </si>
  <si>
    <t>MSCI</t>
  </si>
  <si>
    <t>MSCI Inc</t>
  </si>
  <si>
    <t>Automatic Data Processing Inc</t>
  </si>
  <si>
    <t>COO</t>
  </si>
  <si>
    <t>Cooper Companies, Inc.</t>
  </si>
  <si>
    <t>DE</t>
  </si>
  <si>
    <t>Deere &amp; Company</t>
  </si>
  <si>
    <t>ALL</t>
  </si>
  <si>
    <t>Allstate Corp</t>
  </si>
  <si>
    <t>JBHT</t>
  </si>
  <si>
    <t>JB Hunt Transport Services Inc</t>
  </si>
  <si>
    <t>POOL</t>
  </si>
  <si>
    <t>Pool Corp</t>
  </si>
  <si>
    <t>Synopsys Inc</t>
  </si>
  <si>
    <t>APD</t>
  </si>
  <si>
    <t>Air Products And Chemicals Inc</t>
  </si>
  <si>
    <t>Alphabet Inc Class A</t>
  </si>
  <si>
    <t>EL</t>
  </si>
  <si>
    <t>Estee Lauder Inc Class A</t>
  </si>
  <si>
    <t>YUM</t>
  </si>
  <si>
    <t>Yum Brands Inc</t>
  </si>
  <si>
    <t>Copart Inc</t>
  </si>
  <si>
    <t>Ansys Inc</t>
  </si>
  <si>
    <t>MSI</t>
  </si>
  <si>
    <t>Motorola Solutions Inc</t>
  </si>
  <si>
    <t>OMC</t>
  </si>
  <si>
    <t>Omnicom Group Inc</t>
  </si>
  <si>
    <t>STX</t>
  </si>
  <si>
    <t>Seagate Technology Plc</t>
  </si>
  <si>
    <t>EXR</t>
  </si>
  <si>
    <t>Extra Space Storage Inc</t>
  </si>
  <si>
    <t>EVRG</t>
  </si>
  <si>
    <t>Evergy Inc</t>
  </si>
  <si>
    <t>BSX</t>
  </si>
  <si>
    <t>Boston Scientific Corp</t>
  </si>
  <si>
    <t>Cintas Corp</t>
  </si>
  <si>
    <t>HD</t>
  </si>
  <si>
    <t>Home Depot Inc</t>
  </si>
  <si>
    <t>Kraft Heinz</t>
  </si>
  <si>
    <t>NI</t>
  </si>
  <si>
    <t>Nisource Inc</t>
  </si>
  <si>
    <t>REG</t>
  </si>
  <si>
    <t>Regency Centers Corporation</t>
  </si>
  <si>
    <t>MDT</t>
  </si>
  <si>
    <t>Medtronic Plc</t>
  </si>
  <si>
    <t>LUV</t>
  </si>
  <si>
    <t>Southwest Airlines</t>
  </si>
  <si>
    <t>ROK</t>
  </si>
  <si>
    <t>Rockwell Automation Inc</t>
  </si>
  <si>
    <t>FDS</t>
  </si>
  <si>
    <t>Factset Research Systems Inc</t>
  </si>
  <si>
    <t>IBM</t>
  </si>
  <si>
    <t>International Business Machines Co</t>
  </si>
  <si>
    <t>SNA</t>
  </si>
  <si>
    <t>Snap On Inc</t>
  </si>
  <si>
    <t>DIS</t>
  </si>
  <si>
    <t>Walt Disney</t>
  </si>
  <si>
    <t>PPG</t>
  </si>
  <si>
    <t>PPG Industries Inc</t>
  </si>
  <si>
    <t>MAA</t>
  </si>
  <si>
    <t>Mid-America Apartment Communities, Inc</t>
  </si>
  <si>
    <t>PEG</t>
  </si>
  <si>
    <t>Public Service Enterprise Group Inc</t>
  </si>
  <si>
    <t>ETN</t>
  </si>
  <si>
    <t>Eaton Corporation, PLC</t>
  </si>
  <si>
    <t>SPGI</t>
  </si>
  <si>
    <t>S&amp;P Global Inc</t>
  </si>
  <si>
    <t>EQR</t>
  </si>
  <si>
    <t>Equity Residential</t>
  </si>
  <si>
    <t>GNRC</t>
  </si>
  <si>
    <t>Generac Holdings Inc</t>
  </si>
  <si>
    <t>AVB</t>
  </si>
  <si>
    <t>AvalonBay Communities, Inc</t>
  </si>
  <si>
    <t>IP</t>
  </si>
  <si>
    <t>International Paper</t>
  </si>
  <si>
    <t>J</t>
  </si>
  <si>
    <t>Jacobs Engineering Group Inc.</t>
  </si>
  <si>
    <t>Intel Corporation Corp</t>
  </si>
  <si>
    <t>Apple Inc</t>
  </si>
  <si>
    <t>UDR</t>
  </si>
  <si>
    <t>UDR, Inc</t>
  </si>
  <si>
    <t>ZBRA</t>
  </si>
  <si>
    <t>Zebra Technologies Corp</t>
  </si>
  <si>
    <t>SBNY</t>
  </si>
  <si>
    <t>Signature Bank</t>
  </si>
  <si>
    <t>ACN</t>
  </si>
  <si>
    <t>Accenture Plc Class A</t>
  </si>
  <si>
    <t>IRM</t>
  </si>
  <si>
    <t>Iron Mountain Incorporated</t>
  </si>
  <si>
    <t>A</t>
  </si>
  <si>
    <t>Agilent Technologies Inc</t>
  </si>
  <si>
    <t>PKI</t>
  </si>
  <si>
    <t>Perkinelmer Inc</t>
  </si>
  <si>
    <t>VMC</t>
  </si>
  <si>
    <t>Vulcan Materials</t>
  </si>
  <si>
    <t>UNP</t>
  </si>
  <si>
    <t>Union Pacific Corp</t>
  </si>
  <si>
    <t>PPL</t>
  </si>
  <si>
    <t>PPL Corporation</t>
  </si>
  <si>
    <t>GD</t>
  </si>
  <si>
    <t>General Dynamics Corp</t>
  </si>
  <si>
    <t>LMT</t>
  </si>
  <si>
    <t>Lockheed Martin Corp</t>
  </si>
  <si>
    <t>AAP</t>
  </si>
  <si>
    <t>Advance Auto Parts Inc</t>
  </si>
  <si>
    <t>CI</t>
  </si>
  <si>
    <t>Cigna Corp</t>
  </si>
  <si>
    <t>Charter Communications Inc Class A</t>
  </si>
  <si>
    <t>FMC</t>
  </si>
  <si>
    <t>FMC Corp</t>
  </si>
  <si>
    <t>FRT</t>
  </si>
  <si>
    <t>Federal Realty Investment Trust</t>
  </si>
  <si>
    <t>MAS</t>
  </si>
  <si>
    <t>Masco Corp</t>
  </si>
  <si>
    <t>LH</t>
  </si>
  <si>
    <t>Laboratory Corporation Of America</t>
  </si>
  <si>
    <t>NKE</t>
  </si>
  <si>
    <t>Nike Inc Class B</t>
  </si>
  <si>
    <t>TSCO</t>
  </si>
  <si>
    <t>Tractor Supply</t>
  </si>
  <si>
    <t>VFC</t>
  </si>
  <si>
    <t>VF Corp</t>
  </si>
  <si>
    <t>ESS</t>
  </si>
  <si>
    <t>Essex Property Trust, Inc</t>
  </si>
  <si>
    <t>TROW</t>
  </si>
  <si>
    <t>T Rowe Price Group Inc</t>
  </si>
  <si>
    <t>CINF</t>
  </si>
  <si>
    <t>Cincinnati Financial Corp</t>
  </si>
  <si>
    <t>APH</t>
  </si>
  <si>
    <t>Amphenol Corp</t>
  </si>
  <si>
    <t>NDAQ</t>
  </si>
  <si>
    <t>Nasdaq Inc</t>
  </si>
  <si>
    <t>Starbucks Corp</t>
  </si>
  <si>
    <t>TJX</t>
  </si>
  <si>
    <t>TJX Companies, Inc.</t>
  </si>
  <si>
    <t>AVY</t>
  </si>
  <si>
    <t>Avery Dennison Corp</t>
  </si>
  <si>
    <t>FE</t>
  </si>
  <si>
    <t>Firstenergy Corp</t>
  </si>
  <si>
    <t>TTWO</t>
  </si>
  <si>
    <t>Take Two Interactive Software Inc</t>
  </si>
  <si>
    <t>BK</t>
  </si>
  <si>
    <t>Bank Of New York Mellon Corp</t>
  </si>
  <si>
    <t>CAT</t>
  </si>
  <si>
    <t>Caterpillar Inc</t>
  </si>
  <si>
    <t>LDOS</t>
  </si>
  <si>
    <t>Leidos Holdings Inc</t>
  </si>
  <si>
    <t>O</t>
  </si>
  <si>
    <t>Realty Income Corporation</t>
  </si>
  <si>
    <t>Paychex Inc</t>
  </si>
  <si>
    <t>PNR</t>
  </si>
  <si>
    <t>Pentair</t>
  </si>
  <si>
    <t>Autodesk Inc</t>
  </si>
  <si>
    <t>TRV</t>
  </si>
  <si>
    <t>Travelers Companies Inc</t>
  </si>
  <si>
    <t>HPQ</t>
  </si>
  <si>
    <t>HP Inc</t>
  </si>
  <si>
    <t>GPN</t>
  </si>
  <si>
    <t>Global Payments Inc</t>
  </si>
  <si>
    <t>MA</t>
  </si>
  <si>
    <t>Mastercard Inc Class A</t>
  </si>
  <si>
    <t>CB</t>
  </si>
  <si>
    <t>Chubb Ltd</t>
  </si>
  <si>
    <t>TER</t>
  </si>
  <si>
    <t>Teradyne Inc</t>
  </si>
  <si>
    <t>ABBV</t>
  </si>
  <si>
    <t>Abbvie Inc</t>
  </si>
  <si>
    <t>SYK</t>
  </si>
  <si>
    <t>Stryker Corp</t>
  </si>
  <si>
    <t>SEDG</t>
  </si>
  <si>
    <t>SolarEdge Technologies Inc</t>
  </si>
  <si>
    <t>ETR</t>
  </si>
  <si>
    <t>Entergy Corp</t>
  </si>
  <si>
    <t>ARE</t>
  </si>
  <si>
    <t>Alexandria Real Estate Equities, Inc</t>
  </si>
  <si>
    <t>TDY</t>
  </si>
  <si>
    <t>Teledyne Technologies Inc</t>
  </si>
  <si>
    <t>MLM</t>
  </si>
  <si>
    <t>Martin Marietta Materials Inc</t>
  </si>
  <si>
    <t>Lam Research Corp</t>
  </si>
  <si>
    <t>RJF</t>
  </si>
  <si>
    <t>Raymond James Inc</t>
  </si>
  <si>
    <t>EMR</t>
  </si>
  <si>
    <t>Emerson Electric</t>
  </si>
  <si>
    <t>Cadence Design Systems Inc</t>
  </si>
  <si>
    <t>Intuitive Surgical Inc</t>
  </si>
  <si>
    <t>NTRS</t>
  </si>
  <si>
    <t>Northern Trust Corporation</t>
  </si>
  <si>
    <t>RE</t>
  </si>
  <si>
    <t>Everest Re Group Ltd</t>
  </si>
  <si>
    <t>NUE</t>
  </si>
  <si>
    <t>Nucor Corp</t>
  </si>
  <si>
    <t>GLW</t>
  </si>
  <si>
    <t>Corning Inc</t>
  </si>
  <si>
    <t>DTE</t>
  </si>
  <si>
    <t>DTE Energy</t>
  </si>
  <si>
    <t>Dexcom Inc</t>
  </si>
  <si>
    <t>JPM</t>
  </si>
  <si>
    <t>JP Morgan Chase &amp; Co</t>
  </si>
  <si>
    <t>CRM</t>
  </si>
  <si>
    <t>Salesforce.Com Inc</t>
  </si>
  <si>
    <t>CVX</t>
  </si>
  <si>
    <t>Chevron Corp</t>
  </si>
  <si>
    <t>ETSY</t>
  </si>
  <si>
    <t>Etsy Inc</t>
  </si>
  <si>
    <t>STT</t>
  </si>
  <si>
    <t>State Street Corp</t>
  </si>
  <si>
    <t>LHX</t>
  </si>
  <si>
    <t>L3Harris Technologies, Inc.</t>
  </si>
  <si>
    <t>ZION</t>
  </si>
  <si>
    <t>Zions Bancorporation</t>
  </si>
  <si>
    <t>Applied Material Inc</t>
  </si>
  <si>
    <t>CPT</t>
  </si>
  <si>
    <t>Camden Property Trust</t>
  </si>
  <si>
    <t>STZ</t>
  </si>
  <si>
    <t>Constellation Brands Class A</t>
  </si>
  <si>
    <t>CSX Corp</t>
  </si>
  <si>
    <t>MPWR</t>
  </si>
  <si>
    <t>Monolithic Power Systems Inc</t>
  </si>
  <si>
    <t>BBY</t>
  </si>
  <si>
    <t>Best Buy Inc</t>
  </si>
  <si>
    <t>SEE</t>
  </si>
  <si>
    <t>Sealed Air Corp</t>
  </si>
  <si>
    <t>XRAY</t>
  </si>
  <si>
    <t>Dentsply Sirona Inc</t>
  </si>
  <si>
    <t>Advanced Micro Devices Inc</t>
  </si>
  <si>
    <t>MTB</t>
  </si>
  <si>
    <t>M&amp;T Bank Corp</t>
  </si>
  <si>
    <t>F</t>
  </si>
  <si>
    <t>Ford Motor Company</t>
  </si>
  <si>
    <t>Paypal Holdings Inc</t>
  </si>
  <si>
    <t>Exelon Corp</t>
  </si>
  <si>
    <t>MCO</t>
  </si>
  <si>
    <t>Moodys Corp</t>
  </si>
  <si>
    <t>NVR</t>
  </si>
  <si>
    <t>NVR, Inc.</t>
  </si>
  <si>
    <t>DOV</t>
  </si>
  <si>
    <t>Dover Corp</t>
  </si>
  <si>
    <t>BWA</t>
  </si>
  <si>
    <t>BorgWarner Inc</t>
  </si>
  <si>
    <t>BLK</t>
  </si>
  <si>
    <t>Blackrock Inc</t>
  </si>
  <si>
    <t>SCHW</t>
  </si>
  <si>
    <t>Charles Schwab Corporation</t>
  </si>
  <si>
    <t>GS</t>
  </si>
  <si>
    <t>Goldman Sachs Group Inc</t>
  </si>
  <si>
    <t>WRB</t>
  </si>
  <si>
    <t>WR Berkley Corp</t>
  </si>
  <si>
    <t>WHR</t>
  </si>
  <si>
    <t>Whirlpool Corp</t>
  </si>
  <si>
    <t>IEX</t>
  </si>
  <si>
    <t>IDEX Corp</t>
  </si>
  <si>
    <t>USB</t>
  </si>
  <si>
    <t>US Bancorp</t>
  </si>
  <si>
    <t>HBAN</t>
  </si>
  <si>
    <t>Huntington Bancshares Inc</t>
  </si>
  <si>
    <t>MHK</t>
  </si>
  <si>
    <t>Mohawk Industries Inc</t>
  </si>
  <si>
    <t>BEN</t>
  </si>
  <si>
    <t>Franklin Resources Inc</t>
  </si>
  <si>
    <t>BXP</t>
  </si>
  <si>
    <t>Boston Properties, Inc</t>
  </si>
  <si>
    <t>NSC</t>
  </si>
  <si>
    <t>Norfolk Southern Corp</t>
  </si>
  <si>
    <t>L</t>
  </si>
  <si>
    <t>Loews Corp</t>
  </si>
  <si>
    <t>PTC</t>
  </si>
  <si>
    <t>PTC Inc</t>
  </si>
  <si>
    <t>EIX</t>
  </si>
  <si>
    <t>Edison International</t>
  </si>
  <si>
    <t>RTX</t>
  </si>
  <si>
    <t>Raytheon Technologies Corporation</t>
  </si>
  <si>
    <t>ZBH</t>
  </si>
  <si>
    <t>Zimmer Biomet Holdings Inc</t>
  </si>
  <si>
    <t>FRC</t>
  </si>
  <si>
    <t>First Republic Bank</t>
  </si>
  <si>
    <t>AME</t>
  </si>
  <si>
    <t>Ametek Inc</t>
  </si>
  <si>
    <t>Align Technology Inc</t>
  </si>
  <si>
    <t>FDX</t>
  </si>
  <si>
    <t>FedEx Corporation</t>
  </si>
  <si>
    <t>Ross Stores Inc</t>
  </si>
  <si>
    <t>TEL</t>
  </si>
  <si>
    <t>TE Connectivity Ltd</t>
  </si>
  <si>
    <t>LKQ</t>
  </si>
  <si>
    <t>LKQ Corp</t>
  </si>
  <si>
    <t>Micron Technology Inc</t>
  </si>
  <si>
    <t>AIZ</t>
  </si>
  <si>
    <t>Assurant Inc</t>
  </si>
  <si>
    <t>ALB</t>
  </si>
  <si>
    <t>Albemarle Corp</t>
  </si>
  <si>
    <t>NWL</t>
  </si>
  <si>
    <t>Newell Brands Inc</t>
  </si>
  <si>
    <t>PNC</t>
  </si>
  <si>
    <t>PNC Financial Services Group, Inc.</t>
  </si>
  <si>
    <t>DAL</t>
  </si>
  <si>
    <t>Delta Air Lines Inc</t>
  </si>
  <si>
    <t>DD</t>
  </si>
  <si>
    <t>DuPont de Nemours, Inc.</t>
  </si>
  <si>
    <t>ULTA</t>
  </si>
  <si>
    <t>Ulta Beauty Inc</t>
  </si>
  <si>
    <t>HOLX</t>
  </si>
  <si>
    <t>Hologic Inc</t>
  </si>
  <si>
    <t>PCG</t>
  </si>
  <si>
    <t>Pacific Gas &amp; Electric Co.</t>
  </si>
  <si>
    <t>PEAK</t>
  </si>
  <si>
    <t>Healthpeak Properties, Inc.</t>
  </si>
  <si>
    <t>CF</t>
  </si>
  <si>
    <t>CF Industries Holdings Inc</t>
  </si>
  <si>
    <t>NDSN</t>
  </si>
  <si>
    <t>Nordson Corp</t>
  </si>
  <si>
    <t>ENPH</t>
  </si>
  <si>
    <t>Enphase Energy Inc</t>
  </si>
  <si>
    <t>UHS</t>
  </si>
  <si>
    <t>Universal Health Services Inc.</t>
  </si>
  <si>
    <t>PLD</t>
  </si>
  <si>
    <t>Prologis, Inc</t>
  </si>
  <si>
    <t>NOW</t>
  </si>
  <si>
    <t>Servicenow Inc</t>
  </si>
  <si>
    <t>CBOE</t>
  </si>
  <si>
    <t>Cboe Global Markets, Inc.</t>
  </si>
  <si>
    <t>CBRE</t>
  </si>
  <si>
    <t>CBRE Group Inc</t>
  </si>
  <si>
    <t>ZTS</t>
  </si>
  <si>
    <t>Zoetis Inc</t>
  </si>
  <si>
    <t>WAB</t>
  </si>
  <si>
    <t>Westinghouse Air Brake Technologies</t>
  </si>
  <si>
    <t>IT</t>
  </si>
  <si>
    <t>Gartner Inc</t>
  </si>
  <si>
    <t>Cognizant Technology Solutions</t>
  </si>
  <si>
    <t>XOM</t>
  </si>
  <si>
    <t>Exxon Mobil Corp</t>
  </si>
  <si>
    <t>Marriott International Inc</t>
  </si>
  <si>
    <t>AXP</t>
  </si>
  <si>
    <t>American Express</t>
  </si>
  <si>
    <t>RL</t>
  </si>
  <si>
    <t>Ralph Lauren Corp Class A</t>
  </si>
  <si>
    <t>LOW</t>
  </si>
  <si>
    <t>Lowes Companies Inc</t>
  </si>
  <si>
    <t>HII</t>
  </si>
  <si>
    <t>Huntington Ingalls Industries Inc</t>
  </si>
  <si>
    <t>NRG</t>
  </si>
  <si>
    <t>NRG Energy Inc</t>
  </si>
  <si>
    <t>XYL</t>
  </si>
  <si>
    <t>Xylem Inc</t>
  </si>
  <si>
    <t>WFC</t>
  </si>
  <si>
    <t>Wells Fargo</t>
  </si>
  <si>
    <t>Nvidia Corp</t>
  </si>
  <si>
    <t>Booking Holdings Inc</t>
  </si>
  <si>
    <t>TSN</t>
  </si>
  <si>
    <t>Tyson Foods Inc Class A</t>
  </si>
  <si>
    <t>SRE</t>
  </si>
  <si>
    <t>Sempra Energy</t>
  </si>
  <si>
    <t>CRL</t>
  </si>
  <si>
    <t>Charles River Laboratories International</t>
  </si>
  <si>
    <t>ALLE</t>
  </si>
  <si>
    <t>Allegion PLC</t>
  </si>
  <si>
    <t>CMG</t>
  </si>
  <si>
    <t>Chipotle Mexican Grill Inc</t>
  </si>
  <si>
    <t>IPG</t>
  </si>
  <si>
    <t>Interpublic Group Of Companies Inc</t>
  </si>
  <si>
    <t>GL</t>
  </si>
  <si>
    <t>Globe Life Inc.</t>
  </si>
  <si>
    <t>WY</t>
  </si>
  <si>
    <t>Weyerhaeuser Company</t>
  </si>
  <si>
    <t>CE</t>
  </si>
  <si>
    <t>Celanese Corporation</t>
  </si>
  <si>
    <t>Fortinet Inc</t>
  </si>
  <si>
    <t>KIM</t>
  </si>
  <si>
    <t>Kimco Realty Corporation</t>
  </si>
  <si>
    <t>HST</t>
  </si>
  <si>
    <t>Host Hotels &amp; Resorts, Inc</t>
  </si>
  <si>
    <t>SYY</t>
  </si>
  <si>
    <t>Sysco Corp</t>
  </si>
  <si>
    <t>Microchip Technology Inc</t>
  </si>
  <si>
    <t>KMX</t>
  </si>
  <si>
    <t>Carmax Inc</t>
  </si>
  <si>
    <t>ON</t>
  </si>
  <si>
    <t>ON Semiconductor Corp</t>
  </si>
  <si>
    <t>Skyworks Solutions Inc</t>
  </si>
  <si>
    <t>EMN</t>
  </si>
  <si>
    <t>Eastman Chemical</t>
  </si>
  <si>
    <t>PH</t>
  </si>
  <si>
    <t>Parker-Hannifin Corp</t>
  </si>
  <si>
    <t>MOS</t>
  </si>
  <si>
    <t>Mosaic</t>
  </si>
  <si>
    <t>TT</t>
  </si>
  <si>
    <t>Trane Technologies plc</t>
  </si>
  <si>
    <t>Alphabet Inc Class C</t>
  </si>
  <si>
    <t>CMA</t>
  </si>
  <si>
    <t>Comerica Inc</t>
  </si>
  <si>
    <t>COF</t>
  </si>
  <si>
    <t>Capital One Financial Corp</t>
  </si>
  <si>
    <t>AFL</t>
  </si>
  <si>
    <t>Aflac Inc</t>
  </si>
  <si>
    <t>TFC</t>
  </si>
  <si>
    <t>Truist Financial Corporation</t>
  </si>
  <si>
    <t>FLT</t>
  </si>
  <si>
    <t>Fleetcor Technologies Inc</t>
  </si>
  <si>
    <t>WMB</t>
  </si>
  <si>
    <t>Williams Inc</t>
  </si>
  <si>
    <t>TXT</t>
  </si>
  <si>
    <t>Textron Inc</t>
  </si>
  <si>
    <t>ANET</t>
  </si>
  <si>
    <t>Arista Networks Inc</t>
  </si>
  <si>
    <t>LEN</t>
  </si>
  <si>
    <t>Lennar Corporation Class A</t>
  </si>
  <si>
    <t>TRMB</t>
  </si>
  <si>
    <t>Trimble Inc</t>
  </si>
  <si>
    <t>ALK</t>
  </si>
  <si>
    <t>Alaska Air Group Inc</t>
  </si>
  <si>
    <t>TDG</t>
  </si>
  <si>
    <t>Transdigm Group Inc</t>
  </si>
  <si>
    <t>HIG</t>
  </si>
  <si>
    <t>Hartford Financial Services Group</t>
  </si>
  <si>
    <t>SWK</t>
  </si>
  <si>
    <t>Stanley Black &amp; Decker Inc</t>
  </si>
  <si>
    <t>PFG</t>
  </si>
  <si>
    <t>Principal Financial Group Inc</t>
  </si>
  <si>
    <t>MET</t>
  </si>
  <si>
    <t>Metlife Inc</t>
  </si>
  <si>
    <t>DHI</t>
  </si>
  <si>
    <t>D R Horton Inc</t>
  </si>
  <si>
    <t>QRVO</t>
  </si>
  <si>
    <t>Qorvo, Inc.</t>
  </si>
  <si>
    <t>PHM</t>
  </si>
  <si>
    <t>Pultegroup Inc</t>
  </si>
  <si>
    <t>NXP Semiconductors Nv</t>
  </si>
  <si>
    <t>NWSA</t>
  </si>
  <si>
    <t>News Corp Class A</t>
  </si>
  <si>
    <t>KEY</t>
  </si>
  <si>
    <t>Keycorp</t>
  </si>
  <si>
    <t>RF</t>
  </si>
  <si>
    <t>Regions Financial Corp</t>
  </si>
  <si>
    <t>BAC</t>
  </si>
  <si>
    <t>Bank of America Corp</t>
  </si>
  <si>
    <t>LVS</t>
  </si>
  <si>
    <t>Las Vegas Sands Corp</t>
  </si>
  <si>
    <t>URI</t>
  </si>
  <si>
    <t>United Rentals Inc</t>
  </si>
  <si>
    <t>EPAM</t>
  </si>
  <si>
    <t>Epam Systems Inc</t>
  </si>
  <si>
    <t>GE</t>
  </si>
  <si>
    <t>General Electric</t>
  </si>
  <si>
    <t>NWS</t>
  </si>
  <si>
    <t>News Corp Class B</t>
  </si>
  <si>
    <t>GM</t>
  </si>
  <si>
    <t>General Motors</t>
  </si>
  <si>
    <t>DFS</t>
  </si>
  <si>
    <t>Discover Financial Services</t>
  </si>
  <si>
    <t>SIVB</t>
  </si>
  <si>
    <t>SVB Financial Group</t>
  </si>
  <si>
    <t>LYV</t>
  </si>
  <si>
    <t>Live Nation Entertainment Inc</t>
  </si>
  <si>
    <t>MS</t>
  </si>
  <si>
    <t>Morgan Stanley</t>
  </si>
  <si>
    <t>HAS</t>
  </si>
  <si>
    <t>Hasbro Inc</t>
  </si>
  <si>
    <t>BBWI</t>
  </si>
  <si>
    <t>Bath &amp; Body Works, Inc.</t>
  </si>
  <si>
    <t>BKR</t>
  </si>
  <si>
    <t>Baker Hughes Company Class A</t>
  </si>
  <si>
    <t>FCX</t>
  </si>
  <si>
    <t>Freeport-McMoRan, Inc.</t>
  </si>
  <si>
    <t>WDC</t>
  </si>
  <si>
    <t>Western Digital Corp</t>
  </si>
  <si>
    <t>CTLT</t>
  </si>
  <si>
    <t>Catalent Inc</t>
  </si>
  <si>
    <t>VLO</t>
  </si>
  <si>
    <t>Valero Energy Corp</t>
  </si>
  <si>
    <t>CNP</t>
  </si>
  <si>
    <t>Centerpoint Energy Inc</t>
  </si>
  <si>
    <t>HES</t>
  </si>
  <si>
    <t>Hess Corp</t>
  </si>
  <si>
    <t>AMP</t>
  </si>
  <si>
    <t>Ameriprise Finance Inc</t>
  </si>
  <si>
    <t>AES</t>
  </si>
  <si>
    <t>AES Corp</t>
  </si>
  <si>
    <t>CDW</t>
  </si>
  <si>
    <t>CDW Corp</t>
  </si>
  <si>
    <t>VNO</t>
  </si>
  <si>
    <t>Vornado Realty Trust</t>
  </si>
  <si>
    <t>C</t>
  </si>
  <si>
    <t>Citigroup Inc</t>
  </si>
  <si>
    <t>IVZ</t>
  </si>
  <si>
    <t>Invesco Ltd</t>
  </si>
  <si>
    <t>KMI</t>
  </si>
  <si>
    <t>Kinder Morgan Inc</t>
  </si>
  <si>
    <t>DISH</t>
  </si>
  <si>
    <t>Dish Network Corp Class A</t>
  </si>
  <si>
    <t>SPG</t>
  </si>
  <si>
    <t>Simon Property Group, Inc</t>
  </si>
  <si>
    <t>PRU</t>
  </si>
  <si>
    <t>Prudential Financial Inc</t>
  </si>
  <si>
    <t>UAL</t>
  </si>
  <si>
    <t>United Continental Holdings Inc</t>
  </si>
  <si>
    <t>FITB</t>
  </si>
  <si>
    <t>Fifth Third Bancorp</t>
  </si>
  <si>
    <t>EXPE</t>
  </si>
  <si>
    <t>Expedia Inc</t>
  </si>
  <si>
    <t>PAYC</t>
  </si>
  <si>
    <t>Paycom Software Inc</t>
  </si>
  <si>
    <t>COP</t>
  </si>
  <si>
    <t>ConocoPhillips</t>
  </si>
  <si>
    <t>HLT</t>
  </si>
  <si>
    <t>Hilton Worldwide Holdings Inc</t>
  </si>
  <si>
    <t>WELL</t>
  </si>
  <si>
    <t>Welltower Inc</t>
  </si>
  <si>
    <t>DRI</t>
  </si>
  <si>
    <t>Darden Restaurants Inc</t>
  </si>
  <si>
    <t>IQV</t>
  </si>
  <si>
    <t>IQVIA Holdings, Inc.</t>
  </si>
  <si>
    <t>HCA</t>
  </si>
  <si>
    <t>HCA Healthcare, Inc.</t>
  </si>
  <si>
    <t>SLB</t>
  </si>
  <si>
    <t>Schlumberger Nv</t>
  </si>
  <si>
    <t>Tesla Inc</t>
  </si>
  <si>
    <t>VTR</t>
  </si>
  <si>
    <t>Ventas, Inc</t>
  </si>
  <si>
    <t>PXD</t>
  </si>
  <si>
    <t>Pioneer Natural Resource</t>
  </si>
  <si>
    <t>TPR</t>
  </si>
  <si>
    <t>Tapestry</t>
  </si>
  <si>
    <t>EOG</t>
  </si>
  <si>
    <t>EOG Resources Inc</t>
  </si>
  <si>
    <t>BA</t>
  </si>
  <si>
    <t>Boeing</t>
  </si>
  <si>
    <t>APTV</t>
  </si>
  <si>
    <t>Aptiv Plc</t>
  </si>
  <si>
    <t>TWTR</t>
  </si>
  <si>
    <t>Twitter Inc</t>
  </si>
  <si>
    <t>WYNN</t>
  </si>
  <si>
    <t>Wynn Resorts Ltd</t>
  </si>
  <si>
    <t>PARA</t>
  </si>
  <si>
    <t>Paramount Global - Class B</t>
  </si>
  <si>
    <t>MRO</t>
  </si>
  <si>
    <t>Marathon Oil Corp</t>
  </si>
  <si>
    <t>FBHS</t>
  </si>
  <si>
    <t>Fortune Brands Home And Security</t>
  </si>
  <si>
    <t>CCL</t>
  </si>
  <si>
    <t>Carnival Corp</t>
  </si>
  <si>
    <t>AAL</t>
  </si>
  <si>
    <t>American Airlines Group Inc</t>
  </si>
  <si>
    <t>LNC</t>
  </si>
  <si>
    <t>Lincoln National Corp</t>
  </si>
  <si>
    <t>WRK</t>
  </si>
  <si>
    <t>Westrock</t>
  </si>
  <si>
    <t>DVN</t>
  </si>
  <si>
    <t>Devon Energy Corp</t>
  </si>
  <si>
    <t>LYB</t>
  </si>
  <si>
    <t>Lyondellbasell Industries NV</t>
  </si>
  <si>
    <t>PSX</t>
  </si>
  <si>
    <t>Phillips 66</t>
  </si>
  <si>
    <t>SYF</t>
  </si>
  <si>
    <t>Synchrony Financial</t>
  </si>
  <si>
    <t>OKE</t>
  </si>
  <si>
    <t>Oneok Inc</t>
  </si>
  <si>
    <t>FTV</t>
  </si>
  <si>
    <t>Fortive Corp</t>
  </si>
  <si>
    <t>CTVA</t>
  </si>
  <si>
    <t>Corteva, Inc.</t>
  </si>
  <si>
    <t>MGM</t>
  </si>
  <si>
    <t>MGM Resorts International</t>
  </si>
  <si>
    <t>CDAY</t>
  </si>
  <si>
    <t>Ceridian HCM Holding Inc.</t>
  </si>
  <si>
    <t>CFG</t>
  </si>
  <si>
    <t>Citizens Financial Group Inc</t>
  </si>
  <si>
    <t>OXY</t>
  </si>
  <si>
    <t>Occidental Petroleum Corp</t>
  </si>
  <si>
    <t>FOXA</t>
  </si>
  <si>
    <t>Fox Corporation Class A</t>
  </si>
  <si>
    <t>INVH</t>
  </si>
  <si>
    <t>Invitation Homes Inc</t>
  </si>
  <si>
    <t>FOX</t>
  </si>
  <si>
    <t>Fox Corporation Class B</t>
  </si>
  <si>
    <t>RCL</t>
  </si>
  <si>
    <t>Royal Caribbean Cruises Ltd</t>
  </si>
  <si>
    <t>HAL</t>
  </si>
  <si>
    <t>Halliburton</t>
  </si>
  <si>
    <t>MPC</t>
  </si>
  <si>
    <t>Marathon Petroleum Corp</t>
  </si>
  <si>
    <t>AMCR</t>
  </si>
  <si>
    <t>Amcor plc</t>
  </si>
  <si>
    <t>HPE</t>
  </si>
  <si>
    <t>Hewlett Packard Enterprise</t>
  </si>
  <si>
    <t>IR</t>
  </si>
  <si>
    <t>Ingersoll Rand Plc</t>
  </si>
  <si>
    <t>LW</t>
  </si>
  <si>
    <t>Lamb Weston Holdings Inc</t>
  </si>
  <si>
    <t>CZR</t>
  </si>
  <si>
    <t>Caesars Entertainment Corp</t>
  </si>
  <si>
    <t>APA</t>
  </si>
  <si>
    <t>Apache Corp</t>
  </si>
  <si>
    <t>HWM</t>
  </si>
  <si>
    <t>Howmet Aerospace Inc.</t>
  </si>
  <si>
    <t>AIG</t>
  </si>
  <si>
    <t>American International Group Inc</t>
  </si>
  <si>
    <t>TRGP</t>
  </si>
  <si>
    <t>Targa Resources Corp</t>
  </si>
  <si>
    <t>FANG</t>
  </si>
  <si>
    <t>Diamondback Energy Inc</t>
  </si>
  <si>
    <t>DOW</t>
  </si>
  <si>
    <t>Dow Inc.</t>
  </si>
  <si>
    <t>VICI</t>
  </si>
  <si>
    <t>VICI Properties Inc</t>
  </si>
  <si>
    <t>DXC</t>
  </si>
  <si>
    <t>DXC Technology Company</t>
  </si>
  <si>
    <t>NCLH</t>
  </si>
  <si>
    <t>Norwegian Cruise Line Holdings Ltd</t>
  </si>
  <si>
    <t>HIPO</t>
  </si>
  <si>
    <t>Hippo Holdings Inc.</t>
  </si>
  <si>
    <t>CHRD</t>
  </si>
  <si>
    <t>Chord Energy Corporation</t>
  </si>
  <si>
    <t>BIPC</t>
  </si>
  <si>
    <t>Brookfield Infrastructure Partners LP Class A Subordinate Voting Shares</t>
  </si>
  <si>
    <t>VAL</t>
  </si>
  <si>
    <t>Valaris Limited</t>
  </si>
  <si>
    <t>DEN</t>
  </si>
  <si>
    <t>Denbury Inc.</t>
  </si>
  <si>
    <t>CERE</t>
  </si>
  <si>
    <t>Cerevel Therapeutics Holdings, Inc.</t>
  </si>
  <si>
    <t>ACT</t>
  </si>
  <si>
    <t>Enact Holdings, Inc.</t>
  </si>
  <si>
    <t>NARI</t>
  </si>
  <si>
    <t>Inari Medical, Inc.</t>
  </si>
  <si>
    <t>PWSC</t>
  </si>
  <si>
    <t>PowerSchool Holdings, Inc. Class A</t>
  </si>
  <si>
    <t>ASAN</t>
  </si>
  <si>
    <t>Asana, Inc.</t>
  </si>
  <si>
    <t>ALIT</t>
  </si>
  <si>
    <t>Alight, Inc. Class A</t>
  </si>
  <si>
    <t>PRVA</t>
  </si>
  <si>
    <t>Privia Health Group, Inc.</t>
  </si>
  <si>
    <t>PECO</t>
  </si>
  <si>
    <t>Phillips Edison &amp; Company, Inc.</t>
  </si>
  <si>
    <t>ASO</t>
  </si>
  <si>
    <t>Academy Sports &amp; Outdoors, Inc.</t>
  </si>
  <si>
    <t>HRMY</t>
  </si>
  <si>
    <t>Harmony Biosciences Holdings, Inc.</t>
  </si>
  <si>
    <t>MQ</t>
  </si>
  <si>
    <t>Marqeta, Inc. Class A</t>
  </si>
  <si>
    <t>DOCN</t>
  </si>
  <si>
    <t>DigitalOcean Holdings, Inc.</t>
  </si>
  <si>
    <t>CRC</t>
  </si>
  <si>
    <t>California Resources Corporation</t>
  </si>
  <si>
    <t>INST</t>
  </si>
  <si>
    <t>Instructure Holdings, Inc.</t>
  </si>
  <si>
    <t>EBC</t>
  </si>
  <si>
    <t>Eastern Bankshares, Inc.</t>
  </si>
  <si>
    <t>BRBR</t>
  </si>
  <si>
    <t>BellRing Brands, Inc. Class A</t>
  </si>
  <si>
    <t>CVBF</t>
  </si>
  <si>
    <t>CVB Financial Corporation</t>
  </si>
  <si>
    <t>SR</t>
  </si>
  <si>
    <t>Spire Inc</t>
  </si>
  <si>
    <t>HAE</t>
  </si>
  <si>
    <t>Haemonetics Corp</t>
  </si>
  <si>
    <t>ADC</t>
  </si>
  <si>
    <t>Agree Realty Corporation</t>
  </si>
  <si>
    <t>CBU</t>
  </si>
  <si>
    <t>Community Bank System Inc</t>
  </si>
  <si>
    <t>SSB</t>
  </si>
  <si>
    <t>South State Corp</t>
  </si>
  <si>
    <t>RLI</t>
  </si>
  <si>
    <t>RLI Corp</t>
  </si>
  <si>
    <t>POWI</t>
  </si>
  <si>
    <t>Power Integrations Inc</t>
  </si>
  <si>
    <t>STAA</t>
  </si>
  <si>
    <t>Staar Surgical</t>
  </si>
  <si>
    <t>FELE</t>
  </si>
  <si>
    <t>Franklin Electric Inc</t>
  </si>
  <si>
    <t>SLAB</t>
  </si>
  <si>
    <t>Silicon Laboratories Inc</t>
  </si>
  <si>
    <t>ROG</t>
  </si>
  <si>
    <t>Rogers Corp</t>
  </si>
  <si>
    <t>FFIN</t>
  </si>
  <si>
    <t>First Financial Bankshares Inc</t>
  </si>
  <si>
    <t>BCPC</t>
  </si>
  <si>
    <t>Balchem Corp</t>
  </si>
  <si>
    <t>INDB</t>
  </si>
  <si>
    <t>Independent Bank Corp</t>
  </si>
  <si>
    <t>ONEM</t>
  </si>
  <si>
    <t>1Life Healthcare, Inc.</t>
  </si>
  <si>
    <t>MMS</t>
  </si>
  <si>
    <t>Maximus Inc</t>
  </si>
  <si>
    <t>SSD</t>
  </si>
  <si>
    <t>Simpson Manufacturing Inc</t>
  </si>
  <si>
    <t>GATX</t>
  </si>
  <si>
    <t>Gatx Corp</t>
  </si>
  <si>
    <t>ESGR</t>
  </si>
  <si>
    <t>Enstar Group Ltd</t>
  </si>
  <si>
    <t>OMCL</t>
  </si>
  <si>
    <t>Omnicell Inc</t>
  </si>
  <si>
    <t>SJI</t>
  </si>
  <si>
    <t>South Jersey Industries, Inc.</t>
  </si>
  <si>
    <t>UMBF</t>
  </si>
  <si>
    <t>UMB Financial Corp</t>
  </si>
  <si>
    <t>SWX</t>
  </si>
  <si>
    <t>Southwest Gas Holdings Inc</t>
  </si>
  <si>
    <t>ZD</t>
  </si>
  <si>
    <t>Ziff Davis, Inc.</t>
  </si>
  <si>
    <t>HLI</t>
  </si>
  <si>
    <t>Houlihan Lokey Inc Class A</t>
  </si>
  <si>
    <t>NOVT</t>
  </si>
  <si>
    <t>Novanta Inc</t>
  </si>
  <si>
    <t>CWST</t>
  </si>
  <si>
    <t>Casella Waste Systems Inc Class A</t>
  </si>
  <si>
    <t>UFPI</t>
  </si>
  <si>
    <t>Universal Forest Products Inc</t>
  </si>
  <si>
    <t>ALKS</t>
  </si>
  <si>
    <t>Alkermes PLC</t>
  </si>
  <si>
    <t>FN</t>
  </si>
  <si>
    <t>Fabrinet</t>
  </si>
  <si>
    <t>PCH</t>
  </si>
  <si>
    <t>PotlatchDeltic Corporation</t>
  </si>
  <si>
    <t>POR</t>
  </si>
  <si>
    <t>Portland General Electric</t>
  </si>
  <si>
    <t>UBSI</t>
  </si>
  <si>
    <t>United Bankshares Inc</t>
  </si>
  <si>
    <t>WTS</t>
  </si>
  <si>
    <t>Watts Water Technologies Inc Class A</t>
  </si>
  <si>
    <t>SAIA</t>
  </si>
  <si>
    <t>Saia Inc</t>
  </si>
  <si>
    <t>BMI</t>
  </si>
  <si>
    <t>Badger Meter Inc</t>
  </si>
  <si>
    <t>HOMB</t>
  </si>
  <si>
    <t>Home Bancshares Inc</t>
  </si>
  <si>
    <t>IRDM</t>
  </si>
  <si>
    <t>Iridium Communications Inc</t>
  </si>
  <si>
    <t>LHCG</t>
  </si>
  <si>
    <t>LHC Group Inc</t>
  </si>
  <si>
    <t>FIBK</t>
  </si>
  <si>
    <t>First Interstate Bancsystem Inc Class A</t>
  </si>
  <si>
    <t>SYNA</t>
  </si>
  <si>
    <t>Synaptics Inc</t>
  </si>
  <si>
    <t>EXLS</t>
  </si>
  <si>
    <t>Exlservice Holdings Inc</t>
  </si>
  <si>
    <t>NJR</t>
  </si>
  <si>
    <t>New Jersey Resources Corp</t>
  </si>
  <si>
    <t>VLY</t>
  </si>
  <si>
    <t>Valley National</t>
  </si>
  <si>
    <t>MMSI</t>
  </si>
  <si>
    <t>Merit Medical Systems Inc</t>
  </si>
  <si>
    <t>ASB</t>
  </si>
  <si>
    <t>Associated Bancorp</t>
  </si>
  <si>
    <t>HALO</t>
  </si>
  <si>
    <t>Halozyme Therapeutics Inc</t>
  </si>
  <si>
    <t>GBCI</t>
  </si>
  <si>
    <t>Glacier Bancorp Inc</t>
  </si>
  <si>
    <t>TRNO</t>
  </si>
  <si>
    <t>Terreno Realty Corporation</t>
  </si>
  <si>
    <t>MLI</t>
  </si>
  <si>
    <t>Mueller Industries Inc</t>
  </si>
  <si>
    <t>CRK</t>
  </si>
  <si>
    <t>Comstock Resources Inc</t>
  </si>
  <si>
    <t>AJRD</t>
  </si>
  <si>
    <t>Aerojet Rocketdyne Holdings Inc</t>
  </si>
  <si>
    <t>SMCI</t>
  </si>
  <si>
    <t>Super Micro Computer, Inc.</t>
  </si>
  <si>
    <t>ORA</t>
  </si>
  <si>
    <t>Ormat Technologies</t>
  </si>
  <si>
    <t>SPSC</t>
  </si>
  <si>
    <t>Sps Commerce Inc</t>
  </si>
  <si>
    <t>CMC</t>
  </si>
  <si>
    <t>Commercial Metals</t>
  </si>
  <si>
    <t>AIT</t>
  </si>
  <si>
    <t>Applied Industrial Technologies Inc</t>
  </si>
  <si>
    <t>CWEN</t>
  </si>
  <si>
    <t>Clearway Energy Inc. Class C</t>
  </si>
  <si>
    <t>BKH</t>
  </si>
  <si>
    <t>Black Hills Corp</t>
  </si>
  <si>
    <t>CBT</t>
  </si>
  <si>
    <t>Cabot Corp</t>
  </si>
  <si>
    <t>ONTO</t>
  </si>
  <si>
    <t>Onto Innovation Inc.</t>
  </si>
  <si>
    <t>SIGI</t>
  </si>
  <si>
    <t>Selective Insurance Group Inc</t>
  </si>
  <si>
    <t>AMKR</t>
  </si>
  <si>
    <t>Amkor Technology Inc</t>
  </si>
  <si>
    <t>NSIT</t>
  </si>
  <si>
    <t>Insight Enterprises Inc</t>
  </si>
  <si>
    <t>GSAT</t>
  </si>
  <si>
    <t>Globalstar Voting Inc</t>
  </si>
  <si>
    <t>NSP</t>
  </si>
  <si>
    <t>Insperity Inc</t>
  </si>
  <si>
    <t>QLYS</t>
  </si>
  <si>
    <t>Qualys Inc</t>
  </si>
  <si>
    <t>PNM</t>
  </si>
  <si>
    <t>PNM Resources Inc</t>
  </si>
  <si>
    <t>EME</t>
  </si>
  <si>
    <t>Emcor Group Inc</t>
  </si>
  <si>
    <t>CYTK</t>
  </si>
  <si>
    <t>Cytokinetics Inc</t>
  </si>
  <si>
    <t>ABCB</t>
  </si>
  <si>
    <t>Ameris Bancorp</t>
  </si>
  <si>
    <t>FIX</t>
  </si>
  <si>
    <t>Comfort Systems Usa Inc</t>
  </si>
  <si>
    <t>VIAV</t>
  </si>
  <si>
    <t>Viavi Solutions Inc</t>
  </si>
  <si>
    <t>TXRH</t>
  </si>
  <si>
    <t>Texas Roadhouse Inc</t>
  </si>
  <si>
    <t>CATY</t>
  </si>
  <si>
    <t>Cathay General Bancorp</t>
  </si>
  <si>
    <t>CWEN.A</t>
  </si>
  <si>
    <t>Clearway Energy Inc. Class A</t>
  </si>
  <si>
    <t>KRG</t>
  </si>
  <si>
    <t>Kite Realty Group Trust</t>
  </si>
  <si>
    <t>OGS</t>
  </si>
  <si>
    <t>One Gas Inc</t>
  </si>
  <si>
    <t>SANM</t>
  </si>
  <si>
    <t>Sanmina Corp</t>
  </si>
  <si>
    <t>HWC</t>
  </si>
  <si>
    <t>Hancock Whitney Corp</t>
  </si>
  <si>
    <t>RMBS</t>
  </si>
  <si>
    <t>Rambus Inc</t>
  </si>
  <si>
    <t>DOC</t>
  </si>
  <si>
    <t>Physicians Realty Trust</t>
  </si>
  <si>
    <t>UCBI</t>
  </si>
  <si>
    <t>United Community Banks Inc</t>
  </si>
  <si>
    <t>PPBI</t>
  </si>
  <si>
    <t>Pacfic Premier Bancorp Inc</t>
  </si>
  <si>
    <t>TWNK</t>
  </si>
  <si>
    <t>Hostess Brands Inc Class A</t>
  </si>
  <si>
    <t>SEM</t>
  </si>
  <si>
    <t>Select Medical Holdings Corp</t>
  </si>
  <si>
    <t>FUL</t>
  </si>
  <si>
    <t>H. B. Fuller</t>
  </si>
  <si>
    <t>CALX</t>
  </si>
  <si>
    <t>Calix Networks Inc</t>
  </si>
  <si>
    <t>RBC</t>
  </si>
  <si>
    <t>RBC Bearings Incorporated</t>
  </si>
  <si>
    <t>TNET</t>
  </si>
  <si>
    <t>TriNet Group, Inc.</t>
  </si>
  <si>
    <t>ENSG</t>
  </si>
  <si>
    <t>Ensign Group Inc</t>
  </si>
  <si>
    <t>ESNT</t>
  </si>
  <si>
    <t>Essent Group Ltd</t>
  </si>
  <si>
    <t>RCM</t>
  </si>
  <si>
    <t>R1 RCM Inc.</t>
  </si>
  <si>
    <t>ASGN</t>
  </si>
  <si>
    <t>ASGN Incorporated</t>
  </si>
  <si>
    <t>ARWR</t>
  </si>
  <si>
    <t>Arrowhead Pharmaceuticals Inc</t>
  </si>
  <si>
    <t>BECN</t>
  </si>
  <si>
    <t>Beacon Roofing Supply Inc</t>
  </si>
  <si>
    <t>DDS</t>
  </si>
  <si>
    <t>Dillards Inc Class A</t>
  </si>
  <si>
    <t>ABG</t>
  </si>
  <si>
    <t>Asbury Automotive Group Inc.</t>
  </si>
  <si>
    <t>CVI</t>
  </si>
  <si>
    <t>CVR Energy Inc</t>
  </si>
  <si>
    <t>GOLF</t>
  </si>
  <si>
    <t>Acushnet Holdings Corp</t>
  </si>
  <si>
    <t>BXMT</t>
  </si>
  <si>
    <t>Blackstone Mortgage Trust Inc.</t>
  </si>
  <si>
    <t>STAG</t>
  </si>
  <si>
    <t>STAG Industrial, Inc</t>
  </si>
  <si>
    <t>VC</t>
  </si>
  <si>
    <t>Visteon Corp</t>
  </si>
  <si>
    <t>FOXF</t>
  </si>
  <si>
    <t>Fox Factory Holding Corp</t>
  </si>
  <si>
    <t>ZWS</t>
  </si>
  <si>
    <t>Zurn Water Solutions Corporation</t>
  </si>
  <si>
    <t>AEL</t>
  </si>
  <si>
    <t>American Equity Investment Life Holding</t>
  </si>
  <si>
    <t>IRT</t>
  </si>
  <si>
    <t>Independence Realty Trust, Inc</t>
  </si>
  <si>
    <t>SFBS</t>
  </si>
  <si>
    <t>Servisfirst Bancshares Inc</t>
  </si>
  <si>
    <t>OPCH</t>
  </si>
  <si>
    <t>Option Care Health, Inc.</t>
  </si>
  <si>
    <t>CROX</t>
  </si>
  <si>
    <t>Crocs Inc</t>
  </si>
  <si>
    <t>CELH</t>
  </si>
  <si>
    <t>Celsius Holdings Inc.</t>
  </si>
  <si>
    <t>CIVI</t>
  </si>
  <si>
    <t>Civitas Resources, Inc.</t>
  </si>
  <si>
    <t>RDN</t>
  </si>
  <si>
    <t>Radian Group Inc</t>
  </si>
  <si>
    <t>MODG</t>
  </si>
  <si>
    <t>Topgolf Callaway Brands Corp.</t>
  </si>
  <si>
    <t>LNTH</t>
  </si>
  <si>
    <t>Lantheus Holdings Inc</t>
  </si>
  <si>
    <t>ATI</t>
  </si>
  <si>
    <t>Allegheny Technologies Inc</t>
  </si>
  <si>
    <t>AIMC</t>
  </si>
  <si>
    <t>Altra Industrial Motion Corp</t>
  </si>
  <si>
    <t>FLR</t>
  </si>
  <si>
    <t>Fluor Corp</t>
  </si>
  <si>
    <t>MTSI</t>
  </si>
  <si>
    <t>Macom Technology Solutions Inc</t>
  </si>
  <si>
    <t>DY</t>
  </si>
  <si>
    <t>Dycom Industries Inc</t>
  </si>
  <si>
    <t>MEDP</t>
  </si>
  <si>
    <t>Medpace Holdings Inc</t>
  </si>
  <si>
    <t>WING</t>
  </si>
  <si>
    <t>Wingstop Inc</t>
  </si>
  <si>
    <t>HQY</t>
  </si>
  <si>
    <t>Healthequity Inc</t>
  </si>
  <si>
    <t>IRTC</t>
  </si>
  <si>
    <t>Irhythm Technologies Inc</t>
  </si>
  <si>
    <t>NTLA</t>
  </si>
  <si>
    <t>Intellia Therapeutics Inc</t>
  </si>
  <si>
    <t>IGT</t>
  </si>
  <si>
    <t>International Game Technology Plc</t>
  </si>
  <si>
    <t>WK</t>
  </si>
  <si>
    <t>Workiva Inc Class A</t>
  </si>
  <si>
    <t>BOX</t>
  </si>
  <si>
    <t>Box Inc</t>
  </si>
  <si>
    <t>ITCI</t>
  </si>
  <si>
    <t>Intra Cellular Therapies Inc</t>
  </si>
  <si>
    <t>GTLS</t>
  </si>
  <si>
    <t>Chart Industries Inc</t>
  </si>
  <si>
    <t>HP</t>
  </si>
  <si>
    <t>Helmerich &amp; Payne Inc</t>
  </si>
  <si>
    <t>KNSL</t>
  </si>
  <si>
    <t>Kinsale Capital Group Inc</t>
  </si>
  <si>
    <t>SMPL</t>
  </si>
  <si>
    <t>The Simply Good Foods Company</t>
  </si>
  <si>
    <t>PTEN</t>
  </si>
  <si>
    <t>Patterson Uti Energy Inc</t>
  </si>
  <si>
    <t>INSP</t>
  </si>
  <si>
    <t>Inspire Medical Systems Inc</t>
  </si>
  <si>
    <t>MUR</t>
  </si>
  <si>
    <t>Murphy Oil Corp</t>
  </si>
  <si>
    <t>APLE</t>
  </si>
  <si>
    <t>Apple Hospitality REIT, Inc</t>
  </si>
  <si>
    <t>TENB</t>
  </si>
  <si>
    <t>Tenable Holdings Inc</t>
  </si>
  <si>
    <t>RHP</t>
  </si>
  <si>
    <t>Ryman Hospitality Properties, Inc</t>
  </si>
  <si>
    <t>PSN</t>
  </si>
  <si>
    <t>Parsons Corporation</t>
  </si>
  <si>
    <t>KRTX</t>
  </si>
  <si>
    <t>Karuna Therapeutics, Inc.</t>
  </si>
  <si>
    <t>SWAV</t>
  </si>
  <si>
    <t>ShockWave Medical, Inc.</t>
  </si>
  <si>
    <t>BATRA</t>
  </si>
  <si>
    <t>Liberty Media Liberty Braves Corp Series A</t>
  </si>
  <si>
    <t>TRTN</t>
  </si>
  <si>
    <t>Triton International Ltd</t>
  </si>
  <si>
    <t>BATRK</t>
  </si>
  <si>
    <t>Liberty Media Liberty Braves Corp Series C</t>
  </si>
  <si>
    <t>LNW</t>
  </si>
  <si>
    <t>Light &amp; Wonder, Inc.</t>
  </si>
  <si>
    <t>DBRG</t>
  </si>
  <si>
    <t>DigitalBridge Group, Inc.</t>
  </si>
  <si>
    <t>ETRN</t>
  </si>
  <si>
    <t>Equitrans Midstream Corporation</t>
  </si>
  <si>
    <t>REZI</t>
  </si>
  <si>
    <t>Resideo Technologies, Inc.</t>
  </si>
  <si>
    <t>ATKR</t>
  </si>
  <si>
    <t>Atkore International Group Inc</t>
  </si>
  <si>
    <t>PGNY</t>
  </si>
  <si>
    <t>Progyny, Inc.</t>
  </si>
  <si>
    <t>PBF</t>
  </si>
  <si>
    <t>PBF Energy Inc Class A</t>
  </si>
  <si>
    <t>AQUA</t>
  </si>
  <si>
    <t>Evoqua Water Technologies Corp.</t>
  </si>
  <si>
    <t>DNLI</t>
  </si>
  <si>
    <t>Denali Therapeutics Inc.</t>
  </si>
  <si>
    <t>SM</t>
  </si>
  <si>
    <t>SM Energy Company</t>
  </si>
  <si>
    <t>APG</t>
  </si>
  <si>
    <t>APi Group Corporation</t>
  </si>
  <si>
    <t>APLS</t>
  </si>
  <si>
    <t>Apellis Pharmaceuticals</t>
  </si>
  <si>
    <t>LTHM</t>
  </si>
  <si>
    <t>Livent Corporation</t>
  </si>
  <si>
    <t>BTU</t>
  </si>
  <si>
    <t>Peabody Energy Corp</t>
  </si>
  <si>
    <t>HRI</t>
  </si>
  <si>
    <t>Herc Holdings Inc</t>
  </si>
  <si>
    <t>SEAS</t>
  </si>
  <si>
    <t>Seaworld Entertainment Inc</t>
  </si>
  <si>
    <t>HGV</t>
  </si>
  <si>
    <t>Hilton Grand Vacations Inc</t>
  </si>
  <si>
    <t>MGY</t>
  </si>
  <si>
    <t>Magnolia Oil &amp; Gas Corporation Class A</t>
  </si>
  <si>
    <t>MTDR</t>
  </si>
  <si>
    <t>Matador Resources</t>
  </si>
  <si>
    <t>CHX</t>
  </si>
  <si>
    <t>ChampionX Corporation</t>
  </si>
  <si>
    <t>Stocks in the Dow Jones Industrial Average</t>
  </si>
  <si>
    <t>FNKO</t>
  </si>
  <si>
    <t>Funko, Inc. Class A</t>
  </si>
  <si>
    <t>HWKN</t>
  </si>
  <si>
    <t>Hawkins Inc</t>
  </si>
  <si>
    <t>RVLV</t>
  </si>
  <si>
    <t>Revolve Group, Inc. Class A</t>
  </si>
  <si>
    <t>AMWL</t>
  </si>
  <si>
    <t>American Well Corp</t>
  </si>
  <si>
    <t>CNOB</t>
  </si>
  <si>
    <t>Connectone Bancorp Inc</t>
  </si>
  <si>
    <t>TNK</t>
  </si>
  <si>
    <t>Teekay Tankers Ltd Class A</t>
  </si>
  <si>
    <t>IE</t>
  </si>
  <si>
    <t>Ivanhoe Electric Inc.</t>
  </si>
  <si>
    <t>AVXL</t>
  </si>
  <si>
    <t>Anavex Life Sciences Corp</t>
  </si>
  <si>
    <t>JRVR</t>
  </si>
  <si>
    <t>James River Group Holdings Ltd</t>
  </si>
  <si>
    <t>MTTR</t>
  </si>
  <si>
    <t>Matterport, Inc. - Class A</t>
  </si>
  <si>
    <t>UMH</t>
  </si>
  <si>
    <t>UMH Properties, Inc</t>
  </si>
  <si>
    <t>NEO</t>
  </si>
  <si>
    <t>Neogenomics Inc</t>
  </si>
  <si>
    <t>GES</t>
  </si>
  <si>
    <t>Guess Inc</t>
  </si>
  <si>
    <t>POSH</t>
  </si>
  <si>
    <t>Poshmark, Inc.</t>
  </si>
  <si>
    <t>QRTEA</t>
  </si>
  <si>
    <t>Qurate Retail, Inc. Series A</t>
  </si>
  <si>
    <t>OFLX</t>
  </si>
  <si>
    <t>Omega Flex Inc</t>
  </si>
  <si>
    <t>SNCY</t>
  </si>
  <si>
    <t>Sun Country Airlines Holdings, Inc.</t>
  </si>
  <si>
    <t>AMRS</t>
  </si>
  <si>
    <t>Amyris Inc</t>
  </si>
  <si>
    <t>ZUO</t>
  </si>
  <si>
    <t>Zuora, Inc. Class A</t>
  </si>
  <si>
    <t>TWI</t>
  </si>
  <si>
    <t>Titan International Inc</t>
  </si>
  <si>
    <t>MOD</t>
  </si>
  <si>
    <t>Modine Manufacturing</t>
  </si>
  <si>
    <t>TA</t>
  </si>
  <si>
    <t>Travelcenters Of America Llc</t>
  </si>
  <si>
    <t>LMAT</t>
  </si>
  <si>
    <t>Lemaitre Vascular Inc</t>
  </si>
  <si>
    <t>NHC</t>
  </si>
  <si>
    <t>National Healthcare Corp</t>
  </si>
  <si>
    <t>INVA</t>
  </si>
  <si>
    <t>Innoviva Inc</t>
  </si>
  <si>
    <t>REPL</t>
  </si>
  <si>
    <t>Replimune Group Inc</t>
  </si>
  <si>
    <t>ARQT</t>
  </si>
  <si>
    <t>Arcutis Biotherapeutics, Inc.</t>
  </si>
  <si>
    <t>PNT</t>
  </si>
  <si>
    <t>POINT Biopharma Global Inc.</t>
  </si>
  <si>
    <t>ENTA</t>
  </si>
  <si>
    <t>Enanta Pharmaceuticals Inc</t>
  </si>
  <si>
    <t>CARS</t>
  </si>
  <si>
    <t>Cars.Com Inc</t>
  </si>
  <si>
    <t>VECO</t>
  </si>
  <si>
    <t>Veeco Instruments Inc</t>
  </si>
  <si>
    <t>STAR</t>
  </si>
  <si>
    <t>iStar Inc.</t>
  </si>
  <si>
    <t>GIII</t>
  </si>
  <si>
    <t>G-III Apparel Group, LTD.</t>
  </si>
  <si>
    <t>ENFN</t>
  </si>
  <si>
    <t>Enfusion, Inc.</t>
  </si>
  <si>
    <t>INN</t>
  </si>
  <si>
    <t>Summit Hotel Properties, Inc</t>
  </si>
  <si>
    <t>CBL</t>
  </si>
  <si>
    <t>CBL &amp; Associates Properties, Inc.</t>
  </si>
  <si>
    <t>INDI</t>
  </si>
  <si>
    <t>indie Semiconductor, Inc. - Class A</t>
  </si>
  <si>
    <t>LWLG</t>
  </si>
  <si>
    <t>Lightwave Logic Inc.</t>
  </si>
  <si>
    <t>ULH</t>
  </si>
  <si>
    <t>Universal Logistics Inc</t>
  </si>
  <si>
    <t>GDYN</t>
  </si>
  <si>
    <t>Grid Dynamics Holdings, Inc. - Class A</t>
  </si>
  <si>
    <t>TGTX</t>
  </si>
  <si>
    <t>TG Therapeutics Inc</t>
  </si>
  <si>
    <t>PFHC</t>
  </si>
  <si>
    <t>ProFrac Holding Corp. - Class A</t>
  </si>
  <si>
    <t>FFWM</t>
  </si>
  <si>
    <t>First Foundation Inc</t>
  </si>
  <si>
    <t>STRL</t>
  </si>
  <si>
    <t>Sterling Construction Inc</t>
  </si>
  <si>
    <t>AOSL</t>
  </si>
  <si>
    <t>Alpha And Omega Semiconductor Ltd</t>
  </si>
  <si>
    <t>ACEL</t>
  </si>
  <si>
    <t>Accel Entertainment, Inc.</t>
  </si>
  <si>
    <t>WTTR</t>
  </si>
  <si>
    <t>Select Energy Services Inc Class A</t>
  </si>
  <si>
    <t>KAMN</t>
  </si>
  <si>
    <t>Kaman Corp</t>
  </si>
  <si>
    <t>PDFS</t>
  </si>
  <si>
    <t>Pdf Solutions Inc</t>
  </si>
  <si>
    <t>LPRO</t>
  </si>
  <si>
    <t>Open Lending Corp. - Class A</t>
  </si>
  <si>
    <t>SUMO</t>
  </si>
  <si>
    <t>Sumo Logic, Inc.</t>
  </si>
  <si>
    <t>RADI</t>
  </si>
  <si>
    <t>Radius Global Infrastructure, Inc.</t>
  </si>
  <si>
    <t>HIMS</t>
  </si>
  <si>
    <t>Hims &amp; Hers Health, Inc. Class A</t>
  </si>
  <si>
    <t>SKYW</t>
  </si>
  <si>
    <t>Skywest Inc</t>
  </si>
  <si>
    <t>INNV</t>
  </si>
  <si>
    <t>InnovAge Holding Corp.</t>
  </si>
  <si>
    <t>SNPO</t>
  </si>
  <si>
    <t>Snap One Holdings Corp.</t>
  </si>
  <si>
    <t>CUTR</t>
  </si>
  <si>
    <t>Cutera Inc</t>
  </si>
  <si>
    <t>CCF</t>
  </si>
  <si>
    <t>Chase Corp</t>
  </si>
  <si>
    <t>UTL</t>
  </si>
  <si>
    <t>Unitil Corp</t>
  </si>
  <si>
    <t>VREX</t>
  </si>
  <si>
    <t>Varex Imaging Corp</t>
  </si>
  <si>
    <t>ARGO</t>
  </si>
  <si>
    <t>Argo Group International Holdings</t>
  </si>
  <si>
    <t>ANF</t>
  </si>
  <si>
    <t>Abercrombie And Fitch</t>
  </si>
  <si>
    <t>MNKD</t>
  </si>
  <si>
    <t>Mannkind Corp</t>
  </si>
  <si>
    <t>EDIT</t>
  </si>
  <si>
    <t>Editas Medicine Inc</t>
  </si>
  <si>
    <t>DBI</t>
  </si>
  <si>
    <t>Designer Brands Inc. Class A</t>
  </si>
  <si>
    <t>PRG</t>
  </si>
  <si>
    <t>PROG Holdings, Inc.</t>
  </si>
  <si>
    <t>ROCC</t>
  </si>
  <si>
    <t>Ranger Oil Corporation - Class A</t>
  </si>
  <si>
    <t>JELD</t>
  </si>
  <si>
    <t>Jeld Wen Holding Inc</t>
  </si>
  <si>
    <t>BFLY</t>
  </si>
  <si>
    <t>Butterfly Network, Inc. Class A</t>
  </si>
  <si>
    <t>SP</t>
  </si>
  <si>
    <t>Sp Plus Corp</t>
  </si>
  <si>
    <t>PLOW</t>
  </si>
  <si>
    <t>Douglas Dynamics Inc</t>
  </si>
  <si>
    <t>VCSA</t>
  </si>
  <si>
    <t>Vacasa, Inc. - Class A</t>
  </si>
  <si>
    <t>HTBK</t>
  </si>
  <si>
    <t>Heritage Commerce Corp</t>
  </si>
  <si>
    <t>WINA</t>
  </si>
  <si>
    <t>Winmark Corp</t>
  </si>
  <si>
    <t>CNDT</t>
  </si>
  <si>
    <t>Conduent Inc</t>
  </si>
  <si>
    <t>BY</t>
  </si>
  <si>
    <t>Byline Bancorp Inc.</t>
  </si>
  <si>
    <t>GSHD</t>
  </si>
  <si>
    <t>Goosehead Insurance Inc.</t>
  </si>
  <si>
    <t>CHCT</t>
  </si>
  <si>
    <t>Community Healthcare Trust Incorporated</t>
  </si>
  <si>
    <t>QCRH</t>
  </si>
  <si>
    <t>QCR Holdings Inc</t>
  </si>
  <si>
    <t>FORG</t>
  </si>
  <si>
    <t>ForgeRock, Inc.</t>
  </si>
  <si>
    <t>PEBO</t>
  </si>
  <si>
    <t>Peoples Bancorp Inc</t>
  </si>
  <si>
    <t>RWT</t>
  </si>
  <si>
    <t>Redwood Trust Inc.</t>
  </si>
  <si>
    <t>SBGI</t>
  </si>
  <si>
    <t>Sinclair Broadcast Group Inc Class A</t>
  </si>
  <si>
    <t>MIRM</t>
  </si>
  <si>
    <t>Mirum Pharmaceuticals, Inc.</t>
  </si>
  <si>
    <t>MRC</t>
  </si>
  <si>
    <t>Mrc Global Inc</t>
  </si>
  <si>
    <t>DSGN</t>
  </si>
  <si>
    <t>Design Therapeutics, Inc.</t>
  </si>
  <si>
    <t>CTBI</t>
  </si>
  <si>
    <t>Community Trust Bancorp Inc Trust</t>
  </si>
  <si>
    <t>COGT</t>
  </si>
  <si>
    <t>Cogent Biosciences, Inc.</t>
  </si>
  <si>
    <t>HOUS</t>
  </si>
  <si>
    <t>Anywhere Real Estate Inc.,</t>
  </si>
  <si>
    <t>VTOL</t>
  </si>
  <si>
    <t>Bristow Group, Inc.</t>
  </si>
  <si>
    <t>ANAB</t>
  </si>
  <si>
    <t>Anaptysbio Inc</t>
  </si>
  <si>
    <t>BV</t>
  </si>
  <si>
    <t>Brightview Holdings Inc.</t>
  </si>
  <si>
    <t>CMCO</t>
  </si>
  <si>
    <t>Columbus Mckinnon Corp</t>
  </si>
  <si>
    <t>WASH</t>
  </si>
  <si>
    <t>Washington Trust Bancorp Inc</t>
  </si>
  <si>
    <t>UVSP</t>
  </si>
  <si>
    <t>Univest Corporation Of Pennsylvania</t>
  </si>
  <si>
    <t>MATW</t>
  </si>
  <si>
    <t>Matthews International Corp Class</t>
  </si>
  <si>
    <t>BKD</t>
  </si>
  <si>
    <t>Brookdale Senior Living Inc</t>
  </si>
  <si>
    <t>SLP</t>
  </si>
  <si>
    <t>Simulations Plus Inc</t>
  </si>
  <si>
    <t>TMST</t>
  </si>
  <si>
    <t>Timkensteel Corp</t>
  </si>
  <si>
    <t>REVG</t>
  </si>
  <si>
    <t>Rev Group Inc</t>
  </si>
  <si>
    <t>ME</t>
  </si>
  <si>
    <t>23andMe Holding Co.</t>
  </si>
  <si>
    <t>OLO</t>
  </si>
  <si>
    <t>Olo Inc.</t>
  </si>
  <si>
    <t>ROVR</t>
  </si>
  <si>
    <t>Rover Group, Inc. - Class A</t>
  </si>
  <si>
    <t>GERN</t>
  </si>
  <si>
    <t>Geron Corp</t>
  </si>
  <si>
    <t>SBOW</t>
  </si>
  <si>
    <t>SilverBow Resources Inc</t>
  </si>
  <si>
    <t>KIDS</t>
  </si>
  <si>
    <t>OrthoPediatrics Corp.</t>
  </si>
  <si>
    <t>SHYF</t>
  </si>
  <si>
    <t>The Shyft Group, Inc.</t>
  </si>
  <si>
    <t>HIBB</t>
  </si>
  <si>
    <t>Hibbett Sports Inc</t>
  </si>
  <si>
    <t>RBCAA</t>
  </si>
  <si>
    <t>Republic Bancorp Inc Class A</t>
  </si>
  <si>
    <t>BOC</t>
  </si>
  <si>
    <t>Boston Omaha Corporation Class A</t>
  </si>
  <si>
    <t>HAFC</t>
  </si>
  <si>
    <t>Hanmi Financial Corp</t>
  </si>
  <si>
    <t>SMP</t>
  </si>
  <si>
    <t>Standard Motor Products Inc</t>
  </si>
  <si>
    <t>FORR</t>
  </si>
  <si>
    <t>Forrester Research Inc</t>
  </si>
  <si>
    <t>DM</t>
  </si>
  <si>
    <t>Desktop Metal, Inc. Class A</t>
  </si>
  <si>
    <t>WETF</t>
  </si>
  <si>
    <t>Wisdomtree Investments Inc</t>
  </si>
  <si>
    <t>ORGN</t>
  </si>
  <si>
    <t>Origin Materials, Inc. - Class A</t>
  </si>
  <si>
    <t>DLX</t>
  </si>
  <si>
    <t>Deluxe Corp</t>
  </si>
  <si>
    <t>DRQ</t>
  </si>
  <si>
    <t>Dril Quip Inc</t>
  </si>
  <si>
    <t>AHH</t>
  </si>
  <si>
    <t>Armada Hoffler Properties, Inc</t>
  </si>
  <si>
    <t>VRAY</t>
  </si>
  <si>
    <t>ViewRay, Inc.</t>
  </si>
  <si>
    <t>BSIG</t>
  </si>
  <si>
    <t>Brightsphere Investment Group</t>
  </si>
  <si>
    <t>TITN</t>
  </si>
  <si>
    <t>Titan Machinery Inc</t>
  </si>
  <si>
    <t>LPSN</t>
  </si>
  <si>
    <t>Liveperson Inc</t>
  </si>
  <si>
    <t>FBMS</t>
  </si>
  <si>
    <t>First Bancshares Inc</t>
  </si>
  <si>
    <t>RPT</t>
  </si>
  <si>
    <t>RPT Realty</t>
  </si>
  <si>
    <t>VRDN</t>
  </si>
  <si>
    <t>Viridian Therapeutics, Inc.</t>
  </si>
  <si>
    <t>PAR</t>
  </si>
  <si>
    <t>Par Technology Corp</t>
  </si>
  <si>
    <t>EFC</t>
  </si>
  <si>
    <t>Ellington Financial</t>
  </si>
  <si>
    <t>PTLO</t>
  </si>
  <si>
    <t>Portillos Inc</t>
  </si>
  <si>
    <t>SCSC</t>
  </si>
  <si>
    <t>Scansource Inc</t>
  </si>
  <si>
    <t>NRDS</t>
  </si>
  <si>
    <t>NerdWallet, Inc</t>
  </si>
  <si>
    <t>ACCD</t>
  </si>
  <si>
    <t>Accolade, Inc.</t>
  </si>
  <si>
    <t>HSKA</t>
  </si>
  <si>
    <t>Heska Corp</t>
  </si>
  <si>
    <t>AMWD</t>
  </si>
  <si>
    <t>American Woodmark Corp</t>
  </si>
  <si>
    <t>RICK</t>
  </si>
  <si>
    <t>Rci Hospitality Holdings Inc</t>
  </si>
  <si>
    <t>PRDO</t>
  </si>
  <si>
    <t>Perdoceo Education Corporation</t>
  </si>
  <si>
    <t>AVPT</t>
  </si>
  <si>
    <t>AvePoint, Inc. - Class A</t>
  </si>
  <si>
    <t>ALEC</t>
  </si>
  <si>
    <t>Alector, Inc.</t>
  </si>
  <si>
    <t>VHI</t>
  </si>
  <si>
    <t>Valhi Inc</t>
  </si>
  <si>
    <t>CANO</t>
  </si>
  <si>
    <t>Cano Health, Inc. Class A</t>
  </si>
  <si>
    <t>VVI</t>
  </si>
  <si>
    <t>Viad Corp</t>
  </si>
  <si>
    <t>FPI</t>
  </si>
  <si>
    <t>Farmland Partners Inc</t>
  </si>
  <si>
    <t>HONE</t>
  </si>
  <si>
    <t>HarborOne Bancorp, Inc.</t>
  </si>
  <si>
    <t>NFBK</t>
  </si>
  <si>
    <t>Northfield Bancorp Inc</t>
  </si>
  <si>
    <t>BRMK</t>
  </si>
  <si>
    <t>Broadmark Realty Capital Inc.</t>
  </si>
  <si>
    <t>JANX</t>
  </si>
  <si>
    <t>Janux Therapeutics, Inc.</t>
  </si>
  <si>
    <t>UBA</t>
  </si>
  <si>
    <t>Urstadt Biddle Properties Inc</t>
  </si>
  <si>
    <t>ICHR</t>
  </si>
  <si>
    <t>Ichor Holdings Ltd</t>
  </si>
  <si>
    <t>GSBC</t>
  </si>
  <si>
    <t>Great Southern Bancorp Inc</t>
  </si>
  <si>
    <t>AMAL</t>
  </si>
  <si>
    <t>Amalgamated Bank Class A</t>
  </si>
  <si>
    <t>MYE</t>
  </si>
  <si>
    <t>Myers Industries Inc</t>
  </si>
  <si>
    <t>MRSN</t>
  </si>
  <si>
    <t>Mersana Therapeutics Inc.</t>
  </si>
  <si>
    <t>AERI</t>
  </si>
  <si>
    <t>Aerie Pharmaceuticals Inc</t>
  </si>
  <si>
    <t>SCHN</t>
  </si>
  <si>
    <t>Schnitzer Steel Industries Inc Class A</t>
  </si>
  <si>
    <t>LPG</t>
  </si>
  <si>
    <t>Dorian Lpg Ltd</t>
  </si>
  <si>
    <t>MATV</t>
  </si>
  <si>
    <t>Mativ Holdings, Inc.</t>
  </si>
  <si>
    <t>OPI</t>
  </si>
  <si>
    <t>Office Properties Income Trust</t>
  </si>
  <si>
    <t>PLYM</t>
  </si>
  <si>
    <t>Plymouth Industrial REIT, Inc.</t>
  </si>
  <si>
    <t>HSTM</t>
  </si>
  <si>
    <t>Healthstream Inc</t>
  </si>
  <si>
    <t>PUBM</t>
  </si>
  <si>
    <t>PubMatic, Inc.</t>
  </si>
  <si>
    <t>JBSS</t>
  </si>
  <si>
    <t>John B Sanfilippo And Son Inc</t>
  </si>
  <si>
    <t>HA</t>
  </si>
  <si>
    <t>Hawaiian Holdings Inc</t>
  </si>
  <si>
    <t>RNA</t>
  </si>
  <si>
    <t>Avidity Biosciences, Inc.</t>
  </si>
  <si>
    <t>CHS</t>
  </si>
  <si>
    <t>Chicos FAS Inc</t>
  </si>
  <si>
    <t>CRAI</t>
  </si>
  <si>
    <t>Cra International Inc</t>
  </si>
  <si>
    <t>NX</t>
  </si>
  <si>
    <t>Quanex Building Products Corp</t>
  </si>
  <si>
    <t>AMCX</t>
  </si>
  <si>
    <t>AMC Networks Class A</t>
  </si>
  <si>
    <t>OSBC</t>
  </si>
  <si>
    <t>Old Second Bancorp Inc</t>
  </si>
  <si>
    <t>BJRI</t>
  </si>
  <si>
    <t>BJs Restaurants Inc</t>
  </si>
  <si>
    <t>HZO</t>
  </si>
  <si>
    <t>Marinemax Inc</t>
  </si>
  <si>
    <t>MCB</t>
  </si>
  <si>
    <t>Metropolitan Bank Holding Corp.</t>
  </si>
  <si>
    <t>MVST</t>
  </si>
  <si>
    <t>Microvast Holdings, Inc.</t>
  </si>
  <si>
    <t>AVD</t>
  </si>
  <si>
    <t>American Vanguard Corp</t>
  </si>
  <si>
    <t>VLD</t>
  </si>
  <si>
    <t>Velo3D, Inc.</t>
  </si>
  <si>
    <t>FMBH</t>
  </si>
  <si>
    <t>First Mid Illinois Bancshares Inc</t>
  </si>
  <si>
    <t>ATEX</t>
  </si>
  <si>
    <t>Anterix Inc.</t>
  </si>
  <si>
    <t>SCS</t>
  </si>
  <si>
    <t>Steelcase Inc Class A</t>
  </si>
  <si>
    <t>THRY</t>
  </si>
  <si>
    <t>Thryv Holdings, Inc.</t>
  </si>
  <si>
    <t>GRC</t>
  </si>
  <si>
    <t>Gorman-Rupp</t>
  </si>
  <si>
    <t>NNOX</t>
  </si>
  <si>
    <t>Nano-X Imaging Ltd.</t>
  </si>
  <si>
    <t>USLM</t>
  </si>
  <si>
    <t>United States Lime And Minerals In</t>
  </si>
  <si>
    <t>HLVX</t>
  </si>
  <si>
    <t>HilleVax, Inc.</t>
  </si>
  <si>
    <t>GPRO</t>
  </si>
  <si>
    <t>Gopro Inc Class A</t>
  </si>
  <si>
    <t>BRY</t>
  </si>
  <si>
    <t>Berry Petroleum Corporation</t>
  </si>
  <si>
    <t>NKTR</t>
  </si>
  <si>
    <t>Nektar Therapeutics</t>
  </si>
  <si>
    <t>IMAX</t>
  </si>
  <si>
    <t>Imax Corp</t>
  </si>
  <si>
    <t>PGC</t>
  </si>
  <si>
    <t>Peapack Gladstone Financial Corp</t>
  </si>
  <si>
    <t>TLS</t>
  </si>
  <si>
    <t>Telos Corporation</t>
  </si>
  <si>
    <t>AMRK</t>
  </si>
  <si>
    <t>A Mark Precious Metals Inc</t>
  </si>
  <si>
    <t>SRNE</t>
  </si>
  <si>
    <t>Sorrento Therapeutics Inc</t>
  </si>
  <si>
    <t>AGEN</t>
  </si>
  <si>
    <t>Agenus Inc</t>
  </si>
  <si>
    <t>MLAB</t>
  </si>
  <si>
    <t>Mesa Laboratories Inc</t>
  </si>
  <si>
    <t>TRST</t>
  </si>
  <si>
    <t>Trustco Bank Corp</t>
  </si>
  <si>
    <t>BHIL</t>
  </si>
  <si>
    <t>Benson Hill, Inc.</t>
  </si>
  <si>
    <t>ATNI</t>
  </si>
  <si>
    <t>ATN International Inc</t>
  </si>
  <si>
    <t>SD</t>
  </si>
  <si>
    <t>Sandridge Energy Inc</t>
  </si>
  <si>
    <t>ARR</t>
  </si>
  <si>
    <t>Armour Residential REIT Inc</t>
  </si>
  <si>
    <t>TSE</t>
  </si>
  <si>
    <t>Trinseo S.A.</t>
  </si>
  <si>
    <t>FC</t>
  </si>
  <si>
    <t>Franklin Covey</t>
  </si>
  <si>
    <t>OSW</t>
  </si>
  <si>
    <t>OneSpaWorld Holdings Limited</t>
  </si>
  <si>
    <t>EE</t>
  </si>
  <si>
    <t>Excelerate Energy, Inc. Class A</t>
  </si>
  <si>
    <t>UFPT</t>
  </si>
  <si>
    <t>Ufp Technologies Inc</t>
  </si>
  <si>
    <t>RUTH</t>
  </si>
  <si>
    <t>Ruths Hospitality Group Inc</t>
  </si>
  <si>
    <t>CRGY</t>
  </si>
  <si>
    <t>Crescent Energy Company Class A</t>
  </si>
  <si>
    <t>OM</t>
  </si>
  <si>
    <t>Outset Medical, Inc.</t>
  </si>
  <si>
    <t>IESC</t>
  </si>
  <si>
    <t>IES Holdings, Inc.</t>
  </si>
  <si>
    <t>GOOD</t>
  </si>
  <si>
    <t>Gladstone Commercial Corporation</t>
  </si>
  <si>
    <t>ITOS</t>
  </si>
  <si>
    <t>iTeos Therapeutics, Inc.</t>
  </si>
  <si>
    <t>BNGO</t>
  </si>
  <si>
    <t>Bionano Genomics Inc</t>
  </si>
  <si>
    <t>TNGX</t>
  </si>
  <si>
    <t>Tango Therapeutics, Inc.</t>
  </si>
  <si>
    <t>NWLI</t>
  </si>
  <si>
    <t>National Western Life Group Inc Class A</t>
  </si>
  <si>
    <t>IDYA</t>
  </si>
  <si>
    <t>IDEAYA Biosciences, Inc.</t>
  </si>
  <si>
    <t>LAND</t>
  </si>
  <si>
    <t>Gladstone Land Corporation</t>
  </si>
  <si>
    <t>SGMO</t>
  </si>
  <si>
    <t>Sangamo Therapeutics Inc</t>
  </si>
  <si>
    <t>SGH</t>
  </si>
  <si>
    <t>Smart Global Holdings</t>
  </si>
  <si>
    <t>SIGA</t>
  </si>
  <si>
    <t>Siga Technologies Inc</t>
  </si>
  <si>
    <t>UFCS</t>
  </si>
  <si>
    <t>United Fire Group Inc</t>
  </si>
  <si>
    <t>SCVL</t>
  </si>
  <si>
    <t>Shoe Carnival Inc</t>
  </si>
  <si>
    <t>HCKT</t>
  </si>
  <si>
    <t>Hackett Group Inc</t>
  </si>
  <si>
    <t>CHRS</t>
  </si>
  <si>
    <t>Coherus Biosciences Inc</t>
  </si>
  <si>
    <t>ACET</t>
  </si>
  <si>
    <t>Adicet Bio, Inc.</t>
  </si>
  <si>
    <t>BXC</t>
  </si>
  <si>
    <t>Bluelinx Holdings Inc</t>
  </si>
  <si>
    <t>ANIP</t>
  </si>
  <si>
    <t>Ani Pharmaceuticals Inc</t>
  </si>
  <si>
    <t>CSTL</t>
  </si>
  <si>
    <t>Castle Biosciences, Inc.</t>
  </si>
  <si>
    <t>ACRE</t>
  </si>
  <si>
    <t>Ares Commercial Real Estate Corp</t>
  </si>
  <si>
    <t>EGLE</t>
  </si>
  <si>
    <t>Eagle Bulk Shipping Inc</t>
  </si>
  <si>
    <t>KRNY</t>
  </si>
  <si>
    <t>Kearny Financial Test Corp</t>
  </si>
  <si>
    <t>CFB</t>
  </si>
  <si>
    <t>CrossFirst Bankshares, Inc.</t>
  </si>
  <si>
    <t>KRUS</t>
  </si>
  <si>
    <t>Kura Sushi USA, Inc. - Class A</t>
  </si>
  <si>
    <t>SATS</t>
  </si>
  <si>
    <t>Echostar Corp Class A</t>
  </si>
  <si>
    <t>SHCR</t>
  </si>
  <si>
    <t>Sharecare, Inc. - Class A</t>
  </si>
  <si>
    <t>NVTA</t>
  </si>
  <si>
    <t>Invitae Corp</t>
  </si>
  <si>
    <t>TBPH</t>
  </si>
  <si>
    <t>Theravance Biopharma Inc</t>
  </si>
  <si>
    <t>SEAT</t>
  </si>
  <si>
    <t>Vivid Seats Inc. - Class A</t>
  </si>
  <si>
    <t>NESR</t>
  </si>
  <si>
    <t>National Energy Services Reunited Corp.</t>
  </si>
  <si>
    <t>UHT</t>
  </si>
  <si>
    <t>Universal Health Realty Income Trust</t>
  </si>
  <si>
    <t>HCCI</t>
  </si>
  <si>
    <t>Heritage Crystal Inc</t>
  </si>
  <si>
    <t>YEXT</t>
  </si>
  <si>
    <t>Yext Inc</t>
  </si>
  <si>
    <t>CENX</t>
  </si>
  <si>
    <t>Century Aluminum</t>
  </si>
  <si>
    <t>ETD</t>
  </si>
  <si>
    <t>Ethan Allen Interiors Inc.</t>
  </si>
  <si>
    <t>TILE</t>
  </si>
  <si>
    <t>Interface Inc</t>
  </si>
  <si>
    <t>OSCR</t>
  </si>
  <si>
    <t>Oscar Health, Inc.</t>
  </si>
  <si>
    <t>RAPT</t>
  </si>
  <si>
    <t>RAPT Therapeutics, Inc.</t>
  </si>
  <si>
    <t>ECOM</t>
  </si>
  <si>
    <t>Channeladvisor Corp</t>
  </si>
  <si>
    <t>CCO</t>
  </si>
  <si>
    <t>Clear Channel Outdoor Holdings Inc</t>
  </si>
  <si>
    <t>CRNC</t>
  </si>
  <si>
    <t>Cerence Inc.</t>
  </si>
  <si>
    <t>BHVN</t>
  </si>
  <si>
    <t>Biohaven Pharmaceutical Holding Co</t>
  </si>
  <si>
    <t>FUBO</t>
  </si>
  <si>
    <t>FuboTV Inc.</t>
  </si>
  <si>
    <t>LBC</t>
  </si>
  <si>
    <t>Luther Burbank Corporation</t>
  </si>
  <si>
    <t>BHG</t>
  </si>
  <si>
    <t>Bright Health Group Inc.</t>
  </si>
  <si>
    <t>TSP</t>
  </si>
  <si>
    <t>TuSimple Holdings Inc.</t>
  </si>
  <si>
    <t>CERS</t>
  </si>
  <si>
    <t>Cerus Corp</t>
  </si>
  <si>
    <t>BFC</t>
  </si>
  <si>
    <t>Bank First National Corporation</t>
  </si>
  <si>
    <t>ALVR</t>
  </si>
  <si>
    <t>AlloVir, Inc.</t>
  </si>
  <si>
    <t>VTNR</t>
  </si>
  <si>
    <t>Vertex Energy Inc</t>
  </si>
  <si>
    <t>TRTX</t>
  </si>
  <si>
    <t>TPG RE Finance Trust</t>
  </si>
  <si>
    <t>HBNC</t>
  </si>
  <si>
    <t>Horizon Bancorp, Inc.</t>
  </si>
  <si>
    <t>DENN</t>
  </si>
  <si>
    <t>Dennys Corp</t>
  </si>
  <si>
    <t>LEU</t>
  </si>
  <si>
    <t>Centrus Energy Corp Class A</t>
  </si>
  <si>
    <t>TBI</t>
  </si>
  <si>
    <t>Trueblue Inc</t>
  </si>
  <si>
    <t>CEVA</t>
  </si>
  <si>
    <t>Ceva Inc</t>
  </si>
  <si>
    <t>CMPR</t>
  </si>
  <si>
    <t>Cimpress N.V</t>
  </si>
  <si>
    <t>CLDT</t>
  </si>
  <si>
    <t>Chatham Lodging Trust</t>
  </si>
  <si>
    <t>GWH</t>
  </si>
  <si>
    <t>ESS Tech, Inc.</t>
  </si>
  <si>
    <t>COLL</t>
  </si>
  <si>
    <t>Collegium Pharmaceutical Inc</t>
  </si>
  <si>
    <t>SIBN</t>
  </si>
  <si>
    <t>Si-Bone, Inc.</t>
  </si>
  <si>
    <t>HAYN</t>
  </si>
  <si>
    <t>Haynes International Inc</t>
  </si>
  <si>
    <t>IPSC</t>
  </si>
  <si>
    <t>Century Therapeutics, Inc.</t>
  </si>
  <si>
    <t>SXC</t>
  </si>
  <si>
    <t>Suncoke Energy Inc</t>
  </si>
  <si>
    <t>RGP</t>
  </si>
  <si>
    <t>Resources Connection, Inc.</t>
  </si>
  <si>
    <t>CAC</t>
  </si>
  <si>
    <t>Camden National Corp</t>
  </si>
  <si>
    <t>TGI</t>
  </si>
  <si>
    <t>Triumph Group Inc</t>
  </si>
  <si>
    <t>AMBC</t>
  </si>
  <si>
    <t>Ambac Financial Group Inc</t>
  </si>
  <si>
    <t>UIS</t>
  </si>
  <si>
    <t>Unisys Corp</t>
  </si>
  <si>
    <t>NRIX</t>
  </si>
  <si>
    <t>Nurix Therapeutics, Inc.</t>
  </si>
  <si>
    <t>KELYA</t>
  </si>
  <si>
    <t>Kelly Services Inc Class A</t>
  </si>
  <si>
    <t>MSBI</t>
  </si>
  <si>
    <t>Midland States Bancorp Inc</t>
  </si>
  <si>
    <t>CLW</t>
  </si>
  <si>
    <t>Clearwater Paper Corp</t>
  </si>
  <si>
    <t>CCB</t>
  </si>
  <si>
    <t>Coastal Financial Corporation</t>
  </si>
  <si>
    <t>BLNK</t>
  </si>
  <si>
    <t>Blink Charging Co.</t>
  </si>
  <si>
    <t>PTSI</t>
  </si>
  <si>
    <t>Pam Transportation Services Inc</t>
  </si>
  <si>
    <t>NKTX</t>
  </si>
  <si>
    <t>Nkarta, Inc.</t>
  </si>
  <si>
    <t>QNST</t>
  </si>
  <si>
    <t>Quinstreet Inc</t>
  </si>
  <si>
    <t>CNSL</t>
  </si>
  <si>
    <t>Consolidated Communications Holdings</t>
  </si>
  <si>
    <t>BBSI</t>
  </si>
  <si>
    <t>Barrett Business Services Inc</t>
  </si>
  <si>
    <t>LQDT</t>
  </si>
  <si>
    <t>Liquidity Services Inc</t>
  </si>
  <si>
    <t>IPI</t>
  </si>
  <si>
    <t>Intrepid Potash Inc</t>
  </si>
  <si>
    <t>IDT</t>
  </si>
  <si>
    <t>Idt Corp Class B</t>
  </si>
  <si>
    <t>FCBC</t>
  </si>
  <si>
    <t>First Community Bancshares Inc</t>
  </si>
  <si>
    <t>CVGW</t>
  </si>
  <si>
    <t>Calavo Growers Inc</t>
  </si>
  <si>
    <t>NAT</t>
  </si>
  <si>
    <t>Nordic American Tankers Ltd</t>
  </si>
  <si>
    <t>YORW</t>
  </si>
  <si>
    <t>York Water</t>
  </si>
  <si>
    <t>SLGC</t>
  </si>
  <si>
    <t>SomaLogic, Inc. - Class A</t>
  </si>
  <si>
    <t>LAW</t>
  </si>
  <si>
    <t>CS Disco, Inc.</t>
  </si>
  <si>
    <t>GCO</t>
  </si>
  <si>
    <t>Genesco Inc</t>
  </si>
  <si>
    <t>CLOV</t>
  </si>
  <si>
    <t>Clover Health Investments, Corp.  - Class A</t>
  </si>
  <si>
    <t>THR</t>
  </si>
  <si>
    <t>Thermon Group Holdings Inc</t>
  </si>
  <si>
    <t>CSII</t>
  </si>
  <si>
    <t>Cardiovascular Systems Inc</t>
  </si>
  <si>
    <t>CGEM</t>
  </si>
  <si>
    <t>Cullinan Management, Inc.</t>
  </si>
  <si>
    <t>CATC</t>
  </si>
  <si>
    <t>Cambridge Bancorp</t>
  </si>
  <si>
    <t>DSGR</t>
  </si>
  <si>
    <t>Distribution Solutions Group, Inc.</t>
  </si>
  <si>
    <t>VNDA</t>
  </si>
  <si>
    <t>Vanda Pharmaceuticals Inc</t>
  </si>
  <si>
    <t>MVIS</t>
  </si>
  <si>
    <t>Microvision Inc</t>
  </si>
  <si>
    <t>CMAX</t>
  </si>
  <si>
    <t>CareMax, Inc. - Class A</t>
  </si>
  <si>
    <t>HBT</t>
  </si>
  <si>
    <t>HBT Financial, Inc.</t>
  </si>
  <si>
    <t>TSVT</t>
  </si>
  <si>
    <t>2seventy bio, Inc.</t>
  </si>
  <si>
    <t>SNBR</t>
  </si>
  <si>
    <t>Sleep Number Corporation</t>
  </si>
  <si>
    <t>EBIX</t>
  </si>
  <si>
    <t>Ebix Inc</t>
  </si>
  <si>
    <t>GNK</t>
  </si>
  <si>
    <t>Genco Shipping And Trading Ltd</t>
  </si>
  <si>
    <t>CTIC</t>
  </si>
  <si>
    <t>CTI BioPharma Corp</t>
  </si>
  <si>
    <t>GMRE</t>
  </si>
  <si>
    <t>Global Medical REIT Inc</t>
  </si>
  <si>
    <t>MBI</t>
  </si>
  <si>
    <t>MBIA Inc.</t>
  </si>
  <si>
    <t>HLTH</t>
  </si>
  <si>
    <t>Cue Health Inc.</t>
  </si>
  <si>
    <t>FFIC</t>
  </si>
  <si>
    <t>Flushing Financial Corp</t>
  </si>
  <si>
    <t>CCBG</t>
  </si>
  <si>
    <t>Capital City Bank Inc</t>
  </si>
  <si>
    <t>REPX</t>
  </si>
  <si>
    <t>Riley Exploration Permian, Inc.</t>
  </si>
  <si>
    <t>IMGO</t>
  </si>
  <si>
    <t>Imago BioSciences, Inc.</t>
  </si>
  <si>
    <t>FEAM</t>
  </si>
  <si>
    <t>5E Advanced Materials, Inc.</t>
  </si>
  <si>
    <t>VSEC</t>
  </si>
  <si>
    <t>Vse Corp</t>
  </si>
  <si>
    <t>FOR</t>
  </si>
  <si>
    <t>Forestar Group Inc</t>
  </si>
  <si>
    <t>PBI</t>
  </si>
  <si>
    <t>Pitney Bowes Inc</t>
  </si>
  <si>
    <t>CRBU</t>
  </si>
  <si>
    <t>Caribou Biosciences, Inc.</t>
  </si>
  <si>
    <t>EBF</t>
  </si>
  <si>
    <t>Ennis Inc</t>
  </si>
  <si>
    <t>EWCZ</t>
  </si>
  <si>
    <t>European Wax Center, Inc.</t>
  </si>
  <si>
    <t>THFF</t>
  </si>
  <si>
    <t>First Financial Corporation</t>
  </si>
  <si>
    <t>VMEO</t>
  </si>
  <si>
    <t>Vimeo, Inc.</t>
  </si>
  <si>
    <t>CASS</t>
  </si>
  <si>
    <t>Cass Information Systems Inc</t>
  </si>
  <si>
    <t>DCO</t>
  </si>
  <si>
    <t>Ducommun Inc</t>
  </si>
  <si>
    <t>PMVP</t>
  </si>
  <si>
    <t>PMV Pharmaceuticals, Inc.</t>
  </si>
  <si>
    <t>BMRC</t>
  </si>
  <si>
    <t>Bank Of Marin Bancorp</t>
  </si>
  <si>
    <t>EQBK</t>
  </si>
  <si>
    <t>Equity Bancshares Inc Class A</t>
  </si>
  <si>
    <t>BASE</t>
  </si>
  <si>
    <t>Couchbase, Inc.</t>
  </si>
  <si>
    <t>GCBC</t>
  </si>
  <si>
    <t>Greene County Bancorp Inc</t>
  </si>
  <si>
    <t>RPAY</t>
  </si>
  <si>
    <t>Repay Holdings Corporation  - Class A</t>
  </si>
  <si>
    <t>SENS</t>
  </si>
  <si>
    <t>Senseonics Holdings Inc</t>
  </si>
  <si>
    <t>SRI</t>
  </si>
  <si>
    <t>Stoneridge Inc</t>
  </si>
  <si>
    <t>FRPH</t>
  </si>
  <si>
    <t>FRP Holdings Inc</t>
  </si>
  <si>
    <t>MCBS</t>
  </si>
  <si>
    <t>MetroCity Bankshares, Inc.</t>
  </si>
  <si>
    <t>COCO</t>
  </si>
  <si>
    <t>Vita Coco Company, Inc.</t>
  </si>
  <si>
    <t>NTGR</t>
  </si>
  <si>
    <t>Netgear Inc</t>
  </si>
  <si>
    <t>PRVB</t>
  </si>
  <si>
    <t>Provention Bio Inc</t>
  </si>
  <si>
    <t>HSII</t>
  </si>
  <si>
    <t>Heidrick And Struggles International</t>
  </si>
  <si>
    <t>DYN</t>
  </si>
  <si>
    <t>Dyne Therapeutics, Inc.</t>
  </si>
  <si>
    <t>BIG</t>
  </si>
  <si>
    <t>Big Lots Inc</t>
  </si>
  <si>
    <t>MBWM</t>
  </si>
  <si>
    <t>Mercantile Bank Corp</t>
  </si>
  <si>
    <t>AROW</t>
  </si>
  <si>
    <t>Arrow Financial Corp</t>
  </si>
  <si>
    <t>ASC</t>
  </si>
  <si>
    <t>Ardmore Shipping Corp</t>
  </si>
  <si>
    <t>DX</t>
  </si>
  <si>
    <t>Dynex Capital Inc.</t>
  </si>
  <si>
    <t>ESPR</t>
  </si>
  <si>
    <t>Esperion Therapeutics Inc</t>
  </si>
  <si>
    <t>ANGO</t>
  </si>
  <si>
    <t>Angiodynamics Inc</t>
  </si>
  <si>
    <t>IGMS</t>
  </si>
  <si>
    <t>IGM Biosciences, Inc.</t>
  </si>
  <si>
    <t>BLND</t>
  </si>
  <si>
    <t>Blend Labs, Inc.</t>
  </si>
  <si>
    <t>BFST</t>
  </si>
  <si>
    <t>Business First Bancshares Inc.</t>
  </si>
  <si>
    <t>SWIM</t>
  </si>
  <si>
    <t>Latham Group, Inc.</t>
  </si>
  <si>
    <t>CHUY</t>
  </si>
  <si>
    <t>Chuys Holdings Inc</t>
  </si>
  <si>
    <t>VITL</t>
  </si>
  <si>
    <t>Vital Farms, Inc.</t>
  </si>
  <si>
    <t>TRNS</t>
  </si>
  <si>
    <t>Transcat Inc</t>
  </si>
  <si>
    <t>DXPE</t>
  </si>
  <si>
    <t>Dxp Enterprises Inc</t>
  </si>
  <si>
    <t>CPF</t>
  </si>
  <si>
    <t>Central Pacific Financial Corp</t>
  </si>
  <si>
    <t>ADMA</t>
  </si>
  <si>
    <t>Adma Biologics Inc</t>
  </si>
  <si>
    <t>PLCE</t>
  </si>
  <si>
    <t>Childrens Place Inc</t>
  </si>
  <si>
    <t>GEVO</t>
  </si>
  <si>
    <t>Gevo Inc</t>
  </si>
  <si>
    <t>FARO</t>
  </si>
  <si>
    <t>Faro Technologies Inc</t>
  </si>
  <si>
    <t>DOMO</t>
  </si>
  <si>
    <t>Domo Inc.</t>
  </si>
  <si>
    <t>DHIL</t>
  </si>
  <si>
    <t>Diamond Hill Investment Group Inc</t>
  </si>
  <si>
    <t>MPB</t>
  </si>
  <si>
    <t>Mid Penn Bancorp Inc</t>
  </si>
  <si>
    <t>SPFI</t>
  </si>
  <si>
    <t>South Plains Financial, Inc.</t>
  </si>
  <si>
    <t>CCNE</t>
  </si>
  <si>
    <t>CNB Financial Corp</t>
  </si>
  <si>
    <t>SMRT</t>
  </si>
  <si>
    <t>SmartRent, Inc. Class A</t>
  </si>
  <si>
    <t>INDT</t>
  </si>
  <si>
    <t>INDUS Realty Trust, Inc.</t>
  </si>
  <si>
    <t>BWB</t>
  </si>
  <si>
    <t>Bridgewater Bancshares Inc.</t>
  </si>
  <si>
    <t>AMOT</t>
  </si>
  <si>
    <t>Allied Motion Technologies Inc</t>
  </si>
  <si>
    <t>STOK</t>
  </si>
  <si>
    <t>Stoke Therapeutics, Inc.</t>
  </si>
  <si>
    <t>MOV</t>
  </si>
  <si>
    <t>Movado Group Inc</t>
  </si>
  <si>
    <t>REX</t>
  </si>
  <si>
    <t>Rex American Resources Corp</t>
  </si>
  <si>
    <t>EB</t>
  </si>
  <si>
    <t>Eventbrite Inc. Class A</t>
  </si>
  <si>
    <t>ONL</t>
  </si>
  <si>
    <t>Orion Office REIT Inc.</t>
  </si>
  <si>
    <t>INGN</t>
  </si>
  <si>
    <t>Inogen Inc</t>
  </si>
  <si>
    <t>MYPS</t>
  </si>
  <si>
    <t>PLAYSTUDIOS, Inc.  - Class A</t>
  </si>
  <si>
    <t>AMSWA</t>
  </si>
  <si>
    <t>American Software Inc Class A</t>
  </si>
  <si>
    <t>INO</t>
  </si>
  <si>
    <t>Inovio Pharmaceuticals Inc</t>
  </si>
  <si>
    <t>NUTX</t>
  </si>
  <si>
    <t>Nutex Health Inc.</t>
  </si>
  <si>
    <t>NOTV</t>
  </si>
  <si>
    <t>Inotiv, Inc.</t>
  </si>
  <si>
    <t>ALXO</t>
  </si>
  <si>
    <t>ALX Oncology Holdings Inc.</t>
  </si>
  <si>
    <t>HIFS</t>
  </si>
  <si>
    <t>Hingham Institution For Savings</t>
  </si>
  <si>
    <t>AKYA</t>
  </si>
  <si>
    <t>Akoya Biosciences, Inc.</t>
  </si>
  <si>
    <t>SWBI</t>
  </si>
  <si>
    <t>Smith &amp; Wesson Brands, Inc.</t>
  </si>
  <si>
    <t>KOP</t>
  </si>
  <si>
    <t>Koppers Holdings Inc</t>
  </si>
  <si>
    <t>CMBM</t>
  </si>
  <si>
    <t>Cambium Networks Corporation</t>
  </si>
  <si>
    <t>TTI</t>
  </si>
  <si>
    <t>Tetra Technologies Inc</t>
  </si>
  <si>
    <t>CARA</t>
  </si>
  <si>
    <t>Cara Therapeutics Inc</t>
  </si>
  <si>
    <t>XPOF</t>
  </si>
  <si>
    <t>Xponential Fitness, Inc.</t>
  </si>
  <si>
    <t>SENEA</t>
  </si>
  <si>
    <t>Seneca Foods Corp Class A</t>
  </si>
  <si>
    <t>RDFN</t>
  </si>
  <si>
    <t>Redfin Corporation</t>
  </si>
  <si>
    <t>EZPW</t>
  </si>
  <si>
    <t>EZCORP, Inc. - Class A Non-Voting</t>
  </si>
  <si>
    <t>SOND</t>
  </si>
  <si>
    <t>Sonder Holdings Inc. - Class A</t>
  </si>
  <si>
    <t>GLDD</t>
  </si>
  <si>
    <t>Great Lakes Dredge And Dock Corp</t>
  </si>
  <si>
    <t>CURV</t>
  </si>
  <si>
    <t>Torrid Holdings Inc.</t>
  </si>
  <si>
    <t>HSC</t>
  </si>
  <si>
    <t>Harsco Corp</t>
  </si>
  <si>
    <t>MOFG</t>
  </si>
  <si>
    <t>Midwestone Financial Group Inc</t>
  </si>
  <si>
    <t>KE</t>
  </si>
  <si>
    <t>Kimball Electronics Inc</t>
  </si>
  <si>
    <t>METC</t>
  </si>
  <si>
    <t>Ramaco Resources Inc</t>
  </si>
  <si>
    <t>MITK</t>
  </si>
  <si>
    <t>Mitek Systems Inc</t>
  </si>
  <si>
    <t>IIIN</t>
  </si>
  <si>
    <t>Insteel Industries Inc</t>
  </si>
  <si>
    <t>EVGO</t>
  </si>
  <si>
    <t>EVgo Inc.</t>
  </si>
  <si>
    <t>NUVB</t>
  </si>
  <si>
    <t>Nuvation Bio Inc. Class A</t>
  </si>
  <si>
    <t>BIRD</t>
  </si>
  <si>
    <t>Allbirds, Inc.</t>
  </si>
  <si>
    <t>AVIR</t>
  </si>
  <si>
    <t>Atea Pharmaceuticals, Inc.</t>
  </si>
  <si>
    <t>EGHT</t>
  </si>
  <si>
    <t>8X8 Inc</t>
  </si>
  <si>
    <t>MXCT</t>
  </si>
  <si>
    <t>MaxCyte, Inc</t>
  </si>
  <si>
    <t>CCCC</t>
  </si>
  <si>
    <t>C4 Therapeutics, Inc.</t>
  </si>
  <si>
    <t>FSBC</t>
  </si>
  <si>
    <t>Five Star Bancorp</t>
  </si>
  <si>
    <t>WRLD</t>
  </si>
  <si>
    <t>World Acceptance Corp</t>
  </si>
  <si>
    <t>NSTG</t>
  </si>
  <si>
    <t>Nanostring Technologies Inc</t>
  </si>
  <si>
    <t>NPK</t>
  </si>
  <si>
    <t>National Presto Industries Inc</t>
  </si>
  <si>
    <t>OLP</t>
  </si>
  <si>
    <t>One Liberty Properties, Inc</t>
  </si>
  <si>
    <t>VERA</t>
  </si>
  <si>
    <t>Vera Therapeutics, Inc.</t>
  </si>
  <si>
    <t>MASS</t>
  </si>
  <si>
    <t>908 Devices Inc.</t>
  </si>
  <si>
    <t>HCAT</t>
  </si>
  <si>
    <t>Health Catalyst, Inc</t>
  </si>
  <si>
    <t>LUNG</t>
  </si>
  <si>
    <t>Pulmonx Corp</t>
  </si>
  <si>
    <t>VALU</t>
  </si>
  <si>
    <t>Value Line Inc</t>
  </si>
  <si>
    <t>ASPN</t>
  </si>
  <si>
    <t>Aspen Aerogels Inc</t>
  </si>
  <si>
    <t>LASR</t>
  </si>
  <si>
    <t>Nlight Inc.</t>
  </si>
  <si>
    <t>BLUE</t>
  </si>
  <si>
    <t>Bluebird Bio Inc</t>
  </si>
  <si>
    <t>IBCP</t>
  </si>
  <si>
    <t>HYLN</t>
  </si>
  <si>
    <t>Hyliion Holdings Corp. Class A</t>
  </si>
  <si>
    <t>SMBK</t>
  </si>
  <si>
    <t>SmartFinancial, Inc.</t>
  </si>
  <si>
    <t>ARCT</t>
  </si>
  <si>
    <t>Arcturus Therapeutics Ltd.</t>
  </si>
  <si>
    <t>RMNI</t>
  </si>
  <si>
    <t>Rimini Street Inc</t>
  </si>
  <si>
    <t>CISO</t>
  </si>
  <si>
    <t>Cerberus Cyber Sentinel Corporation</t>
  </si>
  <si>
    <t>TWOU</t>
  </si>
  <si>
    <t>2U Inc</t>
  </si>
  <si>
    <t>AGX</t>
  </si>
  <si>
    <t>Argan Inc</t>
  </si>
  <si>
    <t>SMR</t>
  </si>
  <si>
    <t>NuScale Power Corporation Class A</t>
  </si>
  <si>
    <t>ONEW</t>
  </si>
  <si>
    <t>OneWater Marine Inc. - Class A</t>
  </si>
  <si>
    <t>TCX</t>
  </si>
  <si>
    <t>Tucows Inc</t>
  </si>
  <si>
    <t>IIIV</t>
  </si>
  <si>
    <t>I3 Verticals Inc.</t>
  </si>
  <si>
    <t>TARS</t>
  </si>
  <si>
    <t>Tarsus Pharmaceuticals, Inc.</t>
  </si>
  <si>
    <t>DGICA</t>
  </si>
  <si>
    <t>Donegal Group Inc Class A</t>
  </si>
  <si>
    <t>EOLS</t>
  </si>
  <si>
    <t>Evolus Inc.</t>
  </si>
  <si>
    <t>ACHR</t>
  </si>
  <si>
    <t>Archer Aviation Inc. Class A</t>
  </si>
  <si>
    <t>SRDX</t>
  </si>
  <si>
    <t>Surmodics Inc</t>
  </si>
  <si>
    <t>AVTE</t>
  </si>
  <si>
    <t>Aerovate Therapeutics, Inc.</t>
  </si>
  <si>
    <t>FMNB</t>
  </si>
  <si>
    <t>Farmers National Banc Corp</t>
  </si>
  <si>
    <t>AXGN</t>
  </si>
  <si>
    <t>AxoGen, Inc.</t>
  </si>
  <si>
    <t>BVS</t>
  </si>
  <si>
    <t>Bioventus Inc.</t>
  </si>
  <si>
    <t>CTV</t>
  </si>
  <si>
    <t>Innovid Corp.</t>
  </si>
  <si>
    <t>CPSI</t>
  </si>
  <si>
    <t>Computer Programs And Systems Inc</t>
  </si>
  <si>
    <t>JOUT</t>
  </si>
  <si>
    <t>Johnson Outdoors Inc Class A</t>
  </si>
  <si>
    <t>SMBC</t>
  </si>
  <si>
    <t>Southern Missouri Bancorp Inc</t>
  </si>
  <si>
    <t>EWTX</t>
  </si>
  <si>
    <t>Edgewise Therapeutics, Inc.</t>
  </si>
  <si>
    <t>ICPT</t>
  </si>
  <si>
    <t>Intercept Pharmaceuticals Inc</t>
  </si>
  <si>
    <t>MAX</t>
  </si>
  <si>
    <t>MediaAlpha, Inc.</t>
  </si>
  <si>
    <t>AORT</t>
  </si>
  <si>
    <t>Artivion, Inc.</t>
  </si>
  <si>
    <t>WISH</t>
  </si>
  <si>
    <t>ContextLogic Inc.</t>
  </si>
  <si>
    <t>COOK</t>
  </si>
  <si>
    <t>Traeger, Inc.</t>
  </si>
  <si>
    <t>HMST</t>
  </si>
  <si>
    <t>Homestreet Inc</t>
  </si>
  <si>
    <t>HLLY</t>
  </si>
  <si>
    <t>Holley Inc.</t>
  </si>
  <si>
    <t>WSR</t>
  </si>
  <si>
    <t>Whitestone REIT</t>
  </si>
  <si>
    <t>HRTX</t>
  </si>
  <si>
    <t>Heron Therapeutics Inc</t>
  </si>
  <si>
    <t>HVT</t>
  </si>
  <si>
    <t>Haverty Furniture Companies Inc</t>
  </si>
  <si>
    <t>CYXT</t>
  </si>
  <si>
    <t>Cyxtera Technologies, Inc. - Class A</t>
  </si>
  <si>
    <t>LEGH</t>
  </si>
  <si>
    <t>Legacy Housing Corporation</t>
  </si>
  <si>
    <t>PETS</t>
  </si>
  <si>
    <t>Petmed Express Inc</t>
  </si>
  <si>
    <t>ZYXI</t>
  </si>
  <si>
    <t>Zynex, Inc.</t>
  </si>
  <si>
    <t>CRGE</t>
  </si>
  <si>
    <t>Charge Enterprises, Inc.</t>
  </si>
  <si>
    <t>CLAR</t>
  </si>
  <si>
    <t>Clarus Corporation</t>
  </si>
  <si>
    <t>ATRA</t>
  </si>
  <si>
    <t>Atara Biotherapeutics Inc</t>
  </si>
  <si>
    <t>SEER</t>
  </si>
  <si>
    <t>Seer, Inc. - Class A</t>
  </si>
  <si>
    <t>TIPT</t>
  </si>
  <si>
    <t>Tiptree Inc Class A</t>
  </si>
  <si>
    <t>KZR</t>
  </si>
  <si>
    <t>Kezar Life Sciences Inc.</t>
  </si>
  <si>
    <t>SSTI</t>
  </si>
  <si>
    <t>ShotSpotter, Inc.</t>
  </si>
  <si>
    <t>CVLG</t>
  </si>
  <si>
    <t>Covenant Logistics Group, Inc. - Class A</t>
  </si>
  <si>
    <t>ARLO</t>
  </si>
  <si>
    <t>Arlo Technologies Inc.</t>
  </si>
  <si>
    <t>HYZN</t>
  </si>
  <si>
    <t>Hyzon Motors Inc. - Class A</t>
  </si>
  <si>
    <t>GNTY</t>
  </si>
  <si>
    <t>Guaranty Bancshares Inc</t>
  </si>
  <si>
    <t>CARE</t>
  </si>
  <si>
    <t>Carter Bank &amp; Trust</t>
  </si>
  <si>
    <t>CRMT</t>
  </si>
  <si>
    <t>Americas Car-Mart Inc</t>
  </si>
  <si>
    <t>IVVD</t>
  </si>
  <si>
    <t>Invivyd, Inc.</t>
  </si>
  <si>
    <t>BHB</t>
  </si>
  <si>
    <t>Bar Harbor Bankshares</t>
  </si>
  <si>
    <t>NGMS</t>
  </si>
  <si>
    <t>NeoGames S.A.</t>
  </si>
  <si>
    <t>WKHS</t>
  </si>
  <si>
    <t>Workhorse Group Inc</t>
  </si>
  <si>
    <t>TRC</t>
  </si>
  <si>
    <t>Tejon Ranch</t>
  </si>
  <si>
    <t>ARTNA</t>
  </si>
  <si>
    <t>Artesian Resources Corp Class A</t>
  </si>
  <si>
    <t>ALBO</t>
  </si>
  <si>
    <t>Albireo Pharma Inc</t>
  </si>
  <si>
    <t>ACCO</t>
  </si>
  <si>
    <t>Acco Brands Corp</t>
  </si>
  <si>
    <t>KNSA</t>
  </si>
  <si>
    <t>Kiniksa Pharmaceuticals Ltd.</t>
  </si>
  <si>
    <t>LIND</t>
  </si>
  <si>
    <t>Lindblad Expeditions Holdings Inc</t>
  </si>
  <si>
    <t>CIO</t>
  </si>
  <si>
    <t>City Office REIT, Inc</t>
  </si>
  <si>
    <t>BLX</t>
  </si>
  <si>
    <t>Banco Latinoamericano De Comercio</t>
  </si>
  <si>
    <t>ORGO</t>
  </si>
  <si>
    <t>Organogenesis Holdings Inc.  - Class A</t>
  </si>
  <si>
    <t>ALRS</t>
  </si>
  <si>
    <t>Alerus Financial Corporation</t>
  </si>
  <si>
    <t>CYH</t>
  </si>
  <si>
    <t>Community Health Systems Inc</t>
  </si>
  <si>
    <t>ZUMZ</t>
  </si>
  <si>
    <t>Zumiez Inc</t>
  </si>
  <si>
    <t>ANIK</t>
  </si>
  <si>
    <t>Anika Therapeutics Inc</t>
  </si>
  <si>
    <t>RBBN</t>
  </si>
  <si>
    <t>Ribbon Communications Inc.</t>
  </si>
  <si>
    <t>CIR</t>
  </si>
  <si>
    <t>Circor International Inc</t>
  </si>
  <si>
    <t>KODK</t>
  </si>
  <si>
    <t>Eastman Kodak</t>
  </si>
  <si>
    <t>UP</t>
  </si>
  <si>
    <t>Wheels Up Experience Inc. Class A</t>
  </si>
  <si>
    <t>PHAT</t>
  </si>
  <si>
    <t>Phathom Pharmaceuticals, Inc.</t>
  </si>
  <si>
    <t>FCUV</t>
  </si>
  <si>
    <t>Focus Universal Inc</t>
  </si>
  <si>
    <t>ARIS</t>
  </si>
  <si>
    <t>Aris Water Solutions, Inc.</t>
  </si>
  <si>
    <t>EGRX</t>
  </si>
  <si>
    <t>Eagle Pharmaceuticals Inc</t>
  </si>
  <si>
    <t>NGM</t>
  </si>
  <si>
    <t>NGM Biopharmaceuticals, Inc.</t>
  </si>
  <si>
    <t>VPG</t>
  </si>
  <si>
    <t>Vishay Precision Group Inc</t>
  </si>
  <si>
    <t>BH</t>
  </si>
  <si>
    <t>Biglari Holdings Inc Class B</t>
  </si>
  <si>
    <t>RBB</t>
  </si>
  <si>
    <t>RBB Bancorp</t>
  </si>
  <si>
    <t>TK</t>
  </si>
  <si>
    <t>Teekay Corp</t>
  </si>
  <si>
    <t>OIS</t>
  </si>
  <si>
    <t>Oil States International Inc</t>
  </si>
  <si>
    <t>RMR</t>
  </si>
  <si>
    <t>RMR Group Inc Class A</t>
  </si>
  <si>
    <t>DZSI</t>
  </si>
  <si>
    <t>DASAN Zhone Solutions, Inc.</t>
  </si>
  <si>
    <t>BOOM</t>
  </si>
  <si>
    <t>Dmc Global Inc</t>
  </si>
  <si>
    <t>EVLV</t>
  </si>
  <si>
    <t>Evolv Technologies Holdings, Inc. - Class A</t>
  </si>
  <si>
    <t>GLUE</t>
  </si>
  <si>
    <t>Monte Rosa Therapeutics, Inc.</t>
  </si>
  <si>
    <t>NL</t>
  </si>
  <si>
    <t>Nl Industries Inc</t>
  </si>
  <si>
    <t>PLPC</t>
  </si>
  <si>
    <t>Preformed Line Products</t>
  </si>
  <si>
    <t>REI</t>
  </si>
  <si>
    <t>Ring Energy Inc</t>
  </si>
  <si>
    <t>BRT</t>
  </si>
  <si>
    <t>BRT Apartments Corp</t>
  </si>
  <si>
    <t>DXLG</t>
  </si>
  <si>
    <t>Destination XL Group, Inc</t>
  </si>
  <si>
    <t>JMSB</t>
  </si>
  <si>
    <t>John Marshall Bancorp Inc.</t>
  </si>
  <si>
    <t>PTGX</t>
  </si>
  <si>
    <t>Protagonist Therapeutics Inc</t>
  </si>
  <si>
    <t>GPMT</t>
  </si>
  <si>
    <t>Granite Point Mortgage Trust Inc.</t>
  </si>
  <si>
    <t>QTRX</t>
  </si>
  <si>
    <t>Quanterix Corporation</t>
  </si>
  <si>
    <t>AEVA</t>
  </si>
  <si>
    <t>Aeva Technologies, Inc.</t>
  </si>
  <si>
    <t>OSPN</t>
  </si>
  <si>
    <t>Onespan Inc</t>
  </si>
  <si>
    <t>MKFG</t>
  </si>
  <si>
    <t>Markforged Holding Corporation</t>
  </si>
  <si>
    <t>HDSN</t>
  </si>
  <si>
    <t>Hudson Technologies Inc</t>
  </si>
  <si>
    <t>LXRX</t>
  </si>
  <si>
    <t>Lexicon Pharmaceuticals Inc</t>
  </si>
  <si>
    <t>TPB</t>
  </si>
  <si>
    <t>Turning Point Brands Inc</t>
  </si>
  <si>
    <t>ATLC</t>
  </si>
  <si>
    <t>Atlanticus Holdings Corp</t>
  </si>
  <si>
    <t>ALTG</t>
  </si>
  <si>
    <t>Alta Equipment Group Inc. Class A</t>
  </si>
  <si>
    <t>NRGV</t>
  </si>
  <si>
    <t>Energy Vault Holdings, Inc.</t>
  </si>
  <si>
    <t>STRO</t>
  </si>
  <si>
    <t>Sutro Biopharma, Inc.</t>
  </si>
  <si>
    <t>FMAO</t>
  </si>
  <si>
    <t>Farmers And Merchants Bancorp Inc</t>
  </si>
  <si>
    <t>PRTH</t>
  </si>
  <si>
    <t>Priority Technology Holdings, Inc.</t>
  </si>
  <si>
    <t>MCFT</t>
  </si>
  <si>
    <t>MasterCraft Boat Holdings, Inc.</t>
  </si>
  <si>
    <t>CYBE</t>
  </si>
  <si>
    <t>Cyberoptics Corp</t>
  </si>
  <si>
    <t>RRBI</t>
  </si>
  <si>
    <t>Red River Bancshares, Inc.</t>
  </si>
  <si>
    <t>RBOT</t>
  </si>
  <si>
    <t>Vicarious Surgical Inc. Class A</t>
  </si>
  <si>
    <t>SHBI</t>
  </si>
  <si>
    <t>Shore Bancshares Inc</t>
  </si>
  <si>
    <t>AMNB</t>
  </si>
  <si>
    <t>American National Bankshares Inc</t>
  </si>
  <si>
    <t>SMFR</t>
  </si>
  <si>
    <t>Sema4 Holdings Corp. - Class A</t>
  </si>
  <si>
    <t>TGAN</t>
  </si>
  <si>
    <t>Transphorm, Inc.</t>
  </si>
  <si>
    <t>LXFR</t>
  </si>
  <si>
    <t>Luxfer Holdings PLC</t>
  </si>
  <si>
    <t>HY</t>
  </si>
  <si>
    <t>Hyster Yale Materials Handling Inc</t>
  </si>
  <si>
    <t>PFIS</t>
  </si>
  <si>
    <t>Peoples Financial Services Corp</t>
  </si>
  <si>
    <t>FLIC</t>
  </si>
  <si>
    <t>First Of Long Island Corp</t>
  </si>
  <si>
    <t>OOMA</t>
  </si>
  <si>
    <t>Ooma Inc</t>
  </si>
  <si>
    <t>AMPY</t>
  </si>
  <si>
    <t>Amplify Energy Corp.</t>
  </si>
  <si>
    <t>BRCC</t>
  </si>
  <si>
    <t>BRC Inc.</t>
  </si>
  <si>
    <t>MCBC</t>
  </si>
  <si>
    <t>Macatawa Bank Corp</t>
  </si>
  <si>
    <t>IVR</t>
  </si>
  <si>
    <t>Invesco Mortgage Capital</t>
  </si>
  <si>
    <t>PNTG</t>
  </si>
  <si>
    <t>The Pennant Group, Inc.</t>
  </si>
  <si>
    <t>SGHT</t>
  </si>
  <si>
    <t>Sight Sciences, Inc.</t>
  </si>
  <si>
    <t>TTCF</t>
  </si>
  <si>
    <t>Tattooed Chef, Inc. - Class A</t>
  </si>
  <si>
    <t>OPY</t>
  </si>
  <si>
    <t>Oppenheimer Holdings, Inc. Class A</t>
  </si>
  <si>
    <t>AIRS</t>
  </si>
  <si>
    <t>Airsculpt Technologies, Inc.</t>
  </si>
  <si>
    <t>CTO</t>
  </si>
  <si>
    <t>Consolidated Tomoka Land</t>
  </si>
  <si>
    <t>POWW</t>
  </si>
  <si>
    <t>AMMO Inc</t>
  </si>
  <si>
    <t>CSTR</t>
  </si>
  <si>
    <t>Capstar Financial Holdings Inc</t>
  </si>
  <si>
    <t>TPC</t>
  </si>
  <si>
    <t>Tutor Perini Corp</t>
  </si>
  <si>
    <t>ONTF</t>
  </si>
  <si>
    <t>ON24 INC</t>
  </si>
  <si>
    <t>NBN</t>
  </si>
  <si>
    <t>Northeast Bancorp</t>
  </si>
  <si>
    <t>DSKE</t>
  </si>
  <si>
    <t>Daseke Inc</t>
  </si>
  <si>
    <t>BW</t>
  </si>
  <si>
    <t>Babcock And Wilcox Enterprises Inc</t>
  </si>
  <si>
    <t>LLAP</t>
  </si>
  <si>
    <t>Terran Orbital Corporation</t>
  </si>
  <si>
    <t>RSVR</t>
  </si>
  <si>
    <t>Reservoir Media, Inc..</t>
  </si>
  <si>
    <t>LOVE</t>
  </si>
  <si>
    <t>The Lovesac Company</t>
  </si>
  <si>
    <t>KNTE</t>
  </si>
  <si>
    <t>Kinnate Biopharma Inc.</t>
  </si>
  <si>
    <t>WSBF</t>
  </si>
  <si>
    <t>Waterstone Financial Inc</t>
  </si>
  <si>
    <t>RIDE</t>
  </si>
  <si>
    <t>Lordstown Motors Corp. - Class A</t>
  </si>
  <si>
    <t>DOUG</t>
  </si>
  <si>
    <t>Douglas Elliman Inc.</t>
  </si>
  <si>
    <t>EBTC</t>
  </si>
  <si>
    <t>Enterprise Bancorp Inc</t>
  </si>
  <si>
    <t>PEAR</t>
  </si>
  <si>
    <t>Pear Therapeutics, Inc. - Class A</t>
  </si>
  <si>
    <t>KPTI</t>
  </si>
  <si>
    <t>Karyopharm Therapeutics Inc</t>
  </si>
  <si>
    <t>TPIC</t>
  </si>
  <si>
    <t>TPI Composites, Inc.</t>
  </si>
  <si>
    <t>HT</t>
  </si>
  <si>
    <t>Hersha Hospitality Trust</t>
  </si>
  <si>
    <t>HTBI</t>
  </si>
  <si>
    <t>Hometrust Bancshares Inc</t>
  </si>
  <si>
    <t>GOEV</t>
  </si>
  <si>
    <t>Canoo Inc.  - Class A</t>
  </si>
  <si>
    <t>RMAX</t>
  </si>
  <si>
    <t>Re Max Holdings Inc Class A</t>
  </si>
  <si>
    <t>CDXS</t>
  </si>
  <si>
    <t>Codexis Inc</t>
  </si>
  <si>
    <t>HUMA</t>
  </si>
  <si>
    <t>Humacyte, Inc.</t>
  </si>
  <si>
    <t>ESQ</t>
  </si>
  <si>
    <t>Esquire Financial Holdings Inc.</t>
  </si>
  <si>
    <t>SMMF</t>
  </si>
  <si>
    <t>Summit Financial Group Inc</t>
  </si>
  <si>
    <t>PFHD</t>
  </si>
  <si>
    <t>Professional Holding Corp. - Class A</t>
  </si>
  <si>
    <t>WTBA</t>
  </si>
  <si>
    <t>West Bancorporation Inc</t>
  </si>
  <si>
    <t>KOD</t>
  </si>
  <si>
    <t>Kodiak Sciences Inc</t>
  </si>
  <si>
    <t>LOCO</t>
  </si>
  <si>
    <t>El Pollo Loco Holdings, Inc.</t>
  </si>
  <si>
    <t>OCGN</t>
  </si>
  <si>
    <t>Ocugen, Inc.</t>
  </si>
  <si>
    <t>EGIO</t>
  </si>
  <si>
    <t>Edgio, Inc.</t>
  </si>
  <si>
    <t>AURA</t>
  </si>
  <si>
    <t>Aura Biosciences, Inc.</t>
  </si>
  <si>
    <t>MPAA</t>
  </si>
  <si>
    <t>Motorcar Parts Of America Inc</t>
  </si>
  <si>
    <t>AVNW</t>
  </si>
  <si>
    <t>Aviat Networks Inc</t>
  </si>
  <si>
    <t>CIVB</t>
  </si>
  <si>
    <t>Civista Bancshares Inc</t>
  </si>
  <si>
    <t>FISI</t>
  </si>
  <si>
    <t>Financial Institutions Inc</t>
  </si>
  <si>
    <t>WEBR</t>
  </si>
  <si>
    <t>Weber Inc.</t>
  </si>
  <si>
    <t>DJCO</t>
  </si>
  <si>
    <t>Daily Journal Corp</t>
  </si>
  <si>
    <t>ABUS</t>
  </si>
  <si>
    <t>Arbutus Biopharma Corporation</t>
  </si>
  <si>
    <t>CZNC</t>
  </si>
  <si>
    <t>Citizens And Northern Corp</t>
  </si>
  <si>
    <t>BBCP</t>
  </si>
  <si>
    <t>Concrete Pumping Holdings, Inc.</t>
  </si>
  <si>
    <t>STR</t>
  </si>
  <si>
    <t>Sitio Royalties Corp. - Class A</t>
  </si>
  <si>
    <t>SFST</t>
  </si>
  <si>
    <t>Southern First Bancshares Inc</t>
  </si>
  <si>
    <t>IBEX</t>
  </si>
  <si>
    <t>IBEX Ltd</t>
  </si>
  <si>
    <t>SOI</t>
  </si>
  <si>
    <t>Solaris Oilfield Infrastructure, Inc. Class A</t>
  </si>
  <si>
    <t>TG</t>
  </si>
  <si>
    <t>Tredegar Corp</t>
  </si>
  <si>
    <t>MCS</t>
  </si>
  <si>
    <t>The Marcus Corp</t>
  </si>
  <si>
    <t>BZH</t>
  </si>
  <si>
    <t>Beazer Homes Inc</t>
  </si>
  <si>
    <t>LE</t>
  </si>
  <si>
    <t>Land End Inc</t>
  </si>
  <si>
    <t>SKLZ</t>
  </si>
  <si>
    <t>Skillz Inc. Class A</t>
  </si>
  <si>
    <t>FHTX</t>
  </si>
  <si>
    <t>Foghorn Therapeutics Inc.</t>
  </si>
  <si>
    <t>MPX</t>
  </si>
  <si>
    <t>Marine Products Corp</t>
  </si>
  <si>
    <t>SPWH</t>
  </si>
  <si>
    <t>Sportsmans Warehouse Holdings Inc</t>
  </si>
  <si>
    <t>DFH</t>
  </si>
  <si>
    <t>Dream Finders Homes, Inc.</t>
  </si>
  <si>
    <t>QSI</t>
  </si>
  <si>
    <t>Quantum-Si Incorporated - Class A</t>
  </si>
  <si>
    <t>BBBY</t>
  </si>
  <si>
    <t>Bed Bath And Beyond Inc</t>
  </si>
  <si>
    <t>WEAV</t>
  </si>
  <si>
    <t>Weave Communications, Inc.</t>
  </si>
  <si>
    <t>HBCP</t>
  </si>
  <si>
    <t>Home Bancorp Inc</t>
  </si>
  <si>
    <t>AMRX</t>
  </si>
  <si>
    <t>Amneal Pharmaceuticals Inc Class A</t>
  </si>
  <si>
    <t>GCMG</t>
  </si>
  <si>
    <t>GCM Grosvenor Inc. - Class A</t>
  </si>
  <si>
    <t>PGEN</t>
  </si>
  <si>
    <t>Precigen, Inc.</t>
  </si>
  <si>
    <t>BLFY</t>
  </si>
  <si>
    <t>Blue Foundry Bancorp</t>
  </si>
  <si>
    <t>EP</t>
  </si>
  <si>
    <t>Empire Petroleum Corporation</t>
  </si>
  <si>
    <t>CSV</t>
  </si>
  <si>
    <t>Carriage Services Inc</t>
  </si>
  <si>
    <t>ACMR</t>
  </si>
  <si>
    <t>ACM Research Inc.</t>
  </si>
  <si>
    <t>BHR</t>
  </si>
  <si>
    <t>Braemar Hotels &amp; Resorts, Inc</t>
  </si>
  <si>
    <t>MULN</t>
  </si>
  <si>
    <t>Mullen Automotive, Inc.</t>
  </si>
  <si>
    <t>IRMD</t>
  </si>
  <si>
    <t>Iradimed Corp</t>
  </si>
  <si>
    <t>NETI</t>
  </si>
  <si>
    <t>Eneti Inc.</t>
  </si>
  <si>
    <t>TCI</t>
  </si>
  <si>
    <t>Transcontinental Realty Investors</t>
  </si>
  <si>
    <t>RXST</t>
  </si>
  <si>
    <t>RxSight, Inc.</t>
  </si>
  <si>
    <t>FNLC</t>
  </si>
  <si>
    <t>First Bancorp Inc.</t>
  </si>
  <si>
    <t>TUP</t>
  </si>
  <si>
    <t>Tupperware Brands Corp</t>
  </si>
  <si>
    <t>MDXG</t>
  </si>
  <si>
    <t>MiMedx Group, Inc</t>
  </si>
  <si>
    <t>NN</t>
  </si>
  <si>
    <t>NextNav Inc.</t>
  </si>
  <si>
    <t>SKYT</t>
  </si>
  <si>
    <t>SkyWater Technology, Inc</t>
  </si>
  <si>
    <t>BTAI</t>
  </si>
  <si>
    <t>Bioxcel Therapeutics Inc.</t>
  </si>
  <si>
    <t>TIL</t>
  </si>
  <si>
    <t>Instil Bio, Inc.</t>
  </si>
  <si>
    <t>HCI</t>
  </si>
  <si>
    <t>HCI Group Inc</t>
  </si>
  <si>
    <t>CPTN</t>
  </si>
  <si>
    <t>Cepton, Inc.</t>
  </si>
  <si>
    <t>AFCG</t>
  </si>
  <si>
    <t>AFC Gamma, Inc.</t>
  </si>
  <si>
    <t>NWPX</t>
  </si>
  <si>
    <t>Northwest Pipe</t>
  </si>
  <si>
    <t>CBNK</t>
  </si>
  <si>
    <t>Capital Bancorp, Inc.</t>
  </si>
  <si>
    <t>ORC</t>
  </si>
  <si>
    <t>Orchid Island Capital Inc</t>
  </si>
  <si>
    <t>BCBP</t>
  </si>
  <si>
    <t>BCB Bancorp Inc</t>
  </si>
  <si>
    <t>RM</t>
  </si>
  <si>
    <t>Regional Management Corp</t>
  </si>
  <si>
    <t>LQDA</t>
  </si>
  <si>
    <t>Liquidia Technologies Inc.</t>
  </si>
  <si>
    <t>MTW</t>
  </si>
  <si>
    <t>Manitowoc Inc</t>
  </si>
  <si>
    <t>NC</t>
  </si>
  <si>
    <t>Nacco Industries Inc Class A</t>
  </si>
  <si>
    <t>GBIO</t>
  </si>
  <si>
    <t>Generation Bio Co.</t>
  </si>
  <si>
    <t>PWP</t>
  </si>
  <si>
    <t>Perella Weinberg Partners - Class A</t>
  </si>
  <si>
    <t>SFIX</t>
  </si>
  <si>
    <t>Stitch Fix Inc</t>
  </si>
  <si>
    <t>CELU</t>
  </si>
  <si>
    <t>Celularity Inc. - Class A</t>
  </si>
  <si>
    <t>VUZI</t>
  </si>
  <si>
    <t>Vuzix Corp</t>
  </si>
  <si>
    <t>DMRC</t>
  </si>
  <si>
    <t>Digimarc Corp</t>
  </si>
  <si>
    <t>BARK</t>
  </si>
  <si>
    <t>The Original BARK Company</t>
  </si>
  <si>
    <t>BSRR</t>
  </si>
  <si>
    <t>Sierra Bancorp</t>
  </si>
  <si>
    <t>MGTX</t>
  </si>
  <si>
    <t>Meiragtx Holdings Plc</t>
  </si>
  <si>
    <t>FBIZ</t>
  </si>
  <si>
    <t>First Business Financial Services</t>
  </si>
  <si>
    <t>NR</t>
  </si>
  <si>
    <t>Newpark Resources Inc</t>
  </si>
  <si>
    <t>WW</t>
  </si>
  <si>
    <t>Weight Watchers International Inc</t>
  </si>
  <si>
    <t>SBT</t>
  </si>
  <si>
    <t>Sterling Bancorp, Inc.</t>
  </si>
  <si>
    <t>FXLV</t>
  </si>
  <si>
    <t>F45 Training Holdings Inc.</t>
  </si>
  <si>
    <t>DHC</t>
  </si>
  <si>
    <t>Diversified Healthcare Trust</t>
  </si>
  <si>
    <t>UTMD</t>
  </si>
  <si>
    <t>Utah Medical Products Inc</t>
  </si>
  <si>
    <t>OFIX</t>
  </si>
  <si>
    <t>Orthofix International Nv</t>
  </si>
  <si>
    <t>BLDE</t>
  </si>
  <si>
    <t>Blade Air Mobility, Inc. - Class A</t>
  </si>
  <si>
    <t>OSUR</t>
  </si>
  <si>
    <t>Orasure Technologies Inc</t>
  </si>
  <si>
    <t>HLGN</t>
  </si>
  <si>
    <t>Heliogen, Inc.</t>
  </si>
  <si>
    <t>SB</t>
  </si>
  <si>
    <t>Safe Bulkers Inc</t>
  </si>
  <si>
    <t>CDLX</t>
  </si>
  <si>
    <t>Cardlytics Inc.</t>
  </si>
  <si>
    <t>MGNX</t>
  </si>
  <si>
    <t>Macrogenics Inc</t>
  </si>
  <si>
    <t>GAMB</t>
  </si>
  <si>
    <t>Gambling.com Group Ltd</t>
  </si>
  <si>
    <t>TREE</t>
  </si>
  <si>
    <t>Lendingtree Inc</t>
  </si>
  <si>
    <t>HNST</t>
  </si>
  <si>
    <t>Honest Company, Inc.</t>
  </si>
  <si>
    <t>FRST</t>
  </si>
  <si>
    <t>Primis Financial Corp.</t>
  </si>
  <si>
    <t>AAN</t>
  </si>
  <si>
    <t>Aarons Inc</t>
  </si>
  <si>
    <t>ILPT</t>
  </si>
  <si>
    <t>Industrial Logistics Properties Trust</t>
  </si>
  <si>
    <t>AADI</t>
  </si>
  <si>
    <t>Aadi Biosciences, Inc.</t>
  </si>
  <si>
    <t>ZEUS</t>
  </si>
  <si>
    <t>Olympic Steel Inc</t>
  </si>
  <si>
    <t>PACK</t>
  </si>
  <si>
    <t>Ranpak Holdings Corp Class A</t>
  </si>
  <si>
    <t>DHX</t>
  </si>
  <si>
    <t>Dhi Group Inc</t>
  </si>
  <si>
    <t>STRC</t>
  </si>
  <si>
    <t>Sarcos Technology and Robotics Corporation</t>
  </si>
  <si>
    <t>UVE</t>
  </si>
  <si>
    <t>Universal Insurance Holdings Inc</t>
  </si>
  <si>
    <t>EGY</t>
  </si>
  <si>
    <t>Vaalco Energy Inc</t>
  </si>
  <si>
    <t>RLGT</t>
  </si>
  <si>
    <t>Radiant Logistic Inc</t>
  </si>
  <si>
    <t>ALTO</t>
  </si>
  <si>
    <t>Alto Ingredients, Inc.</t>
  </si>
  <si>
    <t>ACNB</t>
  </si>
  <si>
    <t>ACNB Corporation</t>
  </si>
  <si>
    <t>MVBF</t>
  </si>
  <si>
    <t>MVB Financial Corp.</t>
  </si>
  <si>
    <t>PLM</t>
  </si>
  <si>
    <t>Polymet Mining Corporation</t>
  </si>
  <si>
    <t>PEPG</t>
  </si>
  <si>
    <t>PepGen Inc.</t>
  </si>
  <si>
    <t>KRT</t>
  </si>
  <si>
    <t>Karat Packaging Inc.</t>
  </si>
  <si>
    <t>TOI</t>
  </si>
  <si>
    <t>The Oncology Institute, Inc.</t>
  </si>
  <si>
    <t>VEL</t>
  </si>
  <si>
    <t>Velocity Financial, Inc.</t>
  </si>
  <si>
    <t>CSTE</t>
  </si>
  <si>
    <t>Caesarstone Ltd</t>
  </si>
  <si>
    <t>BLBD</t>
  </si>
  <si>
    <t>Blue Bird Corp</t>
  </si>
  <si>
    <t>GRNA</t>
  </si>
  <si>
    <t>GreenLight Biosciences Holdings, PBC</t>
  </si>
  <si>
    <t>PAHC</t>
  </si>
  <si>
    <t>Phibro Animal Health Corp Class A</t>
  </si>
  <si>
    <t>CMTL</t>
  </si>
  <si>
    <t>Comtech Telecommunications Corp</t>
  </si>
  <si>
    <t>EVC</t>
  </si>
  <si>
    <t>Entravision Communications Corp Cl</t>
  </si>
  <si>
    <t>UNTY</t>
  </si>
  <si>
    <t>Unity Bancorp Inc</t>
  </si>
  <si>
    <t>SKIL</t>
  </si>
  <si>
    <t>Skillsoft Corp. Class A</t>
  </si>
  <si>
    <t>TYRA</t>
  </si>
  <si>
    <t>Tyra Biosciences, Inc.</t>
  </si>
  <si>
    <t>FSP</t>
  </si>
  <si>
    <t>Franklin Street Properties Corp</t>
  </si>
  <si>
    <t>CASA</t>
  </si>
  <si>
    <t>Casa Systems Inc.</t>
  </si>
  <si>
    <t>LVOX</t>
  </si>
  <si>
    <t>LiveVox Holding, Inc. - Class A</t>
  </si>
  <si>
    <t>GWRS</t>
  </si>
  <si>
    <t>Global Water Resources Inc</t>
  </si>
  <si>
    <t>MLR</t>
  </si>
  <si>
    <t>Miller Industries Inc</t>
  </si>
  <si>
    <t>PCSB</t>
  </si>
  <si>
    <t>PCSB Financial Corporation</t>
  </si>
  <si>
    <t>NAUT</t>
  </si>
  <si>
    <t>Nautilus Biotechnology, Inc.</t>
  </si>
  <si>
    <t>POWL</t>
  </si>
  <si>
    <t>Powell Industries Inc</t>
  </si>
  <si>
    <t>ARL</t>
  </si>
  <si>
    <t>American Realty Investors Inc</t>
  </si>
  <si>
    <t>PSTL</t>
  </si>
  <si>
    <t>Postal Realty Trust, Inc. Class A</t>
  </si>
  <si>
    <t>PRPL</t>
  </si>
  <si>
    <t>Purple Innovation Inc</t>
  </si>
  <si>
    <t>FF</t>
  </si>
  <si>
    <t>Futurefuel Corp</t>
  </si>
  <si>
    <t>RAD</t>
  </si>
  <si>
    <t>Rite Aid Corp</t>
  </si>
  <si>
    <t>RLYB</t>
  </si>
  <si>
    <t>Rallybio Corp</t>
  </si>
  <si>
    <t>FDMT</t>
  </si>
  <si>
    <t>4D Molecular Therapeutics, Inc.</t>
  </si>
  <si>
    <t>ABSI</t>
  </si>
  <si>
    <t>AbSci Corp</t>
  </si>
  <si>
    <t>BAND</t>
  </si>
  <si>
    <t>Bandwidth Inc.</t>
  </si>
  <si>
    <t>LNDC</t>
  </si>
  <si>
    <t>Landec Corp</t>
  </si>
  <si>
    <t>RYAM</t>
  </si>
  <si>
    <t>Rayonier Advanced Materials Inc</t>
  </si>
  <si>
    <t>BGFV</t>
  </si>
  <si>
    <t>Big 5 Sporting Goods Corp</t>
  </si>
  <si>
    <t>OCUL</t>
  </si>
  <si>
    <t>Ocular Therapeutix Inc</t>
  </si>
  <si>
    <t>BGRY</t>
  </si>
  <si>
    <t>Berkshire Grey, Inc. - Class A</t>
  </si>
  <si>
    <t>ML</t>
  </si>
  <si>
    <t>MoneyLion Inc. Class A</t>
  </si>
  <si>
    <t>BCOV</t>
  </si>
  <si>
    <t>Brightcove Inc</t>
  </si>
  <si>
    <t>DNMR</t>
  </si>
  <si>
    <t>Danimer Scientific, Inc.</t>
  </si>
  <si>
    <t>URG</t>
  </si>
  <si>
    <t>Ur Energy Inc</t>
  </si>
  <si>
    <t>NODK</t>
  </si>
  <si>
    <t>Ni Holdings Inc</t>
  </si>
  <si>
    <t>VIEW</t>
  </si>
  <si>
    <t>View, Inc. - Class A</t>
  </si>
  <si>
    <t>FVCB</t>
  </si>
  <si>
    <t>FVCBankcorp Inc</t>
  </si>
  <si>
    <t>ITIC</t>
  </si>
  <si>
    <t>Investors Title</t>
  </si>
  <si>
    <t>ORRF</t>
  </si>
  <si>
    <t>Orrstown Financial Services Inc</t>
  </si>
  <si>
    <t>PCB</t>
  </si>
  <si>
    <t>Pacific City Financial Corporation</t>
  </si>
  <si>
    <t>FLWS</t>
  </si>
  <si>
    <t>1-800 Flowers.Com Inc Class A</t>
  </si>
  <si>
    <t>RSI</t>
  </si>
  <si>
    <t>Rush Street Interactive, Inc. Class A</t>
  </si>
  <si>
    <t>OPRX</t>
  </si>
  <si>
    <t>Optimizerx Corporation</t>
  </si>
  <si>
    <t>INVE</t>
  </si>
  <si>
    <t>Identiv Inc</t>
  </si>
  <si>
    <t>CRD.A</t>
  </si>
  <si>
    <t>Crawford &amp; Company Class A</t>
  </si>
  <si>
    <t>RMBL</t>
  </si>
  <si>
    <t>Rumbleon Inc Class B</t>
  </si>
  <si>
    <t>ATCX</t>
  </si>
  <si>
    <t>Atlas Technical Consultants, Inc. - Class A</t>
  </si>
  <si>
    <t>NDLS</t>
  </si>
  <si>
    <t>Noodles Class A</t>
  </si>
  <si>
    <t>DIBS</t>
  </si>
  <si>
    <t>1stdibs.com, Inc.</t>
  </si>
  <si>
    <t>PBFS</t>
  </si>
  <si>
    <t>Pioneer Bancorp, Inc.</t>
  </si>
  <si>
    <t>NGVC</t>
  </si>
  <si>
    <t>Natural Grocers By Vitamin Cottage</t>
  </si>
  <si>
    <t>AHT</t>
  </si>
  <si>
    <t>Ashford Hospitality Trust, Inc</t>
  </si>
  <si>
    <t>KBAL</t>
  </si>
  <si>
    <t>Kimball International Inc Class B</t>
  </si>
  <si>
    <t>XXII</t>
  </si>
  <si>
    <t>Century Group Inc</t>
  </si>
  <si>
    <t>MYFW</t>
  </si>
  <si>
    <t>First Western Financial Inc.</t>
  </si>
  <si>
    <t>USCB</t>
  </si>
  <si>
    <t>U.S. Century Bank Class A</t>
  </si>
  <si>
    <t>CENN</t>
  </si>
  <si>
    <t>Cenntro Electric Group Limited</t>
  </si>
  <si>
    <t>SCU</t>
  </si>
  <si>
    <t>Sculptor Capital Management, Inc. Class A</t>
  </si>
  <si>
    <t>TCBX</t>
  </si>
  <si>
    <t>Third Coast Bancshares, Inc.</t>
  </si>
  <si>
    <t>BBW</t>
  </si>
  <si>
    <t>Build A Bear Workshop Inc</t>
  </si>
  <si>
    <t>BVH</t>
  </si>
  <si>
    <t>Bluegreen Vacations Holding Corporation Class A</t>
  </si>
  <si>
    <t>INSE</t>
  </si>
  <si>
    <t>Inspired Entertainment Inc</t>
  </si>
  <si>
    <t>DC</t>
  </si>
  <si>
    <t>Dakota Gold Corp.</t>
  </si>
  <si>
    <t>UEIC</t>
  </si>
  <si>
    <t>Universal Electronics Inc</t>
  </si>
  <si>
    <t>DTC</t>
  </si>
  <si>
    <t>Solo Brands, Inc.</t>
  </si>
  <si>
    <t>DLTH</t>
  </si>
  <si>
    <t>Duluth Holdings Inc Class B</t>
  </si>
  <si>
    <t>ANTX</t>
  </si>
  <si>
    <t>AN2 Therapeutics, Inc.</t>
  </si>
  <si>
    <t>NREF</t>
  </si>
  <si>
    <t>NexPoint Real Estate Finance, Inc.</t>
  </si>
  <si>
    <t>TCS</t>
  </si>
  <si>
    <t>Container Store Group Inc</t>
  </si>
  <si>
    <t>QUOT</t>
  </si>
  <si>
    <t>Quotient Technology Inc</t>
  </si>
  <si>
    <t>III</t>
  </si>
  <si>
    <t>Information Services Group Inc</t>
  </si>
  <si>
    <t>EGAN</t>
  </si>
  <si>
    <t>Egain Corp</t>
  </si>
  <si>
    <t>REFI</t>
  </si>
  <si>
    <t>Chicago Atlantic Real Estate Finance, Inc.</t>
  </si>
  <si>
    <t>OTLK</t>
  </si>
  <si>
    <t>Outlook Therapeutics, Inc.</t>
  </si>
  <si>
    <t>UPLD</t>
  </si>
  <si>
    <t>Upland Software Inc</t>
  </si>
  <si>
    <t>THRN</t>
  </si>
  <si>
    <t>Thorne Healthtech, Inc.</t>
  </si>
  <si>
    <t>BCML</t>
  </si>
  <si>
    <t>Baycom Corp</t>
  </si>
  <si>
    <t>PKBK</t>
  </si>
  <si>
    <t>Parke Bancorp Inc</t>
  </si>
  <si>
    <t>AOMR</t>
  </si>
  <si>
    <t>Angel Oak Mortgage, Inc.</t>
  </si>
  <si>
    <t>PKE</t>
  </si>
  <si>
    <t>Park Electrochem Corp</t>
  </si>
  <si>
    <t>VERI</t>
  </si>
  <si>
    <t>Veritone Inc</t>
  </si>
  <si>
    <t>PRTS</t>
  </si>
  <si>
    <t>U.S. Auto Parts Network, Inc.</t>
  </si>
  <si>
    <t>AKA</t>
  </si>
  <si>
    <t>a.k.a. Brands Holding Corp.</t>
  </si>
  <si>
    <t>LOCL</t>
  </si>
  <si>
    <t>Local Bounti Corporation</t>
  </si>
  <si>
    <t>CIFR</t>
  </si>
  <si>
    <t>Cipher Mining Inc.</t>
  </si>
  <si>
    <t>AMTX</t>
  </si>
  <si>
    <t>Aemetis Inc</t>
  </si>
  <si>
    <t>FGBI</t>
  </si>
  <si>
    <t>First Guaranty Bancshares Inc</t>
  </si>
  <si>
    <t>AVAH</t>
  </si>
  <si>
    <t>Aveanna Healthcare Holdings, Inc.</t>
  </si>
  <si>
    <t>AREN</t>
  </si>
  <si>
    <t>The Arena Group Holdings, Inc.</t>
  </si>
  <si>
    <t>INSG</t>
  </si>
  <si>
    <t>Inseego Corp</t>
  </si>
  <si>
    <t>LL</t>
  </si>
  <si>
    <t>Lumber Liquidators Holdings Inc</t>
  </si>
  <si>
    <t>LVLU</t>
  </si>
  <si>
    <t>Lulus Fashion Lounge Holdings, Inc.</t>
  </si>
  <si>
    <t>FLL</t>
  </si>
  <si>
    <t>Full House Resorts Inc</t>
  </si>
  <si>
    <t>KORE</t>
  </si>
  <si>
    <t>KORE Group Holdings, Inc.</t>
  </si>
  <si>
    <t>ATRO</t>
  </si>
  <si>
    <t>Astronics Corp</t>
  </si>
  <si>
    <t>BRBS</t>
  </si>
  <si>
    <t>Blue Ridge Bankshares, Inc.</t>
  </si>
  <si>
    <t>OB</t>
  </si>
  <si>
    <t>Outbrain Inc.</t>
  </si>
  <si>
    <t>ATIP</t>
  </si>
  <si>
    <t>ATI Physical Therapy, Inc. Class A</t>
  </si>
  <si>
    <t>CBAN</t>
  </si>
  <si>
    <t>Colony Bankcorp Inc</t>
  </si>
  <si>
    <t>STKS</t>
  </si>
  <si>
    <t>One Group Hospitality Inc</t>
  </si>
  <si>
    <t>WEYS</t>
  </si>
  <si>
    <t>Weyco Group Inc</t>
  </si>
  <si>
    <t>CTLP</t>
  </si>
  <si>
    <t>Cantaloupe, Inc.</t>
  </si>
  <si>
    <t>PETQ</t>
  </si>
  <si>
    <t>PetIQ, Inc. Class A</t>
  </si>
  <si>
    <t>SPNE</t>
  </si>
  <si>
    <t>Seaspine Holdings Corp</t>
  </si>
  <si>
    <t>JYNT</t>
  </si>
  <si>
    <t>Joint Corp</t>
  </si>
  <si>
    <t>BNFT</t>
  </si>
  <si>
    <t>Benefitfocus Inc</t>
  </si>
  <si>
    <t>GLRE</t>
  </si>
  <si>
    <t>Greenlight Capital A Ltd</t>
  </si>
  <si>
    <t>STRS</t>
  </si>
  <si>
    <t>Stratus Properties Inc</t>
  </si>
  <si>
    <t>APEI</t>
  </si>
  <si>
    <t>American Public Education Inc</t>
  </si>
  <si>
    <t>FULC</t>
  </si>
  <si>
    <t>Fulcrum Therapeutics, Inc.</t>
  </si>
  <si>
    <t>HFFG</t>
  </si>
  <si>
    <t>Hf Foods Group Inc.</t>
  </si>
  <si>
    <t>SWKH</t>
  </si>
  <si>
    <t>SWK Holdings Corporation</t>
  </si>
  <si>
    <t>CNTY</t>
  </si>
  <si>
    <t>Century Casinos Inc</t>
  </si>
  <si>
    <t>RDVT</t>
  </si>
  <si>
    <t>Red Violet Inc</t>
  </si>
  <si>
    <t>UTI</t>
  </si>
  <si>
    <t>Universal Technical Institute Inc</t>
  </si>
  <si>
    <t>ALCO</t>
  </si>
  <si>
    <t>Alico Inc</t>
  </si>
  <si>
    <t>CATO</t>
  </si>
  <si>
    <t>Cato Corp Class A</t>
  </si>
  <si>
    <t>INBK</t>
  </si>
  <si>
    <t>First Internet Bancorp</t>
  </si>
  <si>
    <t>ZIMV</t>
  </si>
  <si>
    <t>ZimVie Inc.</t>
  </si>
  <si>
    <t>GRPN</t>
  </si>
  <si>
    <t>Groupon Inc</t>
  </si>
  <si>
    <t>HMPT</t>
  </si>
  <si>
    <t>Home Point Capital, Inc</t>
  </si>
  <si>
    <t>EIGR</t>
  </si>
  <si>
    <t>Eiger Biopharmaceuticals Inc</t>
  </si>
  <si>
    <t>HOV</t>
  </si>
  <si>
    <t>Hovnanian Enterprises Inc Class A</t>
  </si>
  <si>
    <t>VLGEA</t>
  </si>
  <si>
    <t>Village Super Market Inc Class A</t>
  </si>
  <si>
    <t>OPAD</t>
  </si>
  <si>
    <t>Offerpad Solutions Inc. Class A</t>
  </si>
  <si>
    <t>NRDY</t>
  </si>
  <si>
    <t>Nerdy Inc. Class A</t>
  </si>
  <si>
    <t>APPH</t>
  </si>
  <si>
    <t>AppHarvest, Inc.</t>
  </si>
  <si>
    <t>BBIG</t>
  </si>
  <si>
    <t>Vinco Ventures, Inc.</t>
  </si>
  <si>
    <t>PFSW</t>
  </si>
  <si>
    <t>Pfsweb Inc</t>
  </si>
  <si>
    <t>FOSL</t>
  </si>
  <si>
    <t>Fossil Group Inc</t>
  </si>
  <si>
    <t>GRWG</t>
  </si>
  <si>
    <t>GrowGeneration Corp.</t>
  </si>
  <si>
    <t>CURO</t>
  </si>
  <si>
    <t>Curo Group Holdings Corp.</t>
  </si>
  <si>
    <t>RGTI</t>
  </si>
  <si>
    <t>Rigetti Computing, Inc.</t>
  </si>
  <si>
    <t>PVBC</t>
  </si>
  <si>
    <t>Provident Bancorp</t>
  </si>
  <si>
    <t>AFMD</t>
  </si>
  <si>
    <t>Affimed N.V.</t>
  </si>
  <si>
    <t>BATL</t>
  </si>
  <si>
    <t>Battalion Oil Corporation</t>
  </si>
  <si>
    <t>UONEK</t>
  </si>
  <si>
    <t>Urban One Inc Class D</t>
  </si>
  <si>
    <t>UONE</t>
  </si>
  <si>
    <t>Urban One Inc Class A</t>
  </si>
  <si>
    <t>ATOM</t>
  </si>
  <si>
    <t>Atomera Inc</t>
  </si>
  <si>
    <t>PIII</t>
  </si>
  <si>
    <t>P3 Health Partners Inc. - Class A</t>
  </si>
  <si>
    <t>JOAN</t>
  </si>
  <si>
    <t>JOANN Inc.</t>
  </si>
  <si>
    <t>OUST</t>
  </si>
  <si>
    <t>Ouster, Inc.</t>
  </si>
  <si>
    <t>XERS</t>
  </si>
  <si>
    <t>Xeris Pharmaceuticals Inc</t>
  </si>
  <si>
    <t>APLD</t>
  </si>
  <si>
    <t>Applied Blockchain, Inc.</t>
  </si>
  <si>
    <t>CIX</t>
  </si>
  <si>
    <t>Compx International Inc</t>
  </si>
  <si>
    <t>FFIE</t>
  </si>
  <si>
    <t>Faraday Future Intelligent Electric Inc.</t>
  </si>
  <si>
    <t>THRX</t>
  </si>
  <si>
    <t>Theseus Pharmaceuticals, Inc.</t>
  </si>
  <si>
    <t>GCI</t>
  </si>
  <si>
    <t>Gannett Inc</t>
  </si>
  <si>
    <t>SPIR</t>
  </si>
  <si>
    <t>Spire Global, Inc. Class A</t>
  </si>
  <si>
    <t>TTSH</t>
  </si>
  <si>
    <t>Tile Shop Holdings, Inc.</t>
  </si>
  <si>
    <t>TLYS</t>
  </si>
  <si>
    <t>Tillys Inc Class A</t>
  </si>
  <si>
    <t>FTCI</t>
  </si>
  <si>
    <t>FTC Solar, Inc.</t>
  </si>
  <si>
    <t>PCYO</t>
  </si>
  <si>
    <t>Pure Cycle Corp</t>
  </si>
  <si>
    <t>VLDR</t>
  </si>
  <si>
    <t>Velodyne Lidar, Inc.</t>
  </si>
  <si>
    <t>VXRT</t>
  </si>
  <si>
    <t>Vaxart Inc</t>
  </si>
  <si>
    <t>AXTI</t>
  </si>
  <si>
    <t>Axt Inc</t>
  </si>
  <si>
    <t>LSEA</t>
  </si>
  <si>
    <t>Landsea Homes Corporation</t>
  </si>
  <si>
    <t>CONN</t>
  </si>
  <si>
    <t>Conns Inc</t>
  </si>
  <si>
    <t>AKTS</t>
  </si>
  <si>
    <t>Akoustis Technologies Inc</t>
  </si>
  <si>
    <t>RLMD</t>
  </si>
  <si>
    <t>Relmada Therapeutics, Inc.</t>
  </si>
  <si>
    <t>DBD</t>
  </si>
  <si>
    <t>Diebold Nixdorf Inc</t>
  </si>
  <si>
    <t>XOS</t>
  </si>
  <si>
    <t>Xos, Inc.</t>
  </si>
  <si>
    <t>LCUT</t>
  </si>
  <si>
    <t>Lifetime Brands Inc</t>
  </si>
  <si>
    <t>OMIC</t>
  </si>
  <si>
    <t>Singular Genomics Systems, Inc.</t>
  </si>
  <si>
    <t>CTRN</t>
  </si>
  <si>
    <t>Citi Trends Inc</t>
  </si>
  <si>
    <t>PRTY</t>
  </si>
  <si>
    <t>Party City Holdco Inc</t>
  </si>
  <si>
    <t>WLDN</t>
  </si>
  <si>
    <t>Willdan Group Inc</t>
  </si>
  <si>
    <t>ALPN</t>
  </si>
  <si>
    <t>Alpine Immune Sciences</t>
  </si>
  <si>
    <t>EYPT</t>
  </si>
  <si>
    <t>Eyepoint Pharmaceuticals Inc</t>
  </si>
  <si>
    <t>ADTH</t>
  </si>
  <si>
    <t>AdTheorent Holding Company, Inc.</t>
  </si>
  <si>
    <t>VLTA</t>
  </si>
  <si>
    <t>Volta, Inc. Class A</t>
  </si>
  <si>
    <t>VBIV</t>
  </si>
  <si>
    <t>VBI Vaccines Inc</t>
  </si>
  <si>
    <t>SAMG</t>
  </si>
  <si>
    <t>Silvercrest Asset Management Group</t>
  </si>
  <si>
    <t>AIP</t>
  </si>
  <si>
    <t>Arteris, Inc.</t>
  </si>
  <si>
    <t>FRBA</t>
  </si>
  <si>
    <t>First Bank</t>
  </si>
  <si>
    <t>DOMA</t>
  </si>
  <si>
    <t>Doma Holdings, Inc.</t>
  </si>
  <si>
    <t>OPRT</t>
  </si>
  <si>
    <t>Oportun Financial Corporation</t>
  </si>
  <si>
    <t>FRBK</t>
  </si>
  <si>
    <t>Republic First Bancorp Inc</t>
  </si>
  <si>
    <t>Truecar Inc</t>
  </si>
  <si>
    <t>LTCH</t>
  </si>
  <si>
    <t>Latch, Inc.</t>
  </si>
  <si>
    <t>TIG</t>
  </si>
  <si>
    <t>Trean Insurance Group, Inc.</t>
  </si>
  <si>
    <t>RDW</t>
  </si>
  <si>
    <t>Redwire Corporation</t>
  </si>
  <si>
    <t>SNCE</t>
  </si>
  <si>
    <t>Science 37 Holdings, Inc.</t>
  </si>
  <si>
    <t>BODY</t>
  </si>
  <si>
    <t>The Beachbody Company, Inc. Class A</t>
  </si>
  <si>
    <t>SGC</t>
  </si>
  <si>
    <t>Superior Uniform Group Inc</t>
  </si>
  <si>
    <t>ONDS</t>
  </si>
  <si>
    <t>Ondas Holdings Inc.</t>
  </si>
  <si>
    <t>VWE</t>
  </si>
  <si>
    <t>Vintage Wine Estates, Inc.</t>
  </si>
  <si>
    <t>MAPS</t>
  </si>
  <si>
    <t>WM Technology, Inc. - Class A</t>
  </si>
  <si>
    <t>PLBY</t>
  </si>
  <si>
    <t>PLBY Group, Inc.</t>
  </si>
  <si>
    <t>CMRX</t>
  </si>
  <si>
    <t>Chimerix Inc</t>
  </si>
  <si>
    <t>KRON</t>
  </si>
  <si>
    <t>Kronos Bio, Inc.</t>
  </si>
  <si>
    <t>BKKT</t>
  </si>
  <si>
    <t>Bakkt Holdings, Inc. Class A</t>
  </si>
  <si>
    <t>NATR</t>
  </si>
  <si>
    <t>Natures Sunshine Products Inc</t>
  </si>
  <si>
    <t>UFI</t>
  </si>
  <si>
    <t>Unifi Inc</t>
  </si>
  <si>
    <t>PZN</t>
  </si>
  <si>
    <t>Pzena Investment Management Inc Class A</t>
  </si>
  <si>
    <t>BBLN</t>
  </si>
  <si>
    <t>Babylon Holdings Limited Class A</t>
  </si>
  <si>
    <t>REAL</t>
  </si>
  <si>
    <t>The RealReal, Inc.</t>
  </si>
  <si>
    <t>FATH</t>
  </si>
  <si>
    <t>Fathom Digital Manufacturing Corporation Class A</t>
  </si>
  <si>
    <t>CLSK</t>
  </si>
  <si>
    <t>CleanSpark, Inc.</t>
  </si>
  <si>
    <t>BLI</t>
  </si>
  <si>
    <t>Berkeley Lights, Inc.</t>
  </si>
  <si>
    <t>EVER</t>
  </si>
  <si>
    <t>Everquote Inc.</t>
  </si>
  <si>
    <t>YMAB</t>
  </si>
  <si>
    <t>Y-Mabs Therapeutics, Inc.</t>
  </si>
  <si>
    <t>RCKY</t>
  </si>
  <si>
    <t>Rocky Brands Inc</t>
  </si>
  <si>
    <t>FREE</t>
  </si>
  <si>
    <t>Whole Earth Brands, Inc. - Class A</t>
  </si>
  <si>
    <t>LIDR</t>
  </si>
  <si>
    <t>AEye, Inc. - Class A</t>
  </si>
  <si>
    <t>TCMD</t>
  </si>
  <si>
    <t>Tactile Systems Technology Inc</t>
  </si>
  <si>
    <t>ICVX</t>
  </si>
  <si>
    <t>Icosavax, Inc.</t>
  </si>
  <si>
    <t>PRCH</t>
  </si>
  <si>
    <t>Porch Group, Inc.</t>
  </si>
  <si>
    <t>CMLS</t>
  </si>
  <si>
    <t>Cumulus Media Inc.</t>
  </si>
  <si>
    <t>HYMC</t>
  </si>
  <si>
    <t>Hycroft Mining Holding Corporation - Class A</t>
  </si>
  <si>
    <t>CPSS</t>
  </si>
  <si>
    <t>Consumer Portfolio Services Inc</t>
  </si>
  <si>
    <t>GLT</t>
  </si>
  <si>
    <t>Glatfelter</t>
  </si>
  <si>
    <t>TKNO</t>
  </si>
  <si>
    <t>Alpha Teknova, Inc.</t>
  </si>
  <si>
    <t>AVYA</t>
  </si>
  <si>
    <t>Avaya Holdings Corp.</t>
  </si>
  <si>
    <t>RIGL</t>
  </si>
  <si>
    <t>Rigel Pharmaceuticals Inc</t>
  </si>
  <si>
    <t>ASTR</t>
  </si>
  <si>
    <t>Astra Space, Inc. - Class A</t>
  </si>
  <si>
    <t>HEAR</t>
  </si>
  <si>
    <t>Turtle Beach Corp</t>
  </si>
  <si>
    <t>MNTS</t>
  </si>
  <si>
    <t>Momentus Inc. - Class A</t>
  </si>
  <si>
    <t>KALV</t>
  </si>
  <si>
    <t>Kalvista Pharmaceuticals Inc</t>
  </si>
  <si>
    <t>AC</t>
  </si>
  <si>
    <t>Associated Capital Group, Inc.</t>
  </si>
  <si>
    <t>HYFM</t>
  </si>
  <si>
    <t>Hydrofarm Holdings Group, Inc</t>
  </si>
  <si>
    <t>ATHA</t>
  </si>
  <si>
    <t>Athira Pharma, Inc.</t>
  </si>
  <si>
    <t>RENT</t>
  </si>
  <si>
    <t>Rent the Runway, Inc.</t>
  </si>
  <si>
    <t>OWLT</t>
  </si>
  <si>
    <t>Owlet, Inc. Class A</t>
  </si>
  <si>
    <t>WULF</t>
  </si>
  <si>
    <t>TeraWulf Inc.</t>
  </si>
  <si>
    <t>TNYA</t>
  </si>
  <si>
    <t>Tenaya Therapeutics, Inc.</t>
  </si>
  <si>
    <t>ZEV</t>
  </si>
  <si>
    <t>Lightning eMotors, Inc</t>
  </si>
  <si>
    <t>SCWX</t>
  </si>
  <si>
    <t>Secureworks Corp. Class A</t>
  </si>
  <si>
    <t>ISPO</t>
  </si>
  <si>
    <t>Inspirato Incorporated - Class A</t>
  </si>
  <si>
    <t>SLQT</t>
  </si>
  <si>
    <t>SelectQuote, Inc.</t>
  </si>
  <si>
    <t>VIA</t>
  </si>
  <si>
    <t>Via Renewables, Inc. - Class A</t>
  </si>
  <si>
    <t>JNCE</t>
  </si>
  <si>
    <t>Jounce Therapeutics Inc</t>
  </si>
  <si>
    <t>BRDS</t>
  </si>
  <si>
    <t>Bird Global, Inc. Class A</t>
  </si>
  <si>
    <t>CLPR</t>
  </si>
  <si>
    <t>Clipper Realty Inc</t>
  </si>
  <si>
    <t>WEJO</t>
  </si>
  <si>
    <t>Wejo Group Limited</t>
  </si>
  <si>
    <t>ENOB</t>
  </si>
  <si>
    <t>Enochian Biosciences, Inc.</t>
  </si>
  <si>
    <t>QUAD</t>
  </si>
  <si>
    <t>Quad Graphics Inc Class A</t>
  </si>
  <si>
    <t>SUNL</t>
  </si>
  <si>
    <t>Sunlight Financial Holdings, Inc. Class A</t>
  </si>
  <si>
    <t>FOA</t>
  </si>
  <si>
    <t>Finance of America Companies Inc. Class A</t>
  </si>
  <si>
    <t>CSSE</t>
  </si>
  <si>
    <t>Chicken Soup For The Soul Entertainment Inc. Class A</t>
  </si>
  <si>
    <t>PRAX</t>
  </si>
  <si>
    <t>Praxis Precision Medicines, Inc.</t>
  </si>
  <si>
    <t>IRNT</t>
  </si>
  <si>
    <t>IronNet, Inc.</t>
  </si>
  <si>
    <t>CMPO</t>
  </si>
  <si>
    <t>CompoSecure, Inc.  - Class A</t>
  </si>
  <si>
    <t>EXPR</t>
  </si>
  <si>
    <t>Express Inc</t>
  </si>
  <si>
    <t>TDUP</t>
  </si>
  <si>
    <t>ThredUp Inc.</t>
  </si>
  <si>
    <t>ATER</t>
  </si>
  <si>
    <t>Aterian, Inc.</t>
  </si>
  <si>
    <t>EHTH</t>
  </si>
  <si>
    <t>Ehealth Inc</t>
  </si>
  <si>
    <t>PRDS</t>
  </si>
  <si>
    <t>Pardes Biosciences, Inc.</t>
  </si>
  <si>
    <t>MKTW</t>
  </si>
  <si>
    <t>MarketWise, Inc. - Class A</t>
  </si>
  <si>
    <t>RKLY</t>
  </si>
  <si>
    <t>Rockley Photonics Holdings Limited</t>
  </si>
  <si>
    <t>DSP</t>
  </si>
  <si>
    <t>Viant Technology Inc.</t>
  </si>
  <si>
    <t>CORZ</t>
  </si>
  <si>
    <t>Core Scientific, Inc. - Class A</t>
  </si>
  <si>
    <t>TALS</t>
  </si>
  <si>
    <t>Talaris Therapeutics, Inc.</t>
  </si>
  <si>
    <t>AUD</t>
  </si>
  <si>
    <t>Audacy</t>
  </si>
  <si>
    <t>LFLY</t>
  </si>
  <si>
    <t>Leafly Holdings, Inc.</t>
  </si>
  <si>
    <t>KLR</t>
  </si>
  <si>
    <t>Kaleyra, Inc.</t>
  </si>
  <si>
    <t>BOXD</t>
  </si>
  <si>
    <t>Boxed, Inc.</t>
  </si>
  <si>
    <t>OPFI</t>
  </si>
  <si>
    <t>OppFi Inc. Class A</t>
  </si>
  <si>
    <t>GLS</t>
  </si>
  <si>
    <t>Gelesis Holdings, Inc.</t>
  </si>
  <si>
    <t>STRY</t>
  </si>
  <si>
    <t>Starry Group Holdings, Inc. Class A</t>
  </si>
  <si>
    <t>LYLT</t>
  </si>
  <si>
    <t>Loyalty Ventures Inc.</t>
  </si>
  <si>
    <t>VTGN</t>
  </si>
  <si>
    <t>Vistagen Therapeutics, Inc.</t>
  </si>
  <si>
    <t>TNON</t>
  </si>
  <si>
    <t>Tenon Medical, Inc.</t>
  </si>
  <si>
    <t>TCDA</t>
  </si>
  <si>
    <t>Tricida Inc</t>
  </si>
  <si>
    <t>TYDE</t>
  </si>
  <si>
    <t>Cryptyde, Inc.</t>
  </si>
  <si>
    <t>GREE</t>
  </si>
  <si>
    <t>Greenidge Generation Holdings Inc. - Class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</si>
</sst>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mmm/d/yyyy"/>
    <numFmt numFmtId="167" formatCode="mmmm/dd/yyyy"/>
    <numFmt numFmtId="168" formatCode="mmm/dd/yy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sz val="11.0"/>
      <color rgb="FF000000"/>
      <name val="Times New Roman"/>
    </font>
    <font>
      <color theme="1"/>
      <name val="Times New Roman"/>
    </font>
    <font>
      <b/>
      <color theme="1"/>
      <name val="Times New Roman"/>
    </font>
    <font/>
    <font>
      <b/>
      <sz val="10.0"/>
      <color theme="1"/>
      <name val="Times New Roman"/>
    </font>
    <font>
      <sz val="11.0"/>
      <color rgb="FF000000"/>
      <name val="Inconsolata"/>
    </font>
    <font>
      <sz val="10.0"/>
      <color theme="1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color theme="1"/>
      <name val="Arial"/>
    </font>
    <font>
      <sz val="11.0"/>
      <color theme="1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2" fontId="4" numFmtId="0" xfId="0" applyBorder="1" applyFill="1" applyFont="1"/>
    <xf borderId="3" fillId="2" fontId="4" numFmtId="0" xfId="0" applyBorder="1" applyFont="1"/>
    <xf borderId="4" fillId="0" fontId="5" numFmtId="0" xfId="0" applyBorder="1" applyFont="1"/>
    <xf borderId="1" fillId="0" fontId="5" numFmtId="0" xfId="0" applyBorder="1" applyFont="1"/>
    <xf borderId="5" fillId="2" fontId="4" numFmtId="0" xfId="0" applyBorder="1" applyFont="1"/>
    <xf borderId="6" fillId="3" fontId="6" numFmtId="0" xfId="0" applyAlignment="1" applyBorder="1" applyFill="1" applyFont="1">
      <alignment horizontal="center" readingOrder="0"/>
    </xf>
    <xf borderId="7" fillId="0" fontId="7" numFmtId="0" xfId="0" applyBorder="1" applyFont="1"/>
    <xf borderId="8" fillId="0" fontId="7" numFmtId="0" xfId="0" applyBorder="1" applyFont="1"/>
    <xf borderId="9" fillId="0" fontId="5" numFmtId="0" xfId="0" applyBorder="1" applyFont="1"/>
    <xf borderId="5" fillId="0" fontId="5" numFmtId="0" xfId="0" applyBorder="1" applyFont="1"/>
    <xf borderId="6" fillId="4" fontId="6" numFmtId="0" xfId="0" applyAlignment="1" applyBorder="1" applyFill="1" applyFont="1">
      <alignment horizontal="center" readingOrder="0"/>
    </xf>
    <xf borderId="9" fillId="0" fontId="1" numFmtId="0" xfId="0" applyBorder="1" applyFont="1"/>
    <xf borderId="5" fillId="0" fontId="5" numFmtId="0" xfId="0" applyAlignment="1" applyBorder="1" applyFont="1">
      <alignment readingOrder="0"/>
    </xf>
    <xf borderId="10" fillId="0" fontId="5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0" fontId="8" numFmtId="164" xfId="0" applyAlignment="1" applyBorder="1" applyFont="1" applyNumberFormat="1">
      <alignment horizontal="center" readingOrder="0"/>
    </xf>
    <xf borderId="11" fillId="0" fontId="8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/>
    </xf>
    <xf borderId="1" fillId="0" fontId="5" numFmtId="0" xfId="0" applyAlignment="1" applyBorder="1" applyFont="1">
      <alignment horizontal="left"/>
    </xf>
    <xf borderId="1" fillId="0" fontId="5" numFmtId="165" xfId="0" applyAlignment="1" applyBorder="1" applyFont="1" applyNumberFormat="1">
      <alignment horizontal="center"/>
    </xf>
    <xf borderId="13" fillId="0" fontId="5" numFmtId="10" xfId="0" applyAlignment="1" applyBorder="1" applyFont="1" applyNumberFormat="1">
      <alignment horizontal="center"/>
    </xf>
    <xf borderId="12" fillId="0" fontId="5" numFmtId="0" xfId="0" applyAlignment="1" applyBorder="1" applyFont="1">
      <alignment readingOrder="0"/>
    </xf>
    <xf borderId="0" fillId="2" fontId="9" numFmtId="0" xfId="0" applyAlignment="1" applyFont="1">
      <alignment readingOrder="0"/>
    </xf>
    <xf borderId="14" fillId="0" fontId="5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right"/>
    </xf>
    <xf borderId="15" fillId="0" fontId="5" numFmtId="0" xfId="0" applyAlignment="1" applyBorder="1" applyFont="1">
      <alignment horizontal="left"/>
    </xf>
    <xf borderId="15" fillId="0" fontId="5" numFmtId="165" xfId="0" applyAlignment="1" applyBorder="1" applyFont="1" applyNumberFormat="1">
      <alignment horizontal="center"/>
    </xf>
    <xf borderId="16" fillId="0" fontId="5" numFmtId="10" xfId="0" applyAlignment="1" applyBorder="1" applyFont="1" applyNumberFormat="1">
      <alignment horizontal="center"/>
    </xf>
    <xf borderId="14" fillId="0" fontId="5" numFmtId="0" xfId="0" applyAlignment="1" applyBorder="1" applyFont="1">
      <alignment readingOrder="0"/>
    </xf>
    <xf borderId="17" fillId="0" fontId="5" numFmtId="0" xfId="0" applyBorder="1" applyFont="1"/>
    <xf borderId="2" fillId="0" fontId="5" numFmtId="0" xfId="0" applyBorder="1" applyFont="1"/>
    <xf borderId="6" fillId="5" fontId="6" numFmtId="0" xfId="0" applyAlignment="1" applyBorder="1" applyFill="1" applyFont="1">
      <alignment horizontal="center" readingOrder="0"/>
    </xf>
    <xf borderId="6" fillId="6" fontId="6" numFmtId="0" xfId="0" applyAlignment="1" applyBorder="1" applyFill="1" applyFont="1">
      <alignment horizontal="center" readingOrder="0" vertical="bottom"/>
    </xf>
    <xf borderId="10" fillId="0" fontId="5" numFmtId="0" xfId="0" applyAlignment="1" applyBorder="1" applyFont="1">
      <alignment horizontal="center" vertical="bottom"/>
    </xf>
    <xf borderId="17" fillId="0" fontId="6" numFmtId="0" xfId="0" applyAlignment="1" applyBorder="1" applyFont="1">
      <alignment horizontal="center" vertical="bottom"/>
    </xf>
    <xf borderId="17" fillId="0" fontId="6" numFmtId="164" xfId="0" applyAlignment="1" applyBorder="1" applyFont="1" applyNumberFormat="1">
      <alignment horizontal="center" vertical="bottom"/>
    </xf>
    <xf borderId="18" fillId="0" fontId="6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left" readingOrder="0"/>
    </xf>
    <xf borderId="1" fillId="0" fontId="5" numFmtId="165" xfId="0" applyAlignment="1" applyBorder="1" applyFont="1" applyNumberFormat="1">
      <alignment horizontal="center" readingOrder="0"/>
    </xf>
    <xf borderId="17" fillId="0" fontId="5" numFmtId="0" xfId="0" applyAlignment="1" applyBorder="1" applyFont="1">
      <alignment horizontal="right" readingOrder="0" vertical="bottom"/>
    </xf>
    <xf borderId="17" fillId="0" fontId="5" numFmtId="0" xfId="0" applyAlignment="1" applyBorder="1" applyFont="1">
      <alignment readingOrder="0" vertical="bottom"/>
    </xf>
    <xf borderId="17" fillId="0" fontId="5" numFmtId="165" xfId="0" applyAlignment="1" applyBorder="1" applyFont="1" applyNumberFormat="1">
      <alignment horizontal="center" readingOrder="0" vertical="bottom"/>
    </xf>
    <xf borderId="18" fillId="0" fontId="5" numFmtId="10" xfId="0" applyAlignment="1" applyBorder="1" applyFont="1" applyNumberFormat="1">
      <alignment horizontal="center" vertical="bottom"/>
    </xf>
    <xf borderId="15" fillId="0" fontId="5" numFmtId="0" xfId="0" applyAlignment="1" applyBorder="1" applyFont="1">
      <alignment horizontal="right" readingOrder="0"/>
    </xf>
    <xf borderId="15" fillId="0" fontId="5" numFmtId="0" xfId="0" applyAlignment="1" applyBorder="1" applyFont="1">
      <alignment horizontal="left" readingOrder="0"/>
    </xf>
    <xf borderId="15" fillId="0" fontId="5" numFmtId="165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vertical="bottom"/>
    </xf>
    <xf borderId="20" fillId="0" fontId="5" numFmtId="0" xfId="0" applyAlignment="1" applyBorder="1" applyFont="1">
      <alignment horizontal="right" readingOrder="0" vertical="bottom"/>
    </xf>
    <xf borderId="20" fillId="0" fontId="5" numFmtId="0" xfId="0" applyAlignment="1" applyBorder="1" applyFont="1">
      <alignment readingOrder="0" vertical="bottom"/>
    </xf>
    <xf borderId="20" fillId="0" fontId="5" numFmtId="165" xfId="0" applyAlignment="1" applyBorder="1" applyFont="1" applyNumberFormat="1">
      <alignment horizontal="center" readingOrder="0" vertical="bottom"/>
    </xf>
    <xf borderId="21" fillId="0" fontId="5" numFmtId="10" xfId="0" applyAlignment="1" applyBorder="1" applyFont="1" applyNumberFormat="1">
      <alignment horizontal="center" vertical="bottom"/>
    </xf>
    <xf borderId="0" fillId="0" fontId="5" numFmtId="0" xfId="0" applyFont="1"/>
    <xf borderId="0" fillId="0" fontId="10" numFmtId="0" xfId="0" applyFont="1"/>
    <xf borderId="6" fillId="7" fontId="11" numFmtId="0" xfId="0" applyAlignment="1" applyBorder="1" applyFill="1" applyFont="1">
      <alignment horizontal="center" readingOrder="0" shrinkToFit="0" vertical="bottom" wrapText="0"/>
    </xf>
    <xf borderId="6" fillId="8" fontId="11" numFmtId="0" xfId="0" applyAlignment="1" applyBorder="1" applyFill="1" applyFont="1">
      <alignment horizontal="center" readingOrder="0" shrinkToFit="0" vertical="bottom" wrapText="0"/>
    </xf>
    <xf borderId="6" fillId="9" fontId="11" numFmtId="0" xfId="0" applyAlignment="1" applyBorder="1" applyFill="1" applyFont="1">
      <alignment horizontal="center" readingOrder="0" shrinkToFit="0" vertical="bottom" wrapText="0"/>
    </xf>
    <xf borderId="6" fillId="10" fontId="11" numFmtId="0" xfId="0" applyAlignment="1" applyBorder="1" applyFill="1" applyFont="1">
      <alignment horizontal="center" readingOrder="0" shrinkToFit="0" vertical="bottom" wrapText="0"/>
    </xf>
    <xf borderId="6" fillId="11" fontId="11" numFmtId="0" xfId="0" applyAlignment="1" applyBorder="1" applyFill="1" applyFont="1">
      <alignment horizontal="center" readingOrder="0" shrinkToFit="0" vertical="bottom" wrapText="0"/>
    </xf>
    <xf borderId="0" fillId="7" fontId="11" numFmtId="49" xfId="0" applyAlignment="1" applyFont="1" applyNumberFormat="1">
      <alignment horizontal="center" readingOrder="0" shrinkToFit="0" vertical="center" wrapText="0"/>
    </xf>
    <xf borderId="0" fillId="8" fontId="11" numFmtId="49" xfId="0" applyAlignment="1" applyFont="1" applyNumberFormat="1">
      <alignment horizontal="center" readingOrder="0" shrinkToFit="0" vertical="center" wrapText="0"/>
    </xf>
    <xf borderId="0" fillId="9" fontId="11" numFmtId="49" xfId="0" applyAlignment="1" applyFont="1" applyNumberFormat="1">
      <alignment horizontal="center" readingOrder="0" shrinkToFit="0" vertical="center" wrapText="0"/>
    </xf>
    <xf borderId="0" fillId="10" fontId="11" numFmtId="49" xfId="0" applyAlignment="1" applyFont="1" applyNumberFormat="1">
      <alignment horizontal="center" readingOrder="0" shrinkToFit="0" vertical="center" wrapText="0"/>
    </xf>
    <xf borderId="0" fillId="11" fontId="8" numFmtId="49" xfId="0" applyAlignment="1" applyFont="1" applyNumberFormat="1">
      <alignment horizontal="center" readingOrder="0" vertical="center"/>
    </xf>
    <xf borderId="0" fillId="0" fontId="10" numFmtId="164" xfId="0" applyFont="1" applyNumberFormat="1"/>
    <xf borderId="6" fillId="7" fontId="11" numFmtId="166" xfId="0" applyAlignment="1" applyBorder="1" applyFont="1" applyNumberFormat="1">
      <alignment horizontal="center" readingOrder="0" shrinkToFit="0" vertical="bottom" wrapText="0"/>
    </xf>
    <xf borderId="6" fillId="8" fontId="11" numFmtId="167" xfId="0" applyAlignment="1" applyBorder="1" applyFont="1" applyNumberFormat="1">
      <alignment horizontal="center" readingOrder="0" shrinkToFit="0" vertical="bottom" wrapText="0"/>
    </xf>
    <xf borderId="6" fillId="9" fontId="11" numFmtId="168" xfId="0" applyAlignment="1" applyBorder="1" applyFont="1" applyNumberFormat="1">
      <alignment horizontal="center" readingOrder="0" shrinkToFit="0" vertical="bottom" wrapText="0"/>
    </xf>
    <xf borderId="6" fillId="10" fontId="11" numFmtId="166" xfId="0" applyAlignment="1" applyBorder="1" applyFont="1" applyNumberFormat="1">
      <alignment horizontal="center" readingOrder="0" shrinkToFit="0" vertical="bottom" wrapText="0"/>
    </xf>
    <xf borderId="6" fillId="11" fontId="11" numFmtId="166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22" fillId="7" fontId="12" numFmtId="0" xfId="0" applyAlignment="1" applyBorder="1" applyFont="1">
      <alignment readingOrder="0" shrinkToFit="0" vertical="bottom" wrapText="0"/>
    </xf>
    <xf borderId="22" fillId="8" fontId="12" numFmtId="0" xfId="0" applyAlignment="1" applyBorder="1" applyFont="1">
      <alignment readingOrder="0" shrinkToFit="0" vertical="bottom" wrapText="0"/>
    </xf>
    <xf borderId="22" fillId="9" fontId="12" numFmtId="0" xfId="0" applyAlignment="1" applyBorder="1" applyFont="1">
      <alignment readingOrder="0" shrinkToFit="0" vertical="bottom" wrapText="0"/>
    </xf>
    <xf borderId="22" fillId="10" fontId="12" numFmtId="0" xfId="0" applyAlignment="1" applyBorder="1" applyFont="1">
      <alignment readingOrder="0" shrinkToFit="0" vertical="bottom" wrapText="0"/>
    </xf>
    <xf borderId="22" fillId="11" fontId="12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12" fontId="10" numFmtId="10" xfId="0" applyFill="1" applyFont="1" applyNumberFormat="1"/>
    <xf borderId="0" fillId="2" fontId="4" numFmtId="0" xfId="0" applyFont="1"/>
    <xf borderId="0" fillId="0" fontId="10" numFmtId="10" xfId="0" applyFont="1" applyNumberFormat="1"/>
    <xf borderId="0" fillId="2" fontId="4" numFmtId="10" xfId="0" applyFont="1" applyNumberFormat="1"/>
    <xf borderId="0" fillId="0" fontId="12" numFmtId="10" xfId="0" applyFont="1" applyNumberFormat="1"/>
    <xf borderId="0" fillId="0" fontId="10" numFmtId="0" xfId="0" applyAlignment="1" applyFont="1">
      <alignment readingOrder="0"/>
    </xf>
    <xf borderId="0" fillId="0" fontId="8" numFmtId="0" xfId="0" applyFont="1"/>
    <xf borderId="0" fillId="0" fontId="8" numFmtId="164" xfId="0" applyFont="1" applyNumberFormat="1"/>
    <xf borderId="0" fillId="2" fontId="9" numFmtId="0" xfId="0" applyFont="1"/>
    <xf borderId="0" fillId="2" fontId="9" numFmtId="10" xfId="0" applyFont="1" applyNumberFormat="1"/>
    <xf borderId="0" fillId="0" fontId="10" numFmtId="165" xfId="0" applyAlignment="1" applyFont="1" applyNumberFormat="1">
      <alignment readingOrder="0"/>
    </xf>
    <xf borderId="0" fillId="0" fontId="10" numFmtId="10" xfId="0" applyAlignment="1" applyFont="1" applyNumberFormat="1">
      <alignment readingOrder="0"/>
    </xf>
    <xf borderId="0" fillId="0" fontId="13" numFmtId="0" xfId="0" applyAlignment="1" applyFont="1">
      <alignment vertical="bottom"/>
    </xf>
    <xf borderId="23" fillId="0" fontId="13" numFmtId="0" xfId="0" applyAlignment="1" applyBorder="1" applyFont="1">
      <alignment vertical="bottom"/>
    </xf>
    <xf borderId="7" fillId="7" fontId="6" numFmtId="0" xfId="0" applyAlignment="1" applyBorder="1" applyFont="1">
      <alignment horizontal="center" vertical="bottom"/>
    </xf>
    <xf borderId="7" fillId="8" fontId="6" numFmtId="0" xfId="0" applyAlignment="1" applyBorder="1" applyFont="1">
      <alignment horizontal="center" vertical="bottom"/>
    </xf>
    <xf borderId="7" fillId="9" fontId="6" numFmtId="0" xfId="0" applyAlignment="1" applyBorder="1" applyFont="1">
      <alignment horizontal="center" vertical="bottom"/>
    </xf>
    <xf borderId="7" fillId="10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center" vertical="bottom"/>
    </xf>
    <xf borderId="0" fillId="7" fontId="6" numFmtId="49" xfId="0" applyAlignment="1" applyFont="1" applyNumberFormat="1">
      <alignment horizontal="center"/>
    </xf>
    <xf borderId="0" fillId="8" fontId="6" numFmtId="49" xfId="0" applyAlignment="1" applyFont="1" applyNumberFormat="1">
      <alignment horizontal="center"/>
    </xf>
    <xf borderId="0" fillId="9" fontId="6" numFmtId="49" xfId="0" applyAlignment="1" applyFont="1" applyNumberFormat="1">
      <alignment horizontal="center"/>
    </xf>
    <xf borderId="0" fillId="10" fontId="6" numFmtId="49" xfId="0" applyAlignment="1" applyFont="1" applyNumberFormat="1">
      <alignment horizontal="center"/>
    </xf>
    <xf borderId="0" fillId="11" fontId="6" numFmtId="49" xfId="0" applyAlignment="1" applyFont="1" applyNumberFormat="1">
      <alignment horizontal="center"/>
    </xf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vertical="bottom"/>
    </xf>
    <xf borderId="24" fillId="7" fontId="6" numFmtId="166" xfId="0" applyAlignment="1" applyBorder="1" applyFont="1" applyNumberFormat="1">
      <alignment horizontal="center" vertical="bottom"/>
    </xf>
    <xf borderId="21" fillId="0" fontId="7" numFmtId="0" xfId="0" applyBorder="1" applyFont="1"/>
    <xf borderId="24" fillId="8" fontId="6" numFmtId="167" xfId="0" applyAlignment="1" applyBorder="1" applyFont="1" applyNumberFormat="1">
      <alignment horizontal="center" vertical="bottom"/>
    </xf>
    <xf borderId="24" fillId="9" fontId="6" numFmtId="168" xfId="0" applyAlignment="1" applyBorder="1" applyFont="1" applyNumberFormat="1">
      <alignment horizontal="center" vertical="bottom"/>
    </xf>
    <xf borderId="24" fillId="10" fontId="6" numFmtId="166" xfId="0" applyAlignment="1" applyBorder="1" applyFont="1" applyNumberFormat="1">
      <alignment horizontal="center" vertical="bottom"/>
    </xf>
    <xf borderId="24" fillId="11" fontId="6" numFmtId="166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23" fillId="0" fontId="6" numFmtId="0" xfId="0" applyAlignment="1" applyBorder="1" applyFont="1">
      <alignment horizontal="center" vertical="bottom"/>
    </xf>
    <xf borderId="21" fillId="7" fontId="5" numFmtId="0" xfId="0" applyAlignment="1" applyBorder="1" applyFont="1">
      <alignment vertical="bottom"/>
    </xf>
    <xf borderId="21" fillId="8" fontId="5" numFmtId="0" xfId="0" applyAlignment="1" applyBorder="1" applyFont="1">
      <alignment vertical="bottom"/>
    </xf>
    <xf borderId="21" fillId="9" fontId="5" numFmtId="0" xfId="0" applyAlignment="1" applyBorder="1" applyFont="1">
      <alignment vertical="bottom"/>
    </xf>
    <xf borderId="21" fillId="10" fontId="5" numFmtId="0" xfId="0" applyAlignment="1" applyBorder="1" applyFont="1">
      <alignment vertical="bottom"/>
    </xf>
    <xf borderId="21" fillId="11" fontId="5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0" xfId="0" applyAlignment="1" applyFont="1" applyNumberFormat="1">
      <alignment horizontal="center" vertical="bottom"/>
    </xf>
    <xf borderId="0" fillId="2" fontId="1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14" numFmtId="10" xfId="0" applyAlignment="1" applyFont="1" applyNumberFormat="1">
      <alignment horizontal="center" vertical="bottom"/>
    </xf>
    <xf borderId="0" fillId="0" fontId="13" numFmtId="165" xfId="0" applyAlignment="1" applyFont="1" applyNumberFormat="1">
      <alignment vertical="bottom"/>
    </xf>
    <xf borderId="0" fillId="0" fontId="13" numFmtId="10" xfId="0" applyAlignment="1" applyFont="1" applyNumberFormat="1">
      <alignment vertical="bottom"/>
    </xf>
    <xf borderId="0" fillId="2" fontId="14" numFmtId="0" xfId="0" applyAlignment="1" applyFont="1">
      <alignment horizontal="right" vertical="bottom"/>
    </xf>
    <xf borderId="0" fillId="12" fontId="5" numFmtId="10" xfId="0" applyAlignment="1" applyFont="1" applyNumberFormat="1">
      <alignment horizontal="center" vertical="bottom"/>
    </xf>
    <xf borderId="0" fillId="0" fontId="5" numFmtId="0" xfId="0" applyAlignment="1" applyFont="1">
      <alignment horizontal="right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25"/>
    <col customWidth="1" min="3" max="3" width="7.0"/>
    <col customWidth="1" min="4" max="4" width="26.38"/>
    <col customWidth="1" min="5" max="5" width="19.63"/>
    <col customWidth="1" min="7" max="8" width="9.5"/>
    <col customWidth="1" min="9" max="9" width="4.25"/>
    <col customWidth="1" min="10" max="10" width="7.63"/>
    <col customWidth="1" min="11" max="11" width="26.38"/>
    <col customWidth="1" min="12" max="12" width="19.63"/>
    <col customWidth="1" min="13" max="13" width="15.0"/>
  </cols>
  <sheetData>
    <row r="1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/>
      <c r="D2" s="1"/>
      <c r="F2" s="4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5"/>
      <c r="B3" s="6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9"/>
      <c r="B4" s="10" t="s">
        <v>1</v>
      </c>
      <c r="C4" s="11"/>
      <c r="D4" s="11"/>
      <c r="E4" s="11"/>
      <c r="F4" s="12"/>
      <c r="G4" s="13"/>
      <c r="H4" s="14"/>
      <c r="I4" s="15" t="s">
        <v>2</v>
      </c>
      <c r="J4" s="11"/>
      <c r="K4" s="11"/>
      <c r="L4" s="11"/>
      <c r="M4" s="12"/>
      <c r="N4" s="1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7"/>
      <c r="B5" s="18" t="s">
        <v>3</v>
      </c>
      <c r="C5" s="19" t="s">
        <v>4</v>
      </c>
      <c r="D5" s="19" t="s">
        <v>5</v>
      </c>
      <c r="E5" s="20" t="s">
        <v>6</v>
      </c>
      <c r="F5" s="21" t="s">
        <v>7</v>
      </c>
      <c r="G5" s="13"/>
      <c r="H5" s="14"/>
      <c r="I5" s="18" t="s">
        <v>3</v>
      </c>
      <c r="J5" s="19" t="s">
        <v>4</v>
      </c>
      <c r="K5" s="19" t="s">
        <v>5</v>
      </c>
      <c r="L5" s="20" t="s">
        <v>6</v>
      </c>
      <c r="M5" s="21" t="s">
        <v>7</v>
      </c>
      <c r="N5" s="1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7"/>
      <c r="B6" s="22">
        <v>1.0</v>
      </c>
      <c r="C6" s="23" t="str">
        <f>IFERROR(__xludf.DUMMYFUNCTION("IMPORTRANGE(""https://docs.google.com/spreadsheets/d/16tcC6oZi52J2_x0lgnVnSVtYkm_I54EfuGAS06l_25A/edit#gid=131681853"",""Nasdaq!A4:D13"")"),"MRNA")</f>
        <v>MRNA</v>
      </c>
      <c r="D6" s="24" t="str">
        <f>IFERROR(__xludf.DUMMYFUNCTION("""COMPUTED_VALUE"""),"Moderna, Inc.")</f>
        <v>Moderna, Inc.</v>
      </c>
      <c r="E6" s="25">
        <f>IFERROR(__xludf.DUMMYFUNCTION("""COMPUTED_VALUE"""),5.6931269638E10)</f>
        <v>56931269638</v>
      </c>
      <c r="F6" s="26">
        <f>IFERROR(__xludf.DUMMYFUNCTION("""COMPUTED_VALUE"""),0.28614571536428834)</f>
        <v>0.2861457154</v>
      </c>
      <c r="G6" s="13"/>
      <c r="H6" s="14"/>
      <c r="I6" s="27">
        <v>1.0</v>
      </c>
      <c r="J6" s="23" t="s">
        <v>8</v>
      </c>
      <c r="K6" s="24" t="s">
        <v>9</v>
      </c>
      <c r="L6" s="25">
        <v>6.1501576519E10</v>
      </c>
      <c r="M6" s="26">
        <v>0.28614571536428834</v>
      </c>
      <c r="N6" s="1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7"/>
      <c r="B7" s="22">
        <v>2.0</v>
      </c>
      <c r="C7" s="23" t="str">
        <f>IFERROR(__xludf.DUMMYFUNCTION("""COMPUTED_VALUE"""),"ZM")</f>
        <v>ZM</v>
      </c>
      <c r="D7" s="24" t="str">
        <f>IFERROR(__xludf.DUMMYFUNCTION("""COMPUTED_VALUE"""),"Zoom Video Communications, Inc.")</f>
        <v>Zoom Video Communications, Inc.</v>
      </c>
      <c r="E7" s="25">
        <f>IFERROR(__xludf.DUMMYFUNCTION("""COMPUTED_VALUE"""),2.3365143412E10)</f>
        <v>23365143412</v>
      </c>
      <c r="F7" s="26">
        <f>IFERROR(__xludf.DUMMYFUNCTION("""COMPUTED_VALUE"""),0.10634155386612275)</f>
        <v>0.1063415539</v>
      </c>
      <c r="G7" s="13"/>
      <c r="H7" s="14"/>
      <c r="I7" s="27">
        <v>2.0</v>
      </c>
      <c r="J7" s="23" t="s">
        <v>10</v>
      </c>
      <c r="K7" s="24" t="s">
        <v>11</v>
      </c>
      <c r="L7" s="25">
        <v>1.5758298983E10</v>
      </c>
      <c r="M7" s="26">
        <v>-6.623482415459841E-4</v>
      </c>
      <c r="N7" s="1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7"/>
      <c r="B8" s="22">
        <v>3.0</v>
      </c>
      <c r="C8" s="23" t="str">
        <f>IFERROR(__xludf.DUMMYFUNCTION("""COMPUTED_VALUE"""),"GILD")</f>
        <v>GILD</v>
      </c>
      <c r="D8" s="24" t="str">
        <f>IFERROR(__xludf.DUMMYFUNCTION("""COMPUTED_VALUE"""),"Gilead Sciences, Inc.")</f>
        <v>Gilead Sciences, Inc.</v>
      </c>
      <c r="E8" s="25">
        <f>IFERROR(__xludf.DUMMYFUNCTION("""COMPUTED_VALUE"""),9.8828019017E10)</f>
        <v>98828019017</v>
      </c>
      <c r="F8" s="26">
        <f>IFERROR(__xludf.DUMMYFUNCTION("""COMPUTED_VALUE"""),-0.025144227344068664)</f>
        <v>-0.02514422734</v>
      </c>
      <c r="G8" s="13"/>
      <c r="H8" s="14"/>
      <c r="I8" s="27">
        <v>3.0</v>
      </c>
      <c r="J8" s="23" t="s">
        <v>12</v>
      </c>
      <c r="K8" s="24" t="s">
        <v>13</v>
      </c>
      <c r="L8" s="25">
        <v>1.8092581399E10</v>
      </c>
      <c r="M8" s="26">
        <v>-0.01091195207238561</v>
      </c>
      <c r="N8" s="1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7"/>
      <c r="B9" s="22">
        <v>4.0</v>
      </c>
      <c r="C9" s="23" t="str">
        <f>IFERROR(__xludf.DUMMYFUNCTION("""COMPUTED_VALUE"""),"REGN")</f>
        <v>REGN</v>
      </c>
      <c r="D9" s="24" t="str">
        <f>IFERROR(__xludf.DUMMYFUNCTION("""COMPUTED_VALUE"""),"Regeneron Pharmaceuticals, Inc.")</f>
        <v>Regeneron Pharmaceuticals, Inc.</v>
      </c>
      <c r="E9" s="25">
        <f>IFERROR(__xludf.DUMMYFUNCTION("""COMPUTED_VALUE"""),8.04764838E10)</f>
        <v>80476483800</v>
      </c>
      <c r="F9" s="26">
        <f>IFERROR(__xludf.DUMMYFUNCTION("""COMPUTED_VALUE"""),-0.029991448155148127)</f>
        <v>-0.02999144816</v>
      </c>
      <c r="G9" s="13"/>
      <c r="H9" s="14"/>
      <c r="I9" s="27">
        <v>4.0</v>
      </c>
      <c r="J9" s="23" t="s">
        <v>14</v>
      </c>
      <c r="K9" s="24" t="s">
        <v>15</v>
      </c>
      <c r="L9" s="25">
        <v>4.7654977339E10</v>
      </c>
      <c r="M9" s="26">
        <v>-0.013271966264975076</v>
      </c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7"/>
      <c r="B10" s="22">
        <v>5.0</v>
      </c>
      <c r="C10" s="23" t="str">
        <f>IFERROR(__xludf.DUMMYFUNCTION("""COMPUTED_VALUE"""),"COST")</f>
        <v>COST</v>
      </c>
      <c r="D10" s="24" t="str">
        <f>IFERROR(__xludf.DUMMYFUNCTION("""COMPUTED_VALUE"""),"Costco Wholesale Corporation")</f>
        <v>Costco Wholesale Corporation</v>
      </c>
      <c r="E10" s="25">
        <f>IFERROR(__xludf.DUMMYFUNCTION("""COMPUTED_VALUE"""),2.16643663874E11)</f>
        <v>216643663874</v>
      </c>
      <c r="F10" s="26">
        <f>IFERROR(__xludf.DUMMYFUNCTION("""COMPUTED_VALUE"""),-0.05620692521049815)</f>
        <v>-0.05620692521</v>
      </c>
      <c r="G10" s="13"/>
      <c r="H10" s="14"/>
      <c r="I10" s="27">
        <v>5.0</v>
      </c>
      <c r="J10" s="23" t="s">
        <v>16</v>
      </c>
      <c r="K10" s="24" t="s">
        <v>17</v>
      </c>
      <c r="L10" s="25">
        <v>1.4957124704E10</v>
      </c>
      <c r="M10" s="26">
        <v>-0.015033223044225663</v>
      </c>
      <c r="N10" s="16"/>
      <c r="O10" s="1"/>
      <c r="P10" s="1"/>
      <c r="Q10" s="1"/>
      <c r="R10" s="28" t="s">
        <v>18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7"/>
      <c r="B11" s="22">
        <v>6.0</v>
      </c>
      <c r="C11" s="23" t="str">
        <f>IFERROR(__xludf.DUMMYFUNCTION("""COMPUTED_VALUE"""),"WBA")</f>
        <v>WBA</v>
      </c>
      <c r="D11" s="24" t="str">
        <f>IFERROR(__xludf.DUMMYFUNCTION("""COMPUTED_VALUE"""),"Walgreens Boots Alliance, Inc.")</f>
        <v>Walgreens Boots Alliance, Inc.</v>
      </c>
      <c r="E11" s="25">
        <f>IFERROR(__xludf.DUMMYFUNCTION("""COMPUTED_VALUE"""),3.0955984592E10)</f>
        <v>30955984592</v>
      </c>
      <c r="F11" s="26">
        <f>IFERROR(__xludf.DUMMYFUNCTION("""COMPUTED_VALUE"""),-0.056689532671741004)</f>
        <v>-0.05668953267</v>
      </c>
      <c r="G11" s="13"/>
      <c r="H11" s="14"/>
      <c r="I11" s="27">
        <v>6.0</v>
      </c>
      <c r="J11" s="23" t="s">
        <v>19</v>
      </c>
      <c r="K11" s="24" t="s">
        <v>20</v>
      </c>
      <c r="L11" s="25">
        <v>4.1967141889E10</v>
      </c>
      <c r="M11" s="26">
        <v>-0.017775710067840282</v>
      </c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7"/>
      <c r="B12" s="22">
        <v>7.0</v>
      </c>
      <c r="C12" s="23" t="str">
        <f>IFERROR(__xludf.DUMMYFUNCTION("""COMPUTED_VALUE"""),"AMGN")</f>
        <v>AMGN</v>
      </c>
      <c r="D12" s="24" t="str">
        <f>IFERROR(__xludf.DUMMYFUNCTION("""COMPUTED_VALUE"""),"Amgen Inc.")</f>
        <v>Amgen Inc.</v>
      </c>
      <c r="E12" s="25">
        <f>IFERROR(__xludf.DUMMYFUNCTION("""COMPUTED_VALUE"""),1.42358472456E11)</f>
        <v>142358472456</v>
      </c>
      <c r="F12" s="26">
        <f>IFERROR(__xludf.DUMMYFUNCTION("""COMPUTED_VALUE"""),-0.06148137540022151)</f>
        <v>-0.0614813754</v>
      </c>
      <c r="G12" s="13"/>
      <c r="H12" s="14"/>
      <c r="I12" s="27">
        <v>7.0</v>
      </c>
      <c r="J12" s="23" t="s">
        <v>21</v>
      </c>
      <c r="K12" s="24" t="s">
        <v>22</v>
      </c>
      <c r="L12" s="25">
        <v>3.3764584067E10</v>
      </c>
      <c r="M12" s="26">
        <v>-0.024950809995427637</v>
      </c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7"/>
      <c r="B13" s="22">
        <v>8.0</v>
      </c>
      <c r="C13" s="23" t="str">
        <f>IFERROR(__xludf.DUMMYFUNCTION("""COMPUTED_VALUE"""),"PEP")</f>
        <v>PEP</v>
      </c>
      <c r="D13" s="24" t="str">
        <f>IFERROR(__xludf.DUMMYFUNCTION("""COMPUTED_VALUE"""),"Pepsico, Inc.")</f>
        <v>Pepsico, Inc.</v>
      </c>
      <c r="E13" s="25">
        <f>IFERROR(__xludf.DUMMYFUNCTION("""COMPUTED_VALUE"""),2.45122022465E11)</f>
        <v>245122022465</v>
      </c>
      <c r="F13" s="26">
        <f>IFERROR(__xludf.DUMMYFUNCTION("""COMPUTED_VALUE"""),-0.0650422284044653)</f>
        <v>-0.0650422284</v>
      </c>
      <c r="G13" s="13"/>
      <c r="H13" s="14"/>
      <c r="I13" s="27">
        <v>8.0</v>
      </c>
      <c r="J13" s="23" t="s">
        <v>23</v>
      </c>
      <c r="K13" s="24" t="s">
        <v>24</v>
      </c>
      <c r="L13" s="25">
        <v>9.944216904E10</v>
      </c>
      <c r="M13" s="26">
        <v>-0.025144227344068664</v>
      </c>
      <c r="N13" s="1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7"/>
      <c r="B14" s="22">
        <v>9.0</v>
      </c>
      <c r="C14" s="23" t="str">
        <f>IFERROR(__xludf.DUMMYFUNCTION("""COMPUTED_VALUE"""),"ATVI")</f>
        <v>ATVI</v>
      </c>
      <c r="D14" s="24" t="str">
        <f>IFERROR(__xludf.DUMMYFUNCTION("""COMPUTED_VALUE"""),"Activision Blizzard, Inc")</f>
        <v>Activision Blizzard, Inc</v>
      </c>
      <c r="E14" s="25">
        <f>IFERROR(__xludf.DUMMYFUNCTION("""COMPUTED_VALUE"""),5.6509916673E10)</f>
        <v>56509916673</v>
      </c>
      <c r="F14" s="26">
        <f>IFERROR(__xludf.DUMMYFUNCTION("""COMPUTED_VALUE"""),-0.06681363711120854)</f>
        <v>-0.06681363711</v>
      </c>
      <c r="G14" s="13"/>
      <c r="H14" s="14"/>
      <c r="I14" s="27">
        <v>9.0</v>
      </c>
      <c r="J14" s="23" t="s">
        <v>25</v>
      </c>
      <c r="K14" s="24" t="s">
        <v>26</v>
      </c>
      <c r="L14" s="25">
        <v>2.5845194089E10</v>
      </c>
      <c r="M14" s="26">
        <v>-0.028610947453336765</v>
      </c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7"/>
      <c r="B15" s="29">
        <v>10.0</v>
      </c>
      <c r="C15" s="30" t="str">
        <f>IFERROR(__xludf.DUMMYFUNCTION("""COMPUTED_VALUE"""),"MDLZ")</f>
        <v>MDLZ</v>
      </c>
      <c r="D15" s="31" t="str">
        <f>IFERROR(__xludf.DUMMYFUNCTION("""COMPUTED_VALUE"""),"Mondelez International, Inc.")</f>
        <v>Mondelez International, Inc.</v>
      </c>
      <c r="E15" s="32">
        <f>IFERROR(__xludf.DUMMYFUNCTION("""COMPUTED_VALUE"""),8.5352004687E10)</f>
        <v>85352004687</v>
      </c>
      <c r="F15" s="33">
        <f>IFERROR(__xludf.DUMMYFUNCTION("""COMPUTED_VALUE"""),-0.06776413735894331)</f>
        <v>-0.06776413736</v>
      </c>
      <c r="G15" s="13"/>
      <c r="H15" s="14"/>
      <c r="I15" s="34">
        <v>10.0</v>
      </c>
      <c r="J15" s="30" t="s">
        <v>27</v>
      </c>
      <c r="K15" s="31" t="s">
        <v>28</v>
      </c>
      <c r="L15" s="32">
        <v>8.1454886644E10</v>
      </c>
      <c r="M15" s="33">
        <v>-0.029991448155148127</v>
      </c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8"/>
      <c r="B16" s="35"/>
      <c r="C16" s="36"/>
      <c r="D16" s="36"/>
      <c r="E16" s="36"/>
      <c r="F16" s="36"/>
      <c r="G16" s="8"/>
      <c r="H16" s="8"/>
      <c r="I16" s="36"/>
      <c r="J16" s="36"/>
      <c r="K16" s="36"/>
      <c r="L16" s="36"/>
      <c r="M16" s="3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8"/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8"/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4"/>
      <c r="B19" s="37" t="s">
        <v>29</v>
      </c>
      <c r="C19" s="11"/>
      <c r="D19" s="11"/>
      <c r="E19" s="11"/>
      <c r="F19" s="12"/>
      <c r="G19" s="13"/>
      <c r="H19" s="14"/>
      <c r="I19" s="38" t="s">
        <v>30</v>
      </c>
      <c r="J19" s="11"/>
      <c r="K19" s="11"/>
      <c r="L19" s="11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8"/>
      <c r="B20" s="18" t="s">
        <v>3</v>
      </c>
      <c r="C20" s="19" t="s">
        <v>4</v>
      </c>
      <c r="D20" s="19" t="s">
        <v>5</v>
      </c>
      <c r="E20" s="20" t="s">
        <v>6</v>
      </c>
      <c r="F20" s="21" t="s">
        <v>7</v>
      </c>
      <c r="G20" s="13"/>
      <c r="H20" s="14"/>
      <c r="I20" s="39" t="s">
        <v>3</v>
      </c>
      <c r="J20" s="40" t="s">
        <v>4</v>
      </c>
      <c r="K20" s="40" t="s">
        <v>5</v>
      </c>
      <c r="L20" s="41" t="s">
        <v>6</v>
      </c>
      <c r="M20" s="42" t="s">
        <v>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/>
      <c r="B21" s="22">
        <v>1.0</v>
      </c>
      <c r="C21" s="43" t="s">
        <v>31</v>
      </c>
      <c r="D21" s="44" t="s">
        <v>32</v>
      </c>
      <c r="E21" s="45">
        <v>4.956759694E9</v>
      </c>
      <c r="F21" s="26">
        <v>-0.04222914127296908</v>
      </c>
      <c r="G21" s="13"/>
      <c r="H21" s="14"/>
      <c r="I21" s="39">
        <v>1.0</v>
      </c>
      <c r="J21" s="46" t="s">
        <v>33</v>
      </c>
      <c r="K21" s="47" t="s">
        <v>34</v>
      </c>
      <c r="L21" s="48">
        <v>3.84580373294E11</v>
      </c>
      <c r="M21" s="49">
        <v>-0.03921159928896585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8"/>
      <c r="B22" s="22">
        <v>2.0</v>
      </c>
      <c r="C22" s="43" t="s">
        <v>35</v>
      </c>
      <c r="D22" s="44" t="s">
        <v>36</v>
      </c>
      <c r="E22" s="45">
        <v>4.401831681E9</v>
      </c>
      <c r="F22" s="26">
        <v>-0.04380143578238531</v>
      </c>
      <c r="G22" s="13"/>
      <c r="H22" s="14"/>
      <c r="I22" s="39">
        <v>2.0</v>
      </c>
      <c r="J22" s="46" t="s">
        <v>37</v>
      </c>
      <c r="K22" s="47" t="s">
        <v>38</v>
      </c>
      <c r="L22" s="48">
        <v>3.21756168244E11</v>
      </c>
      <c r="M22" s="49">
        <v>-0.04551691565696297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8"/>
      <c r="B23" s="22">
        <v>3.0</v>
      </c>
      <c r="C23" s="43" t="s">
        <v>39</v>
      </c>
      <c r="D23" s="44" t="s">
        <v>40</v>
      </c>
      <c r="E23" s="45">
        <v>3.455309065E9</v>
      </c>
      <c r="F23" s="26">
        <v>-0.07203880693260581</v>
      </c>
      <c r="G23" s="13"/>
      <c r="H23" s="14"/>
      <c r="I23" s="39">
        <v>3.0</v>
      </c>
      <c r="J23" s="46" t="s">
        <v>41</v>
      </c>
      <c r="K23" s="47" t="s">
        <v>42</v>
      </c>
      <c r="L23" s="48">
        <v>4.52540967536E11</v>
      </c>
      <c r="M23" s="49">
        <v>-0.054527497732741625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8"/>
      <c r="B24" s="22">
        <v>4.0</v>
      </c>
      <c r="C24" s="43" t="s">
        <v>43</v>
      </c>
      <c r="D24" s="44" t="s">
        <v>44</v>
      </c>
      <c r="E24" s="45">
        <v>4.488220499E9</v>
      </c>
      <c r="F24" s="26">
        <v>-0.07477332041491062</v>
      </c>
      <c r="G24" s="13"/>
      <c r="H24" s="14"/>
      <c r="I24" s="39">
        <v>4.0</v>
      </c>
      <c r="J24" s="46" t="s">
        <v>45</v>
      </c>
      <c r="K24" s="47" t="s">
        <v>46</v>
      </c>
      <c r="L24" s="48">
        <v>3.135812268E10</v>
      </c>
      <c r="M24" s="49">
        <v>-0.056689532671741004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8"/>
      <c r="B25" s="22">
        <v>5.0</v>
      </c>
      <c r="C25" s="43" t="s">
        <v>47</v>
      </c>
      <c r="D25" s="44" t="s">
        <v>48</v>
      </c>
      <c r="E25" s="45">
        <v>5.041724145E9</v>
      </c>
      <c r="F25" s="26">
        <v>-0.07622848376413485</v>
      </c>
      <c r="G25" s="13"/>
      <c r="H25" s="14"/>
      <c r="I25" s="39">
        <v>5.0</v>
      </c>
      <c r="J25" s="46" t="s">
        <v>49</v>
      </c>
      <c r="K25" s="47" t="s">
        <v>50</v>
      </c>
      <c r="L25" s="48">
        <v>1.56947177994E11</v>
      </c>
      <c r="M25" s="49">
        <v>-0.058407241475735484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8"/>
      <c r="B26" s="22">
        <v>6.0</v>
      </c>
      <c r="C26" s="43" t="s">
        <v>51</v>
      </c>
      <c r="D26" s="44" t="s">
        <v>52</v>
      </c>
      <c r="E26" s="45">
        <v>7.200030617E9</v>
      </c>
      <c r="F26" s="26">
        <v>-0.07871918318864751</v>
      </c>
      <c r="G26" s="13"/>
      <c r="H26" s="14"/>
      <c r="I26" s="39">
        <v>6.0</v>
      </c>
      <c r="J26" s="46" t="s">
        <v>53</v>
      </c>
      <c r="K26" s="47" t="s">
        <v>54</v>
      </c>
      <c r="L26" s="48">
        <v>1.45533287051E11</v>
      </c>
      <c r="M26" s="49">
        <v>-0.06148137540022151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8"/>
      <c r="B27" s="22">
        <v>7.0</v>
      </c>
      <c r="C27" s="43" t="s">
        <v>55</v>
      </c>
      <c r="D27" s="44" t="s">
        <v>56</v>
      </c>
      <c r="E27" s="45">
        <v>5.77292103E9</v>
      </c>
      <c r="F27" s="26">
        <v>-0.08175433590060427</v>
      </c>
      <c r="G27" s="13"/>
      <c r="H27" s="14"/>
      <c r="I27" s="39">
        <v>7.0</v>
      </c>
      <c r="J27" s="46" t="s">
        <v>57</v>
      </c>
      <c r="K27" s="47" t="s">
        <v>58</v>
      </c>
      <c r="L27" s="48">
        <v>2.57913971065E11</v>
      </c>
      <c r="M27" s="49">
        <v>-0.06714610529515662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8"/>
      <c r="B28" s="22">
        <v>8.0</v>
      </c>
      <c r="C28" s="43" t="s">
        <v>59</v>
      </c>
      <c r="D28" s="44" t="s">
        <v>60</v>
      </c>
      <c r="E28" s="45">
        <v>4.63847347E9</v>
      </c>
      <c r="F28" s="26">
        <v>-0.0848277291943669</v>
      </c>
      <c r="G28" s="13"/>
      <c r="H28" s="14"/>
      <c r="I28" s="39">
        <v>8.0</v>
      </c>
      <c r="J28" s="46" t="s">
        <v>61</v>
      </c>
      <c r="K28" s="47" t="s">
        <v>62</v>
      </c>
      <c r="L28" s="48">
        <v>2.52719997337E11</v>
      </c>
      <c r="M28" s="49">
        <v>-0.07381603884097196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8"/>
      <c r="B29" s="22">
        <v>9.0</v>
      </c>
      <c r="C29" s="43" t="s">
        <v>63</v>
      </c>
      <c r="D29" s="44" t="s">
        <v>64</v>
      </c>
      <c r="E29" s="45">
        <v>3.983640668E9</v>
      </c>
      <c r="F29" s="26">
        <v>-0.08531739147640464</v>
      </c>
      <c r="G29" s="13"/>
      <c r="H29" s="14"/>
      <c r="I29" s="39">
        <v>9.0</v>
      </c>
      <c r="J29" s="46" t="s">
        <v>65</v>
      </c>
      <c r="K29" s="47" t="s">
        <v>66</v>
      </c>
      <c r="L29" s="48">
        <v>6.925868725E10</v>
      </c>
      <c r="M29" s="49">
        <v>-0.07825967478786569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/>
      <c r="B30" s="29">
        <v>10.0</v>
      </c>
      <c r="C30" s="50" t="s">
        <v>67</v>
      </c>
      <c r="D30" s="51" t="s">
        <v>68</v>
      </c>
      <c r="E30" s="52">
        <v>5.497347674E9</v>
      </c>
      <c r="F30" s="33">
        <v>-0.09576106746542966</v>
      </c>
      <c r="G30" s="13"/>
      <c r="H30" s="14"/>
      <c r="I30" s="53">
        <v>10.0</v>
      </c>
      <c r="J30" s="54" t="s">
        <v>69</v>
      </c>
      <c r="K30" s="55" t="s">
        <v>70</v>
      </c>
      <c r="L30" s="56">
        <v>2.00814029119E11</v>
      </c>
      <c r="M30" s="57">
        <v>-0.10493769862386695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8"/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8"/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6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</sheetData>
  <mergeCells count="4">
    <mergeCell ref="B4:F4"/>
    <mergeCell ref="I4:M4"/>
    <mergeCell ref="B19:F19"/>
    <mergeCell ref="I19:M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25"/>
    <col customWidth="1" min="3" max="3" width="18.88"/>
    <col customWidth="1" min="5" max="5" width="20.13"/>
    <col customWidth="1" min="6" max="6" width="18.38"/>
    <col customWidth="1" min="7" max="8" width="19.0"/>
    <col customWidth="1" min="9" max="9" width="20.0"/>
    <col customWidth="1" min="10" max="10" width="18.63"/>
    <col customWidth="1" min="11" max="11" width="19.5"/>
    <col customWidth="1" min="12" max="12" width="18.63"/>
    <col customWidth="1" min="13" max="13" width="19.38"/>
    <col customWidth="1" min="14" max="14" width="18.38"/>
  </cols>
  <sheetData>
    <row r="1">
      <c r="A1" s="58"/>
      <c r="B1" s="58"/>
      <c r="C1" s="58"/>
      <c r="D1" s="59"/>
      <c r="E1" s="60" t="s">
        <v>71</v>
      </c>
      <c r="F1" s="12"/>
      <c r="G1" s="61" t="s">
        <v>72</v>
      </c>
      <c r="H1" s="12"/>
      <c r="I1" s="62" t="s">
        <v>73</v>
      </c>
      <c r="J1" s="12"/>
      <c r="K1" s="63" t="s">
        <v>74</v>
      </c>
      <c r="L1" s="12"/>
      <c r="M1" s="64" t="s">
        <v>75</v>
      </c>
      <c r="N1" s="12"/>
      <c r="O1" s="65" t="s">
        <v>76</v>
      </c>
      <c r="P1" s="66" t="s">
        <v>77</v>
      </c>
      <c r="Q1" s="67" t="s">
        <v>78</v>
      </c>
      <c r="R1" s="68" t="s">
        <v>79</v>
      </c>
      <c r="S1" s="69" t="s">
        <v>80</v>
      </c>
      <c r="T1" s="59"/>
      <c r="U1" s="59"/>
      <c r="V1" s="59"/>
      <c r="W1" s="59"/>
      <c r="X1" s="59"/>
      <c r="Y1" s="59"/>
      <c r="Z1" s="59"/>
      <c r="AA1" s="59"/>
      <c r="AB1" s="59"/>
    </row>
    <row r="2">
      <c r="A2" s="59"/>
      <c r="B2" s="59"/>
      <c r="C2" s="70"/>
      <c r="D2" s="59"/>
      <c r="E2" s="71">
        <v>39706.0</v>
      </c>
      <c r="F2" s="12"/>
      <c r="G2" s="72">
        <v>40304.0</v>
      </c>
      <c r="H2" s="12"/>
      <c r="I2" s="73">
        <v>40763.0</v>
      </c>
      <c r="J2" s="12"/>
      <c r="K2" s="74">
        <v>42240.0</v>
      </c>
      <c r="L2" s="12"/>
      <c r="M2" s="75">
        <v>43881.0</v>
      </c>
      <c r="N2" s="12"/>
      <c r="T2" s="59"/>
      <c r="U2" s="59"/>
      <c r="V2" s="59"/>
      <c r="W2" s="59"/>
      <c r="X2" s="59"/>
      <c r="Y2" s="59"/>
      <c r="Z2" s="59"/>
      <c r="AA2" s="59"/>
      <c r="AB2" s="59"/>
    </row>
    <row r="3">
      <c r="A3" s="76" t="s">
        <v>4</v>
      </c>
      <c r="B3" s="76" t="s">
        <v>5</v>
      </c>
      <c r="C3" s="77" t="s">
        <v>6</v>
      </c>
      <c r="D3" s="78" t="s">
        <v>7</v>
      </c>
      <c r="E3" s="79" t="s">
        <v>81</v>
      </c>
      <c r="F3" s="79" t="s">
        <v>82</v>
      </c>
      <c r="G3" s="80" t="s">
        <v>83</v>
      </c>
      <c r="H3" s="80" t="s">
        <v>84</v>
      </c>
      <c r="I3" s="81" t="s">
        <v>85</v>
      </c>
      <c r="J3" s="81" t="s">
        <v>86</v>
      </c>
      <c r="K3" s="82" t="s">
        <v>87</v>
      </c>
      <c r="L3" s="82" t="s">
        <v>88</v>
      </c>
      <c r="M3" s="83" t="s">
        <v>89</v>
      </c>
      <c r="N3" s="83" t="s">
        <v>90</v>
      </c>
      <c r="T3" s="59"/>
      <c r="U3" s="59"/>
      <c r="V3" s="59"/>
      <c r="W3" s="59"/>
      <c r="X3" s="59"/>
      <c r="Y3" s="59"/>
      <c r="Z3" s="59"/>
      <c r="AA3" s="59"/>
      <c r="AB3" s="59"/>
    </row>
    <row r="4">
      <c r="A4" s="84" t="s">
        <v>8</v>
      </c>
      <c r="B4" s="84" t="s">
        <v>9</v>
      </c>
      <c r="C4" s="85">
        <v>5.6931269638E10</v>
      </c>
      <c r="D4" s="86">
        <f t="shared" ref="D4:D101" si="1">AVERAGEIF(O4:S4,"&lt;&gt;#N/A")</f>
        <v>0.2861457154</v>
      </c>
      <c r="E4" s="87" t="e">
        <v>#N/A</v>
      </c>
      <c r="F4" s="87" t="e">
        <v>#N/A</v>
      </c>
      <c r="G4" s="87" t="e">
        <v>#N/A</v>
      </c>
      <c r="H4" s="59" t="e">
        <v>#N/A</v>
      </c>
      <c r="I4" s="87" t="e">
        <v>#N/A</v>
      </c>
      <c r="J4" s="59" t="e">
        <v>#N/A</v>
      </c>
      <c r="K4" s="87" t="e">
        <v>#N/A</v>
      </c>
      <c r="L4" s="87" t="e">
        <v>#N/A</v>
      </c>
      <c r="M4" s="87">
        <v>18.91</v>
      </c>
      <c r="N4" s="59">
        <v>26.49</v>
      </c>
      <c r="O4" s="88" t="e">
        <v>#N/A</v>
      </c>
      <c r="P4" s="89" t="e">
        <v>#N/A</v>
      </c>
      <c r="Q4" s="88" t="e">
        <v>#N/A</v>
      </c>
      <c r="R4" s="88" t="e">
        <v>#N/A</v>
      </c>
      <c r="S4" s="88">
        <v>0.28614571536428834</v>
      </c>
      <c r="T4" s="59"/>
      <c r="U4" s="59"/>
      <c r="V4" s="59"/>
      <c r="W4" s="59"/>
      <c r="X4" s="59"/>
      <c r="Y4" s="59"/>
      <c r="Z4" s="59"/>
      <c r="AA4" s="59"/>
      <c r="AB4" s="59"/>
    </row>
    <row r="5">
      <c r="A5" s="84" t="s">
        <v>91</v>
      </c>
      <c r="B5" s="84" t="s">
        <v>92</v>
      </c>
      <c r="C5" s="85">
        <v>2.3365143412E10</v>
      </c>
      <c r="D5" s="86">
        <f t="shared" si="1"/>
        <v>0.1063415539</v>
      </c>
      <c r="E5" s="87" t="e">
        <v>#N/A</v>
      </c>
      <c r="F5" s="87" t="e">
        <v>#N/A</v>
      </c>
      <c r="G5" s="87" t="e">
        <v>#N/A</v>
      </c>
      <c r="H5" s="59" t="e">
        <v>#N/A</v>
      </c>
      <c r="I5" s="87" t="e">
        <v>#N/A</v>
      </c>
      <c r="J5" s="59" t="e">
        <v>#N/A</v>
      </c>
      <c r="K5" s="87" t="e">
        <v>#N/A</v>
      </c>
      <c r="L5" s="87" t="e">
        <v>#N/A</v>
      </c>
      <c r="M5" s="87">
        <v>96.39</v>
      </c>
      <c r="N5" s="59">
        <v>107.86</v>
      </c>
      <c r="O5" s="88" t="e">
        <v>#N/A</v>
      </c>
      <c r="P5" s="89" t="e">
        <v>#N/A</v>
      </c>
      <c r="Q5" s="88" t="e">
        <v>#N/A</v>
      </c>
      <c r="R5" s="88" t="e">
        <v>#N/A</v>
      </c>
      <c r="S5" s="88">
        <v>0.10634155386612275</v>
      </c>
      <c r="T5" s="59"/>
      <c r="U5" s="59"/>
      <c r="V5" s="59"/>
      <c r="W5" s="59"/>
      <c r="X5" s="59"/>
      <c r="Y5" s="59"/>
      <c r="Z5" s="59"/>
      <c r="AA5" s="59"/>
      <c r="AB5" s="59"/>
    </row>
    <row r="6">
      <c r="A6" s="84" t="s">
        <v>23</v>
      </c>
      <c r="B6" s="84" t="s">
        <v>93</v>
      </c>
      <c r="C6" s="85">
        <v>9.8828019017E10</v>
      </c>
      <c r="D6" s="86">
        <f t="shared" si="1"/>
        <v>-0.02514422734</v>
      </c>
      <c r="E6" s="87">
        <v>24.99</v>
      </c>
      <c r="F6" s="87">
        <v>23.92</v>
      </c>
      <c r="G6" s="87">
        <v>19.88</v>
      </c>
      <c r="H6" s="59">
        <v>19.18</v>
      </c>
      <c r="I6" s="87">
        <v>18.88</v>
      </c>
      <c r="J6" s="59">
        <v>18.41</v>
      </c>
      <c r="K6" s="87">
        <v>105.33</v>
      </c>
      <c r="L6" s="87">
        <v>100.66</v>
      </c>
      <c r="M6" s="87">
        <v>67.01</v>
      </c>
      <c r="N6" s="59">
        <v>68.9</v>
      </c>
      <c r="O6" s="88">
        <v>-0.044732441471571766</v>
      </c>
      <c r="P6" s="89">
        <v>-0.036496350364963466</v>
      </c>
      <c r="Q6" s="88">
        <v>-0.025529603476371475</v>
      </c>
      <c r="R6" s="88">
        <v>-0.04639380091396783</v>
      </c>
      <c r="S6" s="88">
        <v>0.02743105950653121</v>
      </c>
      <c r="T6" s="59"/>
      <c r="U6" s="59"/>
      <c r="V6" s="59"/>
      <c r="W6" s="59"/>
      <c r="X6" s="59"/>
      <c r="Y6" s="59"/>
      <c r="Z6" s="59"/>
      <c r="AA6" s="59"/>
      <c r="AB6" s="59"/>
    </row>
    <row r="7">
      <c r="A7" s="84" t="s">
        <v>27</v>
      </c>
      <c r="B7" s="84" t="s">
        <v>94</v>
      </c>
      <c r="C7" s="85">
        <v>8.04764838E10</v>
      </c>
      <c r="D7" s="86">
        <f t="shared" si="1"/>
        <v>-0.02999144816</v>
      </c>
      <c r="E7" s="87">
        <v>20.38</v>
      </c>
      <c r="F7" s="87">
        <v>20.45</v>
      </c>
      <c r="G7" s="87">
        <v>27.48</v>
      </c>
      <c r="H7" s="59">
        <v>23.58</v>
      </c>
      <c r="I7" s="87">
        <v>46.81</v>
      </c>
      <c r="J7" s="59">
        <v>44.96</v>
      </c>
      <c r="K7" s="87">
        <v>527.18</v>
      </c>
      <c r="L7" s="87">
        <v>504.58</v>
      </c>
      <c r="M7" s="87">
        <v>397.65</v>
      </c>
      <c r="N7" s="59">
        <v>440.83</v>
      </c>
      <c r="O7" s="88">
        <v>0.0034229828850855888</v>
      </c>
      <c r="P7" s="89">
        <v>-0.1653944020356235</v>
      </c>
      <c r="Q7" s="88">
        <v>-0.04114768683274025</v>
      </c>
      <c r="R7" s="88">
        <v>-0.04478972610884293</v>
      </c>
      <c r="S7" s="88">
        <v>0.09795159131638048</v>
      </c>
      <c r="T7" s="59"/>
      <c r="U7" s="59"/>
      <c r="V7" s="59"/>
      <c r="W7" s="59"/>
      <c r="X7" s="59"/>
      <c r="Y7" s="59"/>
      <c r="Z7" s="59"/>
      <c r="AA7" s="59"/>
      <c r="AB7" s="59"/>
    </row>
    <row r="8">
      <c r="A8" s="84" t="s">
        <v>95</v>
      </c>
      <c r="B8" s="84" t="s">
        <v>96</v>
      </c>
      <c r="C8" s="85">
        <v>2.16643663874E11</v>
      </c>
      <c r="D8" s="86">
        <f t="shared" si="1"/>
        <v>-0.05620692521</v>
      </c>
      <c r="E8" s="87">
        <v>67.36</v>
      </c>
      <c r="F8" s="87">
        <v>68.95</v>
      </c>
      <c r="G8" s="87">
        <v>59.31</v>
      </c>
      <c r="H8" s="59">
        <v>57.31</v>
      </c>
      <c r="I8" s="87">
        <v>76.74</v>
      </c>
      <c r="J8" s="59">
        <v>70.62</v>
      </c>
      <c r="K8" s="87">
        <v>138.99</v>
      </c>
      <c r="L8" s="87">
        <v>132.97</v>
      </c>
      <c r="M8" s="87">
        <v>322.05</v>
      </c>
      <c r="N8" s="59">
        <v>283.18</v>
      </c>
      <c r="O8" s="88">
        <v>0.023060188542422092</v>
      </c>
      <c r="P8" s="89">
        <v>-0.034897923573547374</v>
      </c>
      <c r="Q8" s="88">
        <v>-0.08666100254885287</v>
      </c>
      <c r="R8" s="88">
        <v>-0.045273369933067686</v>
      </c>
      <c r="S8" s="88">
        <v>-0.13726251853944488</v>
      </c>
      <c r="T8" s="59"/>
      <c r="U8" s="59"/>
      <c r="V8" s="59"/>
      <c r="W8" s="59"/>
      <c r="X8" s="59"/>
      <c r="Y8" s="59"/>
      <c r="Z8" s="59"/>
      <c r="AA8" s="59"/>
      <c r="AB8" s="59"/>
    </row>
    <row r="9">
      <c r="A9" s="84" t="s">
        <v>45</v>
      </c>
      <c r="B9" s="84" t="s">
        <v>97</v>
      </c>
      <c r="C9" s="85">
        <v>3.0955984592E10</v>
      </c>
      <c r="D9" s="86">
        <f t="shared" si="1"/>
        <v>-0.05668953267</v>
      </c>
      <c r="E9" s="87">
        <v>34.94</v>
      </c>
      <c r="F9" s="87">
        <v>34.27</v>
      </c>
      <c r="G9" s="87">
        <v>35.62</v>
      </c>
      <c r="H9" s="59">
        <v>34.87</v>
      </c>
      <c r="I9" s="87">
        <v>37.03</v>
      </c>
      <c r="J9" s="59">
        <v>35.22</v>
      </c>
      <c r="K9" s="87">
        <v>85.61</v>
      </c>
      <c r="L9" s="87">
        <v>82.27</v>
      </c>
      <c r="M9" s="87">
        <v>51.86</v>
      </c>
      <c r="N9" s="59">
        <v>45.08</v>
      </c>
      <c r="O9" s="88">
        <v>-0.01955062737087816</v>
      </c>
      <c r="P9" s="89">
        <v>-0.02150845999426441</v>
      </c>
      <c r="Q9" s="88">
        <v>-0.05139125496876781</v>
      </c>
      <c r="R9" s="88">
        <v>-0.04059803087395167</v>
      </c>
      <c r="S9" s="88">
        <v>-0.15039929015084297</v>
      </c>
      <c r="T9" s="59"/>
      <c r="U9" s="59"/>
      <c r="V9" s="59"/>
      <c r="W9" s="59"/>
      <c r="X9" s="59"/>
      <c r="Y9" s="59"/>
      <c r="Z9" s="59"/>
      <c r="AA9" s="59"/>
      <c r="AB9" s="59"/>
    </row>
    <row r="10">
      <c r="A10" s="84" t="s">
        <v>53</v>
      </c>
      <c r="B10" s="84" t="s">
        <v>98</v>
      </c>
      <c r="C10" s="85">
        <v>1.42358472456E11</v>
      </c>
      <c r="D10" s="86">
        <f t="shared" si="1"/>
        <v>-0.0614813754</v>
      </c>
      <c r="E10" s="87">
        <v>60.88</v>
      </c>
      <c r="F10" s="87">
        <v>62.19</v>
      </c>
      <c r="G10" s="87">
        <v>57.59</v>
      </c>
      <c r="H10" s="59">
        <v>54.46</v>
      </c>
      <c r="I10" s="87">
        <v>52.12</v>
      </c>
      <c r="J10" s="59">
        <v>49.88</v>
      </c>
      <c r="K10" s="87">
        <v>155.19</v>
      </c>
      <c r="L10" s="87">
        <v>147.64</v>
      </c>
      <c r="M10" s="87">
        <v>221.69</v>
      </c>
      <c r="N10" s="59">
        <v>188.68</v>
      </c>
      <c r="O10" s="88">
        <v>0.02106447981990666</v>
      </c>
      <c r="P10" s="89">
        <v>-0.0574733749540948</v>
      </c>
      <c r="Q10" s="88">
        <v>-0.04490777866880503</v>
      </c>
      <c r="R10" s="88">
        <v>-0.051137903007315175</v>
      </c>
      <c r="S10" s="88">
        <v>-0.1749523001907992</v>
      </c>
      <c r="T10" s="59"/>
      <c r="U10" s="59"/>
      <c r="V10" s="59"/>
      <c r="W10" s="59"/>
      <c r="X10" s="59"/>
      <c r="Y10" s="59"/>
      <c r="Z10" s="59"/>
      <c r="AA10" s="59"/>
      <c r="AB10" s="59"/>
    </row>
    <row r="11">
      <c r="A11" s="84" t="s">
        <v>99</v>
      </c>
      <c r="B11" s="84" t="s">
        <v>100</v>
      </c>
      <c r="C11" s="85">
        <v>2.45122022465E11</v>
      </c>
      <c r="D11" s="86">
        <f t="shared" si="1"/>
        <v>-0.0650422284</v>
      </c>
      <c r="E11" s="87">
        <v>68.39</v>
      </c>
      <c r="F11" s="87">
        <v>72.35</v>
      </c>
      <c r="G11" s="87">
        <v>65.69</v>
      </c>
      <c r="H11" s="59">
        <v>64.57</v>
      </c>
      <c r="I11" s="87">
        <v>64.67</v>
      </c>
      <c r="J11" s="59">
        <v>62.97</v>
      </c>
      <c r="K11" s="87">
        <v>96.25</v>
      </c>
      <c r="L11" s="87">
        <v>91.83</v>
      </c>
      <c r="M11" s="87">
        <v>145.6</v>
      </c>
      <c r="N11" s="59">
        <v>113.09</v>
      </c>
      <c r="O11" s="88">
        <v>0.05473393227366958</v>
      </c>
      <c r="P11" s="89">
        <v>-0.01734551649372781</v>
      </c>
      <c r="Q11" s="88">
        <v>-0.02699698269016997</v>
      </c>
      <c r="R11" s="88">
        <v>-0.04813241859958621</v>
      </c>
      <c r="S11" s="88">
        <v>-0.28747015651251207</v>
      </c>
      <c r="T11" s="59"/>
      <c r="U11" s="59"/>
      <c r="V11" s="59"/>
      <c r="W11" s="59"/>
      <c r="X11" s="59"/>
      <c r="Y11" s="59"/>
      <c r="Z11" s="59"/>
      <c r="AA11" s="59"/>
      <c r="AB11" s="59"/>
    </row>
    <row r="12">
      <c r="A12" s="84" t="s">
        <v>101</v>
      </c>
      <c r="B12" s="84" t="s">
        <v>102</v>
      </c>
      <c r="C12" s="85">
        <v>5.6509916673E10</v>
      </c>
      <c r="D12" s="86">
        <f t="shared" si="1"/>
        <v>-0.06681363711</v>
      </c>
      <c r="E12" s="87">
        <v>16.47</v>
      </c>
      <c r="F12" s="87">
        <v>16.79</v>
      </c>
      <c r="G12" s="87">
        <v>11.15</v>
      </c>
      <c r="H12" s="59">
        <v>10.56</v>
      </c>
      <c r="I12" s="87">
        <v>11.43</v>
      </c>
      <c r="J12" s="59">
        <v>10.9</v>
      </c>
      <c r="K12" s="87">
        <v>27.22</v>
      </c>
      <c r="L12" s="87">
        <v>26.16</v>
      </c>
      <c r="M12" s="87">
        <v>63.74</v>
      </c>
      <c r="N12" s="59">
        <v>52.76</v>
      </c>
      <c r="O12" s="88">
        <v>0.019058963668850525</v>
      </c>
      <c r="P12" s="89">
        <v>-0.055871212121212106</v>
      </c>
      <c r="Q12" s="88">
        <v>-0.048623853211009115</v>
      </c>
      <c r="R12" s="88">
        <v>-0.04051987767584093</v>
      </c>
      <c r="S12" s="88">
        <v>-0.20811220621683102</v>
      </c>
      <c r="T12" s="59"/>
      <c r="U12" s="59"/>
      <c r="V12" s="59"/>
      <c r="W12" s="59"/>
      <c r="X12" s="59"/>
      <c r="Y12" s="59"/>
      <c r="Z12" s="59"/>
      <c r="AA12" s="59"/>
      <c r="AB12" s="59"/>
    </row>
    <row r="13">
      <c r="A13" s="84" t="s">
        <v>103</v>
      </c>
      <c r="B13" s="84" t="s">
        <v>104</v>
      </c>
      <c r="C13" s="85">
        <v>8.5352004687E10</v>
      </c>
      <c r="D13" s="86">
        <f t="shared" si="1"/>
        <v>-0.06776413736</v>
      </c>
      <c r="E13" s="87">
        <v>20.77</v>
      </c>
      <c r="F13" s="87">
        <v>21.69</v>
      </c>
      <c r="G13" s="87">
        <v>19.57</v>
      </c>
      <c r="H13" s="59">
        <v>19.68</v>
      </c>
      <c r="I13" s="87">
        <v>22.83</v>
      </c>
      <c r="J13" s="59">
        <v>22.07</v>
      </c>
      <c r="K13" s="87">
        <v>43.2</v>
      </c>
      <c r="L13" s="87">
        <v>41.96</v>
      </c>
      <c r="M13" s="87">
        <v>59.66</v>
      </c>
      <c r="N13" s="59">
        <v>45.1</v>
      </c>
      <c r="O13" s="88">
        <v>0.042415859843245814</v>
      </c>
      <c r="P13" s="89">
        <v>0.0055894308943089145</v>
      </c>
      <c r="Q13" s="88">
        <v>-0.034435885817852195</v>
      </c>
      <c r="R13" s="88">
        <v>-0.029551954242135414</v>
      </c>
      <c r="S13" s="88">
        <v>-0.3228381374722837</v>
      </c>
      <c r="T13" s="59"/>
      <c r="U13" s="59"/>
      <c r="V13" s="59"/>
      <c r="W13" s="59"/>
      <c r="X13" s="59"/>
      <c r="Y13" s="59"/>
      <c r="Z13" s="59"/>
      <c r="AA13" s="59"/>
      <c r="AB13" s="59"/>
    </row>
    <row r="14">
      <c r="A14" s="84" t="s">
        <v>105</v>
      </c>
      <c r="B14" s="84" t="s">
        <v>106</v>
      </c>
      <c r="C14" s="85">
        <v>3.5655975757E10</v>
      </c>
      <c r="D14" s="86">
        <f t="shared" si="1"/>
        <v>-0.07431327813</v>
      </c>
      <c r="E14" s="87">
        <v>20.28</v>
      </c>
      <c r="F14" s="87">
        <v>20.44</v>
      </c>
      <c r="G14" s="87">
        <v>22.1</v>
      </c>
      <c r="H14" s="59">
        <v>20.87</v>
      </c>
      <c r="I14" s="87">
        <v>23.23</v>
      </c>
      <c r="J14" s="59">
        <v>21.95</v>
      </c>
      <c r="K14" s="87">
        <v>35.56</v>
      </c>
      <c r="L14" s="87">
        <v>34.1</v>
      </c>
      <c r="M14" s="87">
        <v>71.16</v>
      </c>
      <c r="N14" s="59">
        <v>58.36</v>
      </c>
      <c r="O14" s="88">
        <v>0.007827788649706464</v>
      </c>
      <c r="P14" s="89">
        <v>-0.058936272160996665</v>
      </c>
      <c r="Q14" s="88">
        <v>-0.058314350797266566</v>
      </c>
      <c r="R14" s="88">
        <v>-0.04281524926686219</v>
      </c>
      <c r="S14" s="88">
        <v>-0.21932830705962983</v>
      </c>
      <c r="T14" s="59"/>
      <c r="U14" s="59"/>
      <c r="V14" s="59"/>
      <c r="W14" s="59"/>
      <c r="X14" s="59"/>
      <c r="Y14" s="59"/>
      <c r="Z14" s="59"/>
      <c r="AA14" s="59"/>
      <c r="AB14" s="59"/>
    </row>
    <row r="15">
      <c r="A15" s="84" t="s">
        <v>107</v>
      </c>
      <c r="B15" s="84" t="s">
        <v>108</v>
      </c>
      <c r="C15" s="85">
        <v>8.0131370571E10</v>
      </c>
      <c r="D15" s="86">
        <f t="shared" si="1"/>
        <v>-0.08170185735</v>
      </c>
      <c r="E15" s="87">
        <v>25.6</v>
      </c>
      <c r="F15" s="87">
        <v>26.53</v>
      </c>
      <c r="G15" s="87">
        <v>38.97</v>
      </c>
      <c r="H15" s="59">
        <v>35.9</v>
      </c>
      <c r="I15" s="87">
        <v>43.0</v>
      </c>
      <c r="J15" s="59">
        <v>40.0</v>
      </c>
      <c r="K15" s="87">
        <v>125.47</v>
      </c>
      <c r="L15" s="87">
        <v>119.27</v>
      </c>
      <c r="M15" s="87">
        <v>245.93</v>
      </c>
      <c r="N15" s="59">
        <v>199.77</v>
      </c>
      <c r="O15" s="88">
        <v>0.035054655107425545</v>
      </c>
      <c r="P15" s="89">
        <v>-0.08551532033426185</v>
      </c>
      <c r="Q15" s="88">
        <v>-0.075</v>
      </c>
      <c r="R15" s="88">
        <v>-0.051982895950364746</v>
      </c>
      <c r="S15" s="88">
        <v>-0.23106572558442207</v>
      </c>
      <c r="T15" s="59"/>
      <c r="U15" s="59"/>
      <c r="V15" s="59"/>
      <c r="W15" s="59"/>
      <c r="X15" s="59"/>
      <c r="Y15" s="59"/>
      <c r="Z15" s="59"/>
      <c r="AA15" s="59"/>
      <c r="AB15" s="59"/>
    </row>
    <row r="16">
      <c r="A16" s="84" t="s">
        <v>109</v>
      </c>
      <c r="B16" s="84" t="s">
        <v>110</v>
      </c>
      <c r="C16" s="85">
        <v>2.8053778922E10</v>
      </c>
      <c r="D16" s="86">
        <f t="shared" si="1"/>
        <v>-0.0821428576</v>
      </c>
      <c r="E16" s="87">
        <v>12.68</v>
      </c>
      <c r="F16" s="87">
        <v>13.21</v>
      </c>
      <c r="G16" s="87">
        <v>14.12</v>
      </c>
      <c r="H16" s="59">
        <v>12.56</v>
      </c>
      <c r="I16" s="87">
        <v>15.8</v>
      </c>
      <c r="J16" s="59">
        <v>14.74</v>
      </c>
      <c r="K16" s="87">
        <v>19.59</v>
      </c>
      <c r="L16" s="87">
        <v>18.7</v>
      </c>
      <c r="M16" s="87">
        <v>38.29</v>
      </c>
      <c r="N16" s="59">
        <v>31.72</v>
      </c>
      <c r="O16" s="88">
        <v>0.04012112036336117</v>
      </c>
      <c r="P16" s="89">
        <v>-0.12420382165605084</v>
      </c>
      <c r="Q16" s="88">
        <v>-0.0719131614654003</v>
      </c>
      <c r="R16" s="88">
        <v>-0.04759358288770057</v>
      </c>
      <c r="S16" s="88">
        <v>-0.20712484237074402</v>
      </c>
      <c r="T16" s="59"/>
      <c r="U16" s="59"/>
      <c r="V16" s="59"/>
      <c r="W16" s="59"/>
      <c r="X16" s="59"/>
      <c r="Y16" s="59"/>
      <c r="Z16" s="59"/>
      <c r="AA16" s="59"/>
      <c r="AB16" s="59"/>
    </row>
    <row r="17">
      <c r="A17" s="84" t="s">
        <v>111</v>
      </c>
      <c r="B17" s="84" t="s">
        <v>112</v>
      </c>
      <c r="C17" s="85">
        <v>4.0349193401E10</v>
      </c>
      <c r="D17" s="86">
        <f t="shared" si="1"/>
        <v>-0.08301747654</v>
      </c>
      <c r="E17" s="87">
        <v>44.36</v>
      </c>
      <c r="F17" s="87">
        <v>42.91</v>
      </c>
      <c r="G17" s="87">
        <v>49.37</v>
      </c>
      <c r="H17" s="59">
        <v>46.41</v>
      </c>
      <c r="I17" s="87">
        <v>85.83</v>
      </c>
      <c r="J17" s="59">
        <v>81.06</v>
      </c>
      <c r="K17" s="87">
        <v>272.31</v>
      </c>
      <c r="L17" s="87">
        <v>256.39</v>
      </c>
      <c r="M17" s="87">
        <v>337.1</v>
      </c>
      <c r="N17" s="59">
        <v>281.72</v>
      </c>
      <c r="O17" s="88">
        <v>-0.03379165695642048</v>
      </c>
      <c r="P17" s="89">
        <v>-0.06377935789700498</v>
      </c>
      <c r="Q17" s="88">
        <v>-0.058845299777942214</v>
      </c>
      <c r="R17" s="88">
        <v>-0.06209290533952189</v>
      </c>
      <c r="S17" s="88">
        <v>-0.1965781627147522</v>
      </c>
      <c r="T17" s="59"/>
      <c r="U17" s="59"/>
      <c r="V17" s="59"/>
      <c r="W17" s="59"/>
      <c r="X17" s="59"/>
      <c r="Y17" s="59"/>
      <c r="Z17" s="59"/>
      <c r="AA17" s="59"/>
      <c r="AB17" s="59"/>
    </row>
    <row r="18">
      <c r="A18" s="84" t="s">
        <v>113</v>
      </c>
      <c r="B18" s="84" t="s">
        <v>114</v>
      </c>
      <c r="C18" s="85">
        <v>3.5097640524E10</v>
      </c>
      <c r="D18" s="86">
        <f t="shared" si="1"/>
        <v>-0.08562079898</v>
      </c>
      <c r="E18" s="87">
        <v>12.85</v>
      </c>
      <c r="F18" s="87">
        <v>13.38</v>
      </c>
      <c r="G18" s="87">
        <v>20.41</v>
      </c>
      <c r="H18" s="59">
        <v>19.58</v>
      </c>
      <c r="I18" s="87">
        <v>31.41</v>
      </c>
      <c r="J18" s="59">
        <v>30.48</v>
      </c>
      <c r="K18" s="87">
        <v>76.35</v>
      </c>
      <c r="L18" s="87">
        <v>73.71</v>
      </c>
      <c r="M18" s="87">
        <v>91.08</v>
      </c>
      <c r="N18" s="59">
        <v>67.02</v>
      </c>
      <c r="O18" s="88">
        <v>0.039611360239163014</v>
      </c>
      <c r="P18" s="89">
        <v>-0.04239019407558743</v>
      </c>
      <c r="Q18" s="88">
        <v>-0.030511811023622038</v>
      </c>
      <c r="R18" s="88">
        <v>-0.035816035816035825</v>
      </c>
      <c r="S18" s="88">
        <v>-0.3589973142345569</v>
      </c>
      <c r="T18" s="59"/>
      <c r="U18" s="59"/>
      <c r="V18" s="59"/>
      <c r="W18" s="59"/>
      <c r="X18" s="59"/>
      <c r="Y18" s="59"/>
      <c r="Z18" s="59"/>
      <c r="AA18" s="59"/>
      <c r="AB18" s="59"/>
    </row>
    <row r="19">
      <c r="A19" s="84" t="s">
        <v>115</v>
      </c>
      <c r="B19" s="84" t="s">
        <v>116</v>
      </c>
      <c r="C19" s="85">
        <v>5.1592999381E10</v>
      </c>
      <c r="D19" s="86">
        <f t="shared" si="1"/>
        <v>-0.08714766184</v>
      </c>
      <c r="E19" s="87">
        <v>29.15</v>
      </c>
      <c r="F19" s="87">
        <v>29.16</v>
      </c>
      <c r="G19" s="87">
        <v>49.72</v>
      </c>
      <c r="H19" s="59">
        <v>46.35</v>
      </c>
      <c r="I19" s="87">
        <v>58.35</v>
      </c>
      <c r="J19" s="59">
        <v>57.51</v>
      </c>
      <c r="K19" s="87">
        <v>238.17</v>
      </c>
      <c r="L19" s="87">
        <v>231.85</v>
      </c>
      <c r="M19" s="87">
        <v>395.99</v>
      </c>
      <c r="N19" s="59">
        <v>299.65</v>
      </c>
      <c r="O19" s="88">
        <v>3.429355281207669E-4</v>
      </c>
      <c r="P19" s="89">
        <v>-0.07270765911542605</v>
      </c>
      <c r="Q19" s="88">
        <v>-0.014606155451225934</v>
      </c>
      <c r="R19" s="88">
        <v>-0.027259003666163437</v>
      </c>
      <c r="S19" s="88">
        <v>-0.32150842649758066</v>
      </c>
      <c r="T19" s="59"/>
      <c r="U19" s="59"/>
      <c r="V19" s="59"/>
      <c r="W19" s="59"/>
      <c r="X19" s="59"/>
      <c r="Y19" s="59"/>
      <c r="Z19" s="59"/>
      <c r="AA19" s="59"/>
      <c r="AB19" s="59"/>
    </row>
    <row r="20">
      <c r="A20" s="84" t="s">
        <v>117</v>
      </c>
      <c r="B20" s="84" t="s">
        <v>118</v>
      </c>
      <c r="C20" s="85">
        <v>3.0595736588E10</v>
      </c>
      <c r="D20" s="86">
        <f t="shared" si="1"/>
        <v>-0.08923655904</v>
      </c>
      <c r="E20" s="87">
        <v>27.38</v>
      </c>
      <c r="F20" s="87">
        <v>27.92</v>
      </c>
      <c r="G20" s="87">
        <v>33.58</v>
      </c>
      <c r="H20" s="59">
        <v>30.79</v>
      </c>
      <c r="I20" s="87">
        <v>37.23</v>
      </c>
      <c r="J20" s="59">
        <v>35.57</v>
      </c>
      <c r="K20" s="87">
        <v>74.2</v>
      </c>
      <c r="L20" s="87">
        <v>70.86</v>
      </c>
      <c r="M20" s="87">
        <v>286.75</v>
      </c>
      <c r="N20" s="59">
        <v>223.83</v>
      </c>
      <c r="O20" s="88">
        <v>0.01934097421203448</v>
      </c>
      <c r="P20" s="89">
        <v>-0.09061383566092884</v>
      </c>
      <c r="Q20" s="88">
        <v>-0.04666854090525714</v>
      </c>
      <c r="R20" s="88">
        <v>-0.04713519616144515</v>
      </c>
      <c r="S20" s="88">
        <v>-0.28110619666711334</v>
      </c>
      <c r="T20" s="59"/>
      <c r="U20" s="59"/>
      <c r="V20" s="59"/>
      <c r="W20" s="59"/>
      <c r="X20" s="59"/>
      <c r="Y20" s="59"/>
      <c r="Z20" s="59"/>
      <c r="AA20" s="59"/>
      <c r="AB20" s="59"/>
    </row>
    <row r="21">
      <c r="A21" s="84" t="s">
        <v>119</v>
      </c>
      <c r="B21" s="84" t="s">
        <v>120</v>
      </c>
      <c r="C21" s="85">
        <v>4.5759560526E10</v>
      </c>
      <c r="D21" s="86">
        <f t="shared" si="1"/>
        <v>-0.09394310069</v>
      </c>
      <c r="E21" s="87">
        <v>38.09</v>
      </c>
      <c r="F21" s="87">
        <v>38.25</v>
      </c>
      <c r="G21" s="87">
        <v>34.56</v>
      </c>
      <c r="H21" s="59">
        <v>31.92</v>
      </c>
      <c r="I21" s="87">
        <v>36.24</v>
      </c>
      <c r="J21" s="59">
        <v>33.91</v>
      </c>
      <c r="K21" s="87">
        <v>57.29</v>
      </c>
      <c r="L21" s="87">
        <v>54.83</v>
      </c>
      <c r="M21" s="87">
        <v>104.33</v>
      </c>
      <c r="N21" s="59">
        <v>81.66</v>
      </c>
      <c r="O21" s="88">
        <v>0.0041830065359476235</v>
      </c>
      <c r="P21" s="89">
        <v>-0.08270676691729324</v>
      </c>
      <c r="Q21" s="88">
        <v>-0.068711294603362</v>
      </c>
      <c r="R21" s="88">
        <v>-0.04486594929782967</v>
      </c>
      <c r="S21" s="88">
        <v>-0.2776144991427872</v>
      </c>
      <c r="T21" s="59"/>
      <c r="U21" s="59"/>
      <c r="V21" s="59"/>
      <c r="W21" s="59"/>
      <c r="X21" s="59"/>
      <c r="Y21" s="59"/>
      <c r="Z21" s="59"/>
      <c r="AA21" s="59"/>
      <c r="AB21" s="59"/>
    </row>
    <row r="22">
      <c r="A22" s="84" t="s">
        <v>121</v>
      </c>
      <c r="B22" s="84" t="s">
        <v>122</v>
      </c>
      <c r="C22" s="85">
        <v>2.1370408782E10</v>
      </c>
      <c r="D22" s="86">
        <f t="shared" si="1"/>
        <v>-0.09793922393</v>
      </c>
      <c r="E22" s="87">
        <v>4.21</v>
      </c>
      <c r="F22" s="87">
        <v>3.89</v>
      </c>
      <c r="G22" s="87">
        <v>4.23</v>
      </c>
      <c r="H22" s="59">
        <v>3.8</v>
      </c>
      <c r="I22" s="87">
        <v>5.18</v>
      </c>
      <c r="J22" s="59">
        <v>4.77</v>
      </c>
      <c r="K22" s="87">
        <v>25.77</v>
      </c>
      <c r="L22" s="87">
        <v>24.93</v>
      </c>
      <c r="M22" s="87">
        <v>37.87</v>
      </c>
      <c r="N22" s="59">
        <v>32.24</v>
      </c>
      <c r="O22" s="88">
        <v>-0.08226221079691512</v>
      </c>
      <c r="P22" s="89">
        <v>-0.11315789473684226</v>
      </c>
      <c r="Q22" s="88">
        <v>-0.08595387840670864</v>
      </c>
      <c r="R22" s="88">
        <v>-0.03369434416365824</v>
      </c>
      <c r="S22" s="88">
        <v>-0.1746277915632753</v>
      </c>
      <c r="T22" s="59"/>
      <c r="U22" s="59"/>
      <c r="V22" s="59"/>
      <c r="W22" s="59"/>
      <c r="X22" s="59"/>
      <c r="Y22" s="59"/>
      <c r="Z22" s="59"/>
      <c r="AA22" s="59"/>
      <c r="AB22" s="59"/>
    </row>
    <row r="23">
      <c r="A23" s="84" t="s">
        <v>123</v>
      </c>
      <c r="B23" s="84" t="s">
        <v>124</v>
      </c>
      <c r="C23" s="85">
        <v>1.85507210776E11</v>
      </c>
      <c r="D23" s="86">
        <f t="shared" si="1"/>
        <v>-0.09907748758</v>
      </c>
      <c r="E23" s="87">
        <v>11.59</v>
      </c>
      <c r="F23" s="87">
        <v>11.24</v>
      </c>
      <c r="G23" s="87">
        <v>11.02</v>
      </c>
      <c r="H23" s="59">
        <v>10.31</v>
      </c>
      <c r="I23" s="87">
        <v>11.05</v>
      </c>
      <c r="J23" s="59">
        <v>10.39</v>
      </c>
      <c r="K23" s="87">
        <v>31.63</v>
      </c>
      <c r="L23" s="87">
        <v>30.64</v>
      </c>
      <c r="M23" s="87">
        <v>49.11</v>
      </c>
      <c r="N23" s="59">
        <v>37.79</v>
      </c>
      <c r="O23" s="88">
        <v>-0.031138790035587158</v>
      </c>
      <c r="P23" s="89">
        <v>-0.06886517943743929</v>
      </c>
      <c r="Q23" s="88">
        <v>-0.0635226179018287</v>
      </c>
      <c r="R23" s="88">
        <v>-0.032310704960835455</v>
      </c>
      <c r="S23" s="88">
        <v>-0.29955014554114845</v>
      </c>
      <c r="T23" s="59"/>
      <c r="U23" s="59"/>
      <c r="V23" s="59"/>
      <c r="W23" s="59"/>
      <c r="X23" s="59"/>
      <c r="Y23" s="59"/>
      <c r="Z23" s="59"/>
      <c r="AA23" s="59"/>
      <c r="AB23" s="59"/>
    </row>
    <row r="24">
      <c r="A24" s="84" t="s">
        <v>125</v>
      </c>
      <c r="B24" s="84" t="s">
        <v>126</v>
      </c>
      <c r="C24" s="85">
        <v>9.17650008994E11</v>
      </c>
      <c r="D24" s="86">
        <f t="shared" si="1"/>
        <v>-0.09927908975</v>
      </c>
      <c r="E24" s="87">
        <v>3.9</v>
      </c>
      <c r="F24" s="87">
        <v>3.87</v>
      </c>
      <c r="G24" s="87">
        <v>6.87</v>
      </c>
      <c r="H24" s="59">
        <v>6.25</v>
      </c>
      <c r="I24" s="87">
        <v>10.14</v>
      </c>
      <c r="J24" s="59">
        <v>9.69</v>
      </c>
      <c r="K24" s="87">
        <v>24.72</v>
      </c>
      <c r="L24" s="87">
        <v>23.17</v>
      </c>
      <c r="M24" s="87">
        <v>107.78</v>
      </c>
      <c r="N24" s="59">
        <v>84.46</v>
      </c>
      <c r="O24" s="88">
        <v>-0.007751937984496074</v>
      </c>
      <c r="P24" s="89">
        <v>-0.09920000000000001</v>
      </c>
      <c r="Q24" s="88">
        <v>-0.04643962848297225</v>
      </c>
      <c r="R24" s="88">
        <v>-0.06689684937419063</v>
      </c>
      <c r="S24" s="88">
        <v>-0.27610703291498945</v>
      </c>
      <c r="T24" s="59"/>
      <c r="U24" s="59"/>
      <c r="V24" s="59"/>
      <c r="W24" s="59"/>
      <c r="X24" s="59"/>
      <c r="Y24" s="59"/>
      <c r="Z24" s="59"/>
      <c r="AA24" s="59"/>
      <c r="AB24" s="59"/>
    </row>
    <row r="25">
      <c r="A25" s="84" t="s">
        <v>127</v>
      </c>
      <c r="B25" s="84" t="s">
        <v>128</v>
      </c>
      <c r="C25" s="85">
        <v>6.0334017501E10</v>
      </c>
      <c r="D25" s="86">
        <f t="shared" si="1"/>
        <v>-0.1005940175</v>
      </c>
      <c r="E25" s="87">
        <v>12.48</v>
      </c>
      <c r="F25" s="87">
        <v>13.22</v>
      </c>
      <c r="G25" s="87">
        <v>13.03</v>
      </c>
      <c r="H25" s="59">
        <v>12.76</v>
      </c>
      <c r="I25" s="87">
        <v>14.17</v>
      </c>
      <c r="J25" s="59">
        <v>13.16</v>
      </c>
      <c r="K25" s="87">
        <v>42.44</v>
      </c>
      <c r="L25" s="87">
        <v>40.71</v>
      </c>
      <c r="M25" s="87">
        <v>122.25</v>
      </c>
      <c r="N25" s="59">
        <v>86.18</v>
      </c>
      <c r="O25" s="88">
        <v>0.05597579425113466</v>
      </c>
      <c r="P25" s="89">
        <v>-0.02115987460815044</v>
      </c>
      <c r="Q25" s="88">
        <v>-0.07674772036474163</v>
      </c>
      <c r="R25" s="88">
        <v>-0.04249570130189135</v>
      </c>
      <c r="S25" s="88">
        <v>-0.4185425852866093</v>
      </c>
      <c r="T25" s="59"/>
      <c r="U25" s="59"/>
      <c r="V25" s="59"/>
      <c r="W25" s="59"/>
      <c r="X25" s="59"/>
      <c r="Y25" s="59"/>
      <c r="Z25" s="59"/>
      <c r="AA25" s="59"/>
      <c r="AB25" s="59"/>
    </row>
    <row r="26">
      <c r="A26" s="84" t="s">
        <v>129</v>
      </c>
      <c r="B26" s="84" t="s">
        <v>130</v>
      </c>
      <c r="C26" s="85">
        <v>1.31345156124E11</v>
      </c>
      <c r="D26" s="86">
        <f t="shared" si="1"/>
        <v>-0.1010898522</v>
      </c>
      <c r="E26" s="87">
        <v>10.43</v>
      </c>
      <c r="F26" s="87">
        <v>10.43</v>
      </c>
      <c r="G26" s="87">
        <v>10.2</v>
      </c>
      <c r="H26" s="59">
        <v>9.18</v>
      </c>
      <c r="I26" s="87">
        <v>10.94</v>
      </c>
      <c r="J26" s="59">
        <v>10.22</v>
      </c>
      <c r="K26" s="87">
        <v>28.39</v>
      </c>
      <c r="L26" s="87">
        <v>27.21</v>
      </c>
      <c r="M26" s="87">
        <v>46.15</v>
      </c>
      <c r="N26" s="59">
        <v>36.04</v>
      </c>
      <c r="O26" s="88">
        <v>0.0</v>
      </c>
      <c r="P26" s="89">
        <v>-0.11111111111111106</v>
      </c>
      <c r="Q26" s="88">
        <v>-0.070450097847358</v>
      </c>
      <c r="R26" s="88">
        <v>-0.04336640940830576</v>
      </c>
      <c r="S26" s="88">
        <v>-0.28052164261931184</v>
      </c>
      <c r="T26" s="59"/>
      <c r="U26" s="59"/>
      <c r="V26" s="59"/>
      <c r="W26" s="59"/>
      <c r="X26" s="59"/>
      <c r="Y26" s="59"/>
      <c r="Z26" s="59"/>
      <c r="AA26" s="59"/>
      <c r="AB26" s="59"/>
    </row>
    <row r="27">
      <c r="A27" s="84" t="s">
        <v>131</v>
      </c>
      <c r="B27" s="84" t="s">
        <v>132</v>
      </c>
      <c r="C27" s="85">
        <v>5.1615278884E10</v>
      </c>
      <c r="D27" s="86">
        <f t="shared" si="1"/>
        <v>-0.1011192659</v>
      </c>
      <c r="E27" s="87">
        <v>25.15</v>
      </c>
      <c r="F27" s="87">
        <v>25.32</v>
      </c>
      <c r="G27" s="87">
        <v>34.19</v>
      </c>
      <c r="H27" s="59">
        <v>35.72</v>
      </c>
      <c r="I27" s="87">
        <v>37.44</v>
      </c>
      <c r="J27" s="59">
        <v>35.56</v>
      </c>
      <c r="K27" s="87">
        <v>79.0</v>
      </c>
      <c r="L27" s="87">
        <v>76.75</v>
      </c>
      <c r="M27" s="87">
        <v>28.87</v>
      </c>
      <c r="N27" s="59">
        <v>19.6</v>
      </c>
      <c r="O27" s="88">
        <v>0.006714060031595644</v>
      </c>
      <c r="P27" s="89">
        <v>0.04283314669652859</v>
      </c>
      <c r="Q27" s="88">
        <v>-0.05286839145106848</v>
      </c>
      <c r="R27" s="88">
        <v>-0.029315960912052116</v>
      </c>
      <c r="S27" s="88">
        <v>-0.47295918367346934</v>
      </c>
      <c r="T27" s="59"/>
      <c r="U27" s="59"/>
      <c r="V27" s="59"/>
      <c r="W27" s="59"/>
      <c r="X27" s="59"/>
      <c r="Y27" s="59"/>
      <c r="Z27" s="59"/>
      <c r="AA27" s="59"/>
      <c r="AB27" s="59"/>
    </row>
    <row r="28">
      <c r="A28" s="84" t="s">
        <v>133</v>
      </c>
      <c r="B28" s="84" t="s">
        <v>134</v>
      </c>
      <c r="C28" s="85">
        <v>3.391777159E10</v>
      </c>
      <c r="D28" s="86">
        <f t="shared" si="1"/>
        <v>-0.1031714142</v>
      </c>
      <c r="E28" s="87">
        <v>41.5</v>
      </c>
      <c r="F28" s="87">
        <v>41.86</v>
      </c>
      <c r="G28" s="87">
        <v>48.06</v>
      </c>
      <c r="H28" s="59">
        <v>41.58</v>
      </c>
      <c r="I28" s="87">
        <v>39.2</v>
      </c>
      <c r="J28" s="59">
        <v>35.72</v>
      </c>
      <c r="K28" s="87">
        <v>58.44</v>
      </c>
      <c r="L28" s="87">
        <v>56.39</v>
      </c>
      <c r="M28" s="87">
        <v>74.3</v>
      </c>
      <c r="N28" s="59">
        <v>60.17</v>
      </c>
      <c r="O28" s="88">
        <v>0.008600095556617282</v>
      </c>
      <c r="P28" s="89">
        <v>-0.15584415584415595</v>
      </c>
      <c r="Q28" s="88">
        <v>-0.09742441209406506</v>
      </c>
      <c r="R28" s="88">
        <v>-0.036353963468700075</v>
      </c>
      <c r="S28" s="88">
        <v>-0.23483463520026582</v>
      </c>
      <c r="T28" s="59"/>
      <c r="U28" s="59"/>
      <c r="V28" s="59"/>
      <c r="W28" s="59"/>
      <c r="X28" s="59"/>
      <c r="Y28" s="59"/>
      <c r="Z28" s="59"/>
      <c r="AA28" s="59"/>
      <c r="AB28" s="59"/>
    </row>
    <row r="29">
      <c r="A29" s="84" t="s">
        <v>135</v>
      </c>
      <c r="B29" s="84" t="s">
        <v>136</v>
      </c>
      <c r="C29" s="85">
        <v>2.9466387533E10</v>
      </c>
      <c r="D29" s="86">
        <f t="shared" si="1"/>
        <v>-0.1051019368</v>
      </c>
      <c r="E29" s="87">
        <v>9.54</v>
      </c>
      <c r="F29" s="87">
        <v>10.36</v>
      </c>
      <c r="G29" s="87">
        <v>10.9</v>
      </c>
      <c r="H29" s="59">
        <v>10.11</v>
      </c>
      <c r="I29" s="87">
        <v>14.25</v>
      </c>
      <c r="J29" s="59">
        <v>12.85</v>
      </c>
      <c r="K29" s="87">
        <v>45.47</v>
      </c>
      <c r="L29" s="87">
        <v>43.92</v>
      </c>
      <c r="M29" s="87">
        <v>148.36</v>
      </c>
      <c r="N29" s="59">
        <v>107.33</v>
      </c>
      <c r="O29" s="88">
        <v>0.07915057915057919</v>
      </c>
      <c r="P29" s="89">
        <v>-0.0781404549950545</v>
      </c>
      <c r="Q29" s="88">
        <v>-0.10894941634241248</v>
      </c>
      <c r="R29" s="88">
        <v>-0.0352914389799635</v>
      </c>
      <c r="S29" s="88">
        <v>-0.3822789527625083</v>
      </c>
      <c r="T29" s="59"/>
      <c r="U29" s="59"/>
      <c r="V29" s="59"/>
      <c r="W29" s="59"/>
      <c r="X29" s="59"/>
      <c r="Y29" s="59"/>
      <c r="Z29" s="59"/>
      <c r="AA29" s="59"/>
      <c r="AB29" s="59"/>
    </row>
    <row r="30">
      <c r="A30" s="84" t="s">
        <v>137</v>
      </c>
      <c r="B30" s="84" t="s">
        <v>138</v>
      </c>
      <c r="C30" s="85">
        <v>2.6171502897E10</v>
      </c>
      <c r="D30" s="86">
        <f t="shared" si="1"/>
        <v>-0.1051549486</v>
      </c>
      <c r="E30" s="87" t="e">
        <v>#N/A</v>
      </c>
      <c r="F30" s="87" t="e">
        <v>#N/A</v>
      </c>
      <c r="G30" s="87">
        <v>28.15</v>
      </c>
      <c r="H30" s="59">
        <v>27.72</v>
      </c>
      <c r="I30" s="87">
        <v>33.18</v>
      </c>
      <c r="J30" s="59">
        <v>31.5</v>
      </c>
      <c r="K30" s="87">
        <v>73.92</v>
      </c>
      <c r="L30" s="87">
        <v>71.58</v>
      </c>
      <c r="M30" s="87">
        <v>171.56</v>
      </c>
      <c r="N30" s="59">
        <v>130.06</v>
      </c>
      <c r="O30" s="88" t="e">
        <v>#N/A</v>
      </c>
      <c r="P30" s="89">
        <v>-0.015512265512265503</v>
      </c>
      <c r="Q30" s="88">
        <v>-0.05333333333333332</v>
      </c>
      <c r="R30" s="88">
        <v>-0.03269069572506292</v>
      </c>
      <c r="S30" s="88">
        <v>-0.3190834999231124</v>
      </c>
      <c r="T30" s="59"/>
      <c r="U30" s="59"/>
      <c r="V30" s="59"/>
      <c r="W30" s="59"/>
      <c r="X30" s="59"/>
      <c r="Y30" s="59"/>
      <c r="Z30" s="59"/>
      <c r="AA30" s="59"/>
      <c r="AB30" s="59"/>
    </row>
    <row r="31">
      <c r="A31" s="84" t="s">
        <v>139</v>
      </c>
      <c r="B31" s="84" t="s">
        <v>140</v>
      </c>
      <c r="C31" s="85">
        <v>2.379852701E10</v>
      </c>
      <c r="D31" s="86">
        <f t="shared" si="1"/>
        <v>-0.1069142386</v>
      </c>
      <c r="E31" s="87">
        <v>10.77</v>
      </c>
      <c r="F31" s="87">
        <v>11.92</v>
      </c>
      <c r="G31" s="87">
        <v>13.04</v>
      </c>
      <c r="H31" s="59">
        <v>10.61</v>
      </c>
      <c r="I31" s="87">
        <v>13.84</v>
      </c>
      <c r="J31" s="59">
        <v>12.74</v>
      </c>
      <c r="K31" s="87">
        <v>41.17</v>
      </c>
      <c r="L31" s="87">
        <v>38.74</v>
      </c>
      <c r="M31" s="87">
        <v>119.97</v>
      </c>
      <c r="N31" s="59">
        <v>95.75</v>
      </c>
      <c r="O31" s="88">
        <v>0.09647651006711412</v>
      </c>
      <c r="P31" s="89">
        <v>-0.22902921771913287</v>
      </c>
      <c r="Q31" s="88">
        <v>-0.08634222919937203</v>
      </c>
      <c r="R31" s="88">
        <v>-0.06272586473928755</v>
      </c>
      <c r="S31" s="88">
        <v>-0.2529503916449086</v>
      </c>
      <c r="T31" s="59"/>
      <c r="U31" s="59"/>
      <c r="V31" s="59"/>
      <c r="W31" s="59"/>
      <c r="X31" s="59"/>
      <c r="Y31" s="59"/>
      <c r="Z31" s="59"/>
      <c r="AA31" s="59"/>
      <c r="AB31" s="59"/>
    </row>
    <row r="32">
      <c r="A32" s="84" t="s">
        <v>141</v>
      </c>
      <c r="B32" s="84" t="s">
        <v>142</v>
      </c>
      <c r="C32" s="85">
        <v>1.614787972453E12</v>
      </c>
      <c r="D32" s="86">
        <f t="shared" si="1"/>
        <v>-0.1082741051</v>
      </c>
      <c r="E32" s="87">
        <v>26.35</v>
      </c>
      <c r="F32" s="87">
        <v>26.82</v>
      </c>
      <c r="G32" s="87">
        <v>30.86</v>
      </c>
      <c r="H32" s="59">
        <v>28.21</v>
      </c>
      <c r="I32" s="87">
        <v>25.68</v>
      </c>
      <c r="J32" s="59">
        <v>24.48</v>
      </c>
      <c r="K32" s="87">
        <v>43.07</v>
      </c>
      <c r="L32" s="87">
        <v>41.68</v>
      </c>
      <c r="M32" s="87">
        <v>187.23</v>
      </c>
      <c r="N32" s="59">
        <v>135.42</v>
      </c>
      <c r="O32" s="88">
        <v>0.01752423564504097</v>
      </c>
      <c r="P32" s="89">
        <v>-0.0939383197447713</v>
      </c>
      <c r="Q32" s="88">
        <v>-0.049019607843137226</v>
      </c>
      <c r="R32" s="88">
        <v>-0.033349328214971226</v>
      </c>
      <c r="S32" s="88">
        <v>-0.38258750553832527</v>
      </c>
      <c r="T32" s="59"/>
      <c r="U32" s="59"/>
      <c r="V32" s="59"/>
      <c r="W32" s="59"/>
      <c r="X32" s="59"/>
      <c r="Y32" s="59"/>
      <c r="Z32" s="59"/>
      <c r="AA32" s="59"/>
      <c r="AB32" s="59"/>
    </row>
    <row r="33">
      <c r="A33" s="84" t="s">
        <v>143</v>
      </c>
      <c r="B33" s="84" t="s">
        <v>144</v>
      </c>
      <c r="C33" s="85">
        <v>3.5564777521E10</v>
      </c>
      <c r="D33" s="86">
        <f t="shared" si="1"/>
        <v>-0.1092050493</v>
      </c>
      <c r="E33" s="87">
        <v>46.0</v>
      </c>
      <c r="F33" s="87">
        <v>43.3</v>
      </c>
      <c r="G33" s="87">
        <v>19.72</v>
      </c>
      <c r="H33" s="59">
        <v>17.63</v>
      </c>
      <c r="I33" s="87">
        <v>20.0</v>
      </c>
      <c r="J33" s="59">
        <v>18.15</v>
      </c>
      <c r="K33" s="87">
        <v>65.53</v>
      </c>
      <c r="L33" s="87">
        <v>63.7</v>
      </c>
      <c r="M33" s="87">
        <v>109.46</v>
      </c>
      <c r="N33" s="59">
        <v>88.67</v>
      </c>
      <c r="O33" s="88">
        <v>-0.06235565819861439</v>
      </c>
      <c r="P33" s="89">
        <v>-0.11854792966534317</v>
      </c>
      <c r="Q33" s="88">
        <v>-0.10192837465564747</v>
      </c>
      <c r="R33" s="88">
        <v>-0.028728414442700127</v>
      </c>
      <c r="S33" s="88">
        <v>-0.23446486974173894</v>
      </c>
      <c r="T33" s="59"/>
      <c r="U33" s="59"/>
      <c r="V33" s="59"/>
      <c r="W33" s="59"/>
      <c r="X33" s="59"/>
      <c r="Y33" s="59"/>
      <c r="Z33" s="59"/>
      <c r="AA33" s="59"/>
      <c r="AB33" s="59"/>
    </row>
    <row r="34">
      <c r="A34" s="84" t="s">
        <v>145</v>
      </c>
      <c r="B34" s="84" t="s">
        <v>146</v>
      </c>
      <c r="C34" s="85">
        <v>1.43015150377E11</v>
      </c>
      <c r="D34" s="86">
        <f t="shared" si="1"/>
        <v>-0.1114275946</v>
      </c>
      <c r="E34" s="87">
        <v>22.4</v>
      </c>
      <c r="F34" s="87">
        <v>21.91</v>
      </c>
      <c r="G34" s="87">
        <v>26.45</v>
      </c>
      <c r="H34" s="59">
        <v>24.74</v>
      </c>
      <c r="I34" s="87">
        <v>27.19</v>
      </c>
      <c r="J34" s="59">
        <v>26.19</v>
      </c>
      <c r="K34" s="87">
        <v>45.96</v>
      </c>
      <c r="L34" s="87">
        <v>44.89</v>
      </c>
      <c r="M34" s="87">
        <v>131.24</v>
      </c>
      <c r="N34" s="59">
        <v>93.5</v>
      </c>
      <c r="O34" s="88">
        <v>-0.022364217252396096</v>
      </c>
      <c r="P34" s="89">
        <v>-0.06911883589329025</v>
      </c>
      <c r="Q34" s="88">
        <v>-0.038182512409316534</v>
      </c>
      <c r="R34" s="88">
        <v>-0.023836043662285592</v>
      </c>
      <c r="S34" s="88">
        <v>-0.40363636363636374</v>
      </c>
      <c r="T34" s="59"/>
      <c r="U34" s="59"/>
      <c r="V34" s="59"/>
      <c r="W34" s="59"/>
      <c r="X34" s="59"/>
      <c r="Y34" s="59"/>
      <c r="Z34" s="59"/>
      <c r="AA34" s="59"/>
      <c r="AB34" s="59"/>
    </row>
    <row r="35">
      <c r="A35" s="84" t="s">
        <v>147</v>
      </c>
      <c r="B35" s="84" t="s">
        <v>148</v>
      </c>
      <c r="C35" s="85">
        <v>4.7878084931E10</v>
      </c>
      <c r="D35" s="86">
        <f t="shared" si="1"/>
        <v>-0.113941951</v>
      </c>
      <c r="E35" s="87">
        <v>4.18</v>
      </c>
      <c r="F35" s="87">
        <v>3.95</v>
      </c>
      <c r="G35" s="87">
        <v>7.31</v>
      </c>
      <c r="H35" s="59">
        <v>6.23</v>
      </c>
      <c r="I35" s="87">
        <v>12.65</v>
      </c>
      <c r="J35" s="59">
        <v>11.49</v>
      </c>
      <c r="K35" s="87">
        <v>46.3</v>
      </c>
      <c r="L35" s="87">
        <v>45.15</v>
      </c>
      <c r="M35" s="87">
        <v>69.6</v>
      </c>
      <c r="N35" s="59">
        <v>57.44</v>
      </c>
      <c r="O35" s="88">
        <v>-0.0582278481012657</v>
      </c>
      <c r="P35" s="89">
        <v>-0.1733547351524878</v>
      </c>
      <c r="Q35" s="88">
        <v>-0.1009573542210618</v>
      </c>
      <c r="R35" s="88">
        <v>-0.02547065337763009</v>
      </c>
      <c r="S35" s="88">
        <v>-0.21169916434540384</v>
      </c>
      <c r="T35" s="59"/>
      <c r="U35" s="59"/>
      <c r="V35" s="59"/>
      <c r="W35" s="59"/>
      <c r="X35" s="59"/>
      <c r="Y35" s="59"/>
      <c r="Z35" s="59"/>
      <c r="AA35" s="59"/>
      <c r="AB35" s="59"/>
    </row>
    <row r="36">
      <c r="A36" s="84" t="s">
        <v>149</v>
      </c>
      <c r="B36" s="84" t="s">
        <v>150</v>
      </c>
      <c r="C36" s="85">
        <v>1.85851744537E11</v>
      </c>
      <c r="D36" s="86">
        <f t="shared" si="1"/>
        <v>-0.1140346509</v>
      </c>
      <c r="E36" s="87">
        <v>34.58</v>
      </c>
      <c r="F36" s="87">
        <v>33.02</v>
      </c>
      <c r="G36" s="87">
        <v>15.92</v>
      </c>
      <c r="H36" s="59">
        <v>14.3</v>
      </c>
      <c r="I36" s="87">
        <v>19.06</v>
      </c>
      <c r="J36" s="59">
        <v>17.84</v>
      </c>
      <c r="K36" s="87">
        <v>40.13</v>
      </c>
      <c r="L36" s="87">
        <v>38.73</v>
      </c>
      <c r="M36" s="87">
        <v>99.88</v>
      </c>
      <c r="N36" s="59">
        <v>76.53</v>
      </c>
      <c r="O36" s="88">
        <v>-0.04724409448818882</v>
      </c>
      <c r="P36" s="89">
        <v>-0.11328671328671322</v>
      </c>
      <c r="Q36" s="88">
        <v>-0.06838565022421518</v>
      </c>
      <c r="R36" s="88">
        <v>-0.03614768912987363</v>
      </c>
      <c r="S36" s="88">
        <v>-0.3051091075395269</v>
      </c>
      <c r="T36" s="59"/>
      <c r="U36" s="59"/>
      <c r="V36" s="59"/>
      <c r="W36" s="59"/>
      <c r="X36" s="59"/>
      <c r="Y36" s="59"/>
      <c r="Z36" s="59"/>
      <c r="AA36" s="59"/>
      <c r="AB36" s="59"/>
    </row>
    <row r="37">
      <c r="A37" s="84" t="s">
        <v>151</v>
      </c>
      <c r="B37" s="84" t="s">
        <v>152</v>
      </c>
      <c r="C37" s="85">
        <v>4.5004071922E10</v>
      </c>
      <c r="D37" s="86">
        <f t="shared" si="1"/>
        <v>-0.1141509673</v>
      </c>
      <c r="E37" s="87">
        <v>34.15</v>
      </c>
      <c r="F37" s="87">
        <v>32.3</v>
      </c>
      <c r="G37" s="87">
        <v>35.3</v>
      </c>
      <c r="H37" s="59">
        <v>31.14</v>
      </c>
      <c r="I37" s="87">
        <v>36.2</v>
      </c>
      <c r="J37" s="59">
        <v>34.23</v>
      </c>
      <c r="K37" s="87">
        <v>47.7</v>
      </c>
      <c r="L37" s="87">
        <v>46.97</v>
      </c>
      <c r="M37" s="87">
        <v>169.23</v>
      </c>
      <c r="N37" s="59">
        <v>129.5</v>
      </c>
      <c r="O37" s="88">
        <v>-0.057275541795665685</v>
      </c>
      <c r="P37" s="89">
        <v>-0.13359023763648029</v>
      </c>
      <c r="Q37" s="88">
        <v>-0.057551855097867546</v>
      </c>
      <c r="R37" s="88">
        <v>-0.015541835213966447</v>
      </c>
      <c r="S37" s="88">
        <v>-0.30679536679536673</v>
      </c>
      <c r="T37" s="59"/>
      <c r="U37" s="59"/>
      <c r="V37" s="59"/>
      <c r="W37" s="59"/>
      <c r="X37" s="59"/>
      <c r="Y37" s="59"/>
      <c r="Z37" s="59"/>
      <c r="AA37" s="59"/>
      <c r="AB37" s="59"/>
    </row>
    <row r="38">
      <c r="A38" s="84" t="s">
        <v>153</v>
      </c>
      <c r="B38" s="84" t="s">
        <v>154</v>
      </c>
      <c r="C38" s="85">
        <v>1.05719526167E11</v>
      </c>
      <c r="D38" s="86">
        <f t="shared" si="1"/>
        <v>-0.11590809</v>
      </c>
      <c r="E38" s="87">
        <v>29.6</v>
      </c>
      <c r="F38" s="87">
        <v>29.66</v>
      </c>
      <c r="G38" s="87">
        <v>37.35</v>
      </c>
      <c r="H38" s="59">
        <v>34.01</v>
      </c>
      <c r="I38" s="87">
        <v>43.6</v>
      </c>
      <c r="J38" s="59">
        <v>40.94</v>
      </c>
      <c r="K38" s="87">
        <v>89.28</v>
      </c>
      <c r="L38" s="87">
        <v>84.25</v>
      </c>
      <c r="M38" s="87">
        <v>303.57</v>
      </c>
      <c r="N38" s="59">
        <v>223.43</v>
      </c>
      <c r="O38" s="88">
        <v>0.002022926500337111</v>
      </c>
      <c r="P38" s="89">
        <v>-0.09820640987944733</v>
      </c>
      <c r="Q38" s="88">
        <v>-0.06497313141182227</v>
      </c>
      <c r="R38" s="88">
        <v>-0.0597032640949555</v>
      </c>
      <c r="S38" s="88">
        <v>-0.35868057109609264</v>
      </c>
      <c r="T38" s="59"/>
      <c r="U38" s="59"/>
      <c r="V38" s="59"/>
      <c r="W38" s="59"/>
      <c r="X38" s="59"/>
      <c r="Y38" s="59"/>
      <c r="Z38" s="59"/>
      <c r="AA38" s="59"/>
      <c r="AB38" s="59"/>
    </row>
    <row r="39">
      <c r="A39" s="84" t="s">
        <v>155</v>
      </c>
      <c r="B39" s="84" t="s">
        <v>156</v>
      </c>
      <c r="C39" s="85">
        <v>1.18302435E11</v>
      </c>
      <c r="D39" s="86">
        <f t="shared" si="1"/>
        <v>-0.1163240377</v>
      </c>
      <c r="E39" s="87">
        <v>48.54</v>
      </c>
      <c r="F39" s="87">
        <v>46.82</v>
      </c>
      <c r="G39" s="87">
        <v>38.64</v>
      </c>
      <c r="H39" s="59">
        <v>36.5</v>
      </c>
      <c r="I39" s="87">
        <v>51.02</v>
      </c>
      <c r="J39" s="59">
        <v>47.29</v>
      </c>
      <c r="K39" s="87">
        <v>57.61</v>
      </c>
      <c r="L39" s="87">
        <v>55.28</v>
      </c>
      <c r="M39" s="87">
        <v>88.03</v>
      </c>
      <c r="N39" s="59">
        <v>64.48</v>
      </c>
      <c r="O39" s="88">
        <v>-0.036736437419905996</v>
      </c>
      <c r="P39" s="89">
        <v>-0.05863013698630139</v>
      </c>
      <c r="Q39" s="88">
        <v>-0.0788750264326497</v>
      </c>
      <c r="R39" s="88">
        <v>-0.042149059334298085</v>
      </c>
      <c r="S39" s="88">
        <v>-0.36522952853598006</v>
      </c>
      <c r="T39" s="59"/>
      <c r="U39" s="59"/>
      <c r="V39" s="59"/>
      <c r="W39" s="59"/>
      <c r="X39" s="59"/>
      <c r="Y39" s="59"/>
      <c r="Z39" s="59"/>
      <c r="AA39" s="59"/>
      <c r="AB39" s="59"/>
    </row>
    <row r="40">
      <c r="A40" s="84" t="s">
        <v>157</v>
      </c>
      <c r="B40" s="84" t="s">
        <v>158</v>
      </c>
      <c r="C40" s="85">
        <v>3.3275242E10</v>
      </c>
      <c r="D40" s="86">
        <f t="shared" si="1"/>
        <v>-0.1166312894</v>
      </c>
      <c r="E40" s="87">
        <v>41.28</v>
      </c>
      <c r="F40" s="87">
        <v>40.4</v>
      </c>
      <c r="G40" s="87">
        <v>41.79</v>
      </c>
      <c r="H40" s="59">
        <v>39.92</v>
      </c>
      <c r="I40" s="87">
        <v>53.58</v>
      </c>
      <c r="J40" s="59">
        <v>51.0</v>
      </c>
      <c r="K40" s="87">
        <v>199.95</v>
      </c>
      <c r="L40" s="87">
        <v>191.77</v>
      </c>
      <c r="M40" s="87">
        <v>299.92</v>
      </c>
      <c r="N40" s="59">
        <v>211.02</v>
      </c>
      <c r="O40" s="88">
        <v>-0.021782178217821847</v>
      </c>
      <c r="P40" s="89">
        <v>-0.046843687374749435</v>
      </c>
      <c r="Q40" s="88">
        <v>-0.050588235294117614</v>
      </c>
      <c r="R40" s="88">
        <v>-0.042655264118475145</v>
      </c>
      <c r="S40" s="88">
        <v>-0.42128708179319496</v>
      </c>
      <c r="T40" s="59"/>
      <c r="U40" s="59"/>
      <c r="V40" s="59"/>
      <c r="W40" s="59"/>
      <c r="X40" s="59"/>
      <c r="Y40" s="59"/>
      <c r="Z40" s="59"/>
      <c r="AA40" s="59"/>
      <c r="AB40" s="59"/>
    </row>
    <row r="41">
      <c r="A41" s="84" t="s">
        <v>159</v>
      </c>
      <c r="B41" s="84" t="s">
        <v>160</v>
      </c>
      <c r="C41" s="85">
        <v>3.9076206172E10</v>
      </c>
      <c r="D41" s="86">
        <f t="shared" si="1"/>
        <v>-0.1169231941</v>
      </c>
      <c r="E41" s="87">
        <v>4.96</v>
      </c>
      <c r="F41" s="87">
        <v>4.4</v>
      </c>
      <c r="G41" s="87">
        <v>6.88</v>
      </c>
      <c r="H41" s="59">
        <v>6.42</v>
      </c>
      <c r="I41" s="87">
        <v>8.89</v>
      </c>
      <c r="J41" s="59">
        <v>8.27</v>
      </c>
      <c r="K41" s="87">
        <v>22.84</v>
      </c>
      <c r="L41" s="87">
        <v>21.43</v>
      </c>
      <c r="M41" s="87">
        <v>70.55</v>
      </c>
      <c r="N41" s="59">
        <v>56.67</v>
      </c>
      <c r="O41" s="88">
        <v>-0.12727272727272718</v>
      </c>
      <c r="P41" s="89">
        <v>-0.07165109034267912</v>
      </c>
      <c r="Q41" s="88">
        <v>-0.07496977025393</v>
      </c>
      <c r="R41" s="88">
        <v>-0.0657956136257583</v>
      </c>
      <c r="S41" s="88">
        <v>-0.24492676901358734</v>
      </c>
      <c r="T41" s="59"/>
      <c r="U41" s="59"/>
      <c r="V41" s="59"/>
      <c r="W41" s="59"/>
      <c r="X41" s="59"/>
      <c r="Y41" s="59"/>
      <c r="Z41" s="59"/>
      <c r="AA41" s="59"/>
      <c r="AB41" s="59"/>
    </row>
    <row r="42">
      <c r="A42" s="84" t="s">
        <v>161</v>
      </c>
      <c r="B42" s="84" t="s">
        <v>162</v>
      </c>
      <c r="C42" s="85">
        <v>7.1850940173E10</v>
      </c>
      <c r="D42" s="86">
        <f t="shared" si="1"/>
        <v>-0.1185425631</v>
      </c>
      <c r="E42" s="87">
        <v>26.19</v>
      </c>
      <c r="F42" s="87">
        <v>26.23</v>
      </c>
      <c r="G42" s="87">
        <v>30.09</v>
      </c>
      <c r="H42" s="59">
        <v>27.74</v>
      </c>
      <c r="I42" s="87">
        <v>31.5</v>
      </c>
      <c r="J42" s="59">
        <v>30.18</v>
      </c>
      <c r="K42" s="87">
        <v>53.78</v>
      </c>
      <c r="L42" s="87">
        <v>51.67</v>
      </c>
      <c r="M42" s="87">
        <v>118.57</v>
      </c>
      <c r="N42" s="59">
        <v>83.21</v>
      </c>
      <c r="O42" s="88">
        <v>0.0015249714067860902</v>
      </c>
      <c r="P42" s="89">
        <v>-0.08471521268925744</v>
      </c>
      <c r="Q42" s="88">
        <v>-0.04373757455268391</v>
      </c>
      <c r="R42" s="88">
        <v>-0.04083607509192954</v>
      </c>
      <c r="S42" s="88">
        <v>-0.42494892440812404</v>
      </c>
      <c r="T42" s="59"/>
      <c r="U42" s="59"/>
      <c r="V42" s="59"/>
      <c r="W42" s="59"/>
      <c r="X42" s="59"/>
      <c r="Y42" s="59"/>
      <c r="Z42" s="59"/>
      <c r="AA42" s="59"/>
      <c r="AB42" s="59"/>
    </row>
    <row r="43">
      <c r="A43" s="84" t="s">
        <v>163</v>
      </c>
      <c r="B43" s="84" t="s">
        <v>164</v>
      </c>
      <c r="C43" s="85">
        <v>1.9251528245E10</v>
      </c>
      <c r="D43" s="86">
        <f t="shared" si="1"/>
        <v>-0.119257989</v>
      </c>
      <c r="E43" s="87">
        <v>27.9</v>
      </c>
      <c r="F43" s="87">
        <v>25.14</v>
      </c>
      <c r="G43" s="87">
        <v>27.71</v>
      </c>
      <c r="H43" s="59">
        <v>24.95</v>
      </c>
      <c r="I43" s="87">
        <v>28.93</v>
      </c>
      <c r="J43" s="59">
        <v>27.97</v>
      </c>
      <c r="K43" s="87">
        <v>67.81</v>
      </c>
      <c r="L43" s="87">
        <v>65.94</v>
      </c>
      <c r="M43" s="87">
        <v>210.48</v>
      </c>
      <c r="N43" s="59">
        <v>160.28</v>
      </c>
      <c r="O43" s="88">
        <v>-0.10978520286396173</v>
      </c>
      <c r="P43" s="89">
        <v>-0.11062124248497</v>
      </c>
      <c r="Q43" s="88">
        <v>-0.03432248838040761</v>
      </c>
      <c r="R43" s="88">
        <v>-0.02835911434637556</v>
      </c>
      <c r="S43" s="88">
        <v>-0.3132018966808085</v>
      </c>
      <c r="T43" s="59"/>
      <c r="U43" s="59"/>
      <c r="V43" s="59"/>
      <c r="W43" s="59"/>
      <c r="X43" s="59"/>
      <c r="Y43" s="59"/>
      <c r="Z43" s="59"/>
      <c r="AA43" s="59"/>
      <c r="AB43" s="59"/>
    </row>
    <row r="44">
      <c r="A44" s="84" t="s">
        <v>165</v>
      </c>
      <c r="B44" s="84" t="s">
        <v>166</v>
      </c>
      <c r="C44" s="85">
        <v>1.344467555E11</v>
      </c>
      <c r="D44" s="86">
        <f t="shared" si="1"/>
        <v>-0.1203970586</v>
      </c>
      <c r="E44" s="87">
        <v>42.19</v>
      </c>
      <c r="F44" s="87">
        <v>38.08</v>
      </c>
      <c r="G44" s="87">
        <v>33.59</v>
      </c>
      <c r="H44" s="59">
        <v>32.42</v>
      </c>
      <c r="I44" s="87">
        <v>25.62</v>
      </c>
      <c r="J44" s="59">
        <v>23.91</v>
      </c>
      <c r="K44" s="87">
        <v>78.87</v>
      </c>
      <c r="L44" s="87">
        <v>74.27</v>
      </c>
      <c r="M44" s="87">
        <v>378.85</v>
      </c>
      <c r="N44" s="59">
        <v>286.03</v>
      </c>
      <c r="O44" s="88">
        <v>-0.10793067226890755</v>
      </c>
      <c r="P44" s="89">
        <v>-0.03608883405305372</v>
      </c>
      <c r="Q44" s="88">
        <v>-0.07151819322459226</v>
      </c>
      <c r="R44" s="88">
        <v>-0.06193617880705546</v>
      </c>
      <c r="S44" s="88">
        <v>-0.32451141488655055</v>
      </c>
      <c r="T44" s="59"/>
      <c r="U44" s="59"/>
      <c r="V44" s="59"/>
      <c r="W44" s="59"/>
      <c r="X44" s="59"/>
      <c r="Y44" s="59"/>
      <c r="Z44" s="59"/>
      <c r="AA44" s="59"/>
      <c r="AB44" s="59"/>
    </row>
    <row r="45">
      <c r="A45" s="84" t="s">
        <v>167</v>
      </c>
      <c r="B45" s="84" t="s">
        <v>168</v>
      </c>
      <c r="C45" s="85">
        <v>1.38061370341E11</v>
      </c>
      <c r="D45" s="86">
        <f t="shared" si="1"/>
        <v>-0.1215284973</v>
      </c>
      <c r="E45" s="87">
        <v>45.69</v>
      </c>
      <c r="F45" s="87">
        <v>43.71</v>
      </c>
      <c r="G45" s="87">
        <v>46.18</v>
      </c>
      <c r="H45" s="59">
        <v>41.43</v>
      </c>
      <c r="I45" s="87">
        <v>45.68</v>
      </c>
      <c r="J45" s="59">
        <v>42.16</v>
      </c>
      <c r="K45" s="87">
        <v>94.13</v>
      </c>
      <c r="L45" s="87">
        <v>90.7</v>
      </c>
      <c r="M45" s="87">
        <v>179.42</v>
      </c>
      <c r="N45" s="59">
        <v>135.27</v>
      </c>
      <c r="O45" s="88">
        <v>-0.045298558682223676</v>
      </c>
      <c r="P45" s="89">
        <v>-0.1146512189234854</v>
      </c>
      <c r="Q45" s="88">
        <v>-0.08349146110056935</v>
      </c>
      <c r="R45" s="88">
        <v>-0.0378169790518191</v>
      </c>
      <c r="S45" s="88">
        <v>-0.32638426850003677</v>
      </c>
      <c r="T45" s="59"/>
      <c r="U45" s="59"/>
      <c r="V45" s="59"/>
      <c r="W45" s="59"/>
      <c r="X45" s="59"/>
      <c r="Y45" s="59"/>
      <c r="Z45" s="59"/>
      <c r="AA45" s="59"/>
      <c r="AB45" s="59"/>
    </row>
    <row r="46">
      <c r="A46" s="84" t="s">
        <v>169</v>
      </c>
      <c r="B46" s="84" t="s">
        <v>170</v>
      </c>
      <c r="C46" s="85">
        <v>1.7982091091E11</v>
      </c>
      <c r="D46" s="86">
        <f t="shared" si="1"/>
        <v>-0.1229385101</v>
      </c>
      <c r="E46" s="87">
        <v>22.28</v>
      </c>
      <c r="F46" s="87">
        <v>22.38</v>
      </c>
      <c r="G46" s="87">
        <v>27.54</v>
      </c>
      <c r="H46" s="59">
        <v>24.71</v>
      </c>
      <c r="I46" s="87">
        <v>14.94</v>
      </c>
      <c r="J46" s="59">
        <v>13.94</v>
      </c>
      <c r="K46" s="87">
        <v>26.47</v>
      </c>
      <c r="L46" s="87">
        <v>25.19</v>
      </c>
      <c r="M46" s="87">
        <v>46.59</v>
      </c>
      <c r="N46" s="59">
        <v>33.71</v>
      </c>
      <c r="O46" s="88">
        <v>0.004468275245755044</v>
      </c>
      <c r="P46" s="89">
        <v>-0.11452853095912578</v>
      </c>
      <c r="Q46" s="88">
        <v>-0.07173601147776183</v>
      </c>
      <c r="R46" s="88">
        <v>-0.050813815005954645</v>
      </c>
      <c r="S46" s="88">
        <v>-0.38208246811035307</v>
      </c>
      <c r="T46" s="59"/>
      <c r="U46" s="59"/>
      <c r="V46" s="59"/>
      <c r="W46" s="59"/>
      <c r="X46" s="59"/>
      <c r="Y46" s="59"/>
      <c r="Z46" s="59"/>
      <c r="AA46" s="59"/>
      <c r="AB46" s="59"/>
    </row>
    <row r="47">
      <c r="A47" s="84" t="s">
        <v>171</v>
      </c>
      <c r="B47" s="84" t="s">
        <v>172</v>
      </c>
      <c r="C47" s="85">
        <v>1.2201126884E11</v>
      </c>
      <c r="D47" s="86">
        <f t="shared" si="1"/>
        <v>-0.1232827779</v>
      </c>
      <c r="E47" s="87">
        <v>4.27</v>
      </c>
      <c r="F47" s="87">
        <v>4.02</v>
      </c>
      <c r="G47" s="87">
        <v>14.57</v>
      </c>
      <c r="H47" s="59">
        <v>13.01</v>
      </c>
      <c r="I47" s="87">
        <v>34.44</v>
      </c>
      <c r="J47" s="59">
        <v>32.38</v>
      </c>
      <c r="K47" s="87">
        <v>103.96</v>
      </c>
      <c r="L47" s="87">
        <v>96.88</v>
      </c>
      <c r="M47" s="87">
        <v>387.78</v>
      </c>
      <c r="N47" s="59">
        <v>298.84</v>
      </c>
      <c r="O47" s="88">
        <v>-0.06218905472636817</v>
      </c>
      <c r="P47" s="89">
        <v>-0.11990776325903156</v>
      </c>
      <c r="Q47" s="88">
        <v>-0.063619518221124</v>
      </c>
      <c r="R47" s="88">
        <v>-0.07308009909165977</v>
      </c>
      <c r="S47" s="88">
        <v>-0.29761745415607016</v>
      </c>
      <c r="T47" s="59"/>
      <c r="U47" s="59"/>
      <c r="V47" s="59"/>
      <c r="W47" s="59"/>
      <c r="X47" s="59"/>
      <c r="Y47" s="59"/>
      <c r="Z47" s="59"/>
      <c r="AA47" s="59"/>
      <c r="AB47" s="59"/>
    </row>
    <row r="48">
      <c r="A48" s="84" t="s">
        <v>173</v>
      </c>
      <c r="B48" s="84" t="s">
        <v>174</v>
      </c>
      <c r="C48" s="85">
        <v>6.36077025E10</v>
      </c>
      <c r="D48" s="86">
        <f t="shared" si="1"/>
        <v>-0.1238556175</v>
      </c>
      <c r="E48" s="87" t="e">
        <v>#N/A</v>
      </c>
      <c r="F48" s="87" t="e">
        <v>#N/A</v>
      </c>
      <c r="G48" s="87" t="e">
        <v>#N/A</v>
      </c>
      <c r="H48" s="59" t="e">
        <v>#N/A</v>
      </c>
      <c r="I48" s="87" t="e">
        <v>#N/A</v>
      </c>
      <c r="J48" s="59" t="e">
        <v>#N/A</v>
      </c>
      <c r="K48" s="87">
        <v>25.05</v>
      </c>
      <c r="L48" s="87">
        <v>23.93</v>
      </c>
      <c r="M48" s="87">
        <v>42.32</v>
      </c>
      <c r="N48" s="59">
        <v>35.24</v>
      </c>
      <c r="O48" s="88" t="e">
        <v>#N/A</v>
      </c>
      <c r="P48" s="89" t="e">
        <v>#N/A</v>
      </c>
      <c r="Q48" s="88" t="e">
        <v>#N/A</v>
      </c>
      <c r="R48" s="88">
        <v>-0.04680317592979528</v>
      </c>
      <c r="S48" s="88">
        <v>-0.2009080590238365</v>
      </c>
      <c r="T48" s="59"/>
      <c r="U48" s="59"/>
      <c r="V48" s="59"/>
      <c r="W48" s="59"/>
      <c r="X48" s="59"/>
      <c r="Y48" s="59"/>
      <c r="Z48" s="59"/>
      <c r="AA48" s="59"/>
      <c r="AB48" s="59"/>
    </row>
    <row r="49">
      <c r="A49" s="84" t="s">
        <v>175</v>
      </c>
      <c r="B49" s="84" t="s">
        <v>176</v>
      </c>
      <c r="C49" s="85">
        <v>9.879684E10</v>
      </c>
      <c r="D49" s="86">
        <f t="shared" si="1"/>
        <v>-0.1247443634</v>
      </c>
      <c r="E49" s="87">
        <v>44.5</v>
      </c>
      <c r="F49" s="87">
        <v>44.29</v>
      </c>
      <c r="G49" s="87">
        <v>43.67</v>
      </c>
      <c r="H49" s="59">
        <v>41.56</v>
      </c>
      <c r="I49" s="87">
        <v>48.4</v>
      </c>
      <c r="J49" s="59">
        <v>45.65</v>
      </c>
      <c r="K49" s="87">
        <v>79.23</v>
      </c>
      <c r="L49" s="87">
        <v>76.28</v>
      </c>
      <c r="M49" s="87">
        <v>179.93</v>
      </c>
      <c r="N49" s="59">
        <v>122.46</v>
      </c>
      <c r="O49" s="88">
        <v>-0.004741476631293765</v>
      </c>
      <c r="P49" s="89">
        <v>-0.05076997112608275</v>
      </c>
      <c r="Q49" s="88">
        <v>-0.060240963855421686</v>
      </c>
      <c r="R49" s="88">
        <v>-0.038673308862087086</v>
      </c>
      <c r="S49" s="88">
        <v>-0.46929609668463185</v>
      </c>
      <c r="T49" s="59"/>
      <c r="U49" s="59"/>
      <c r="V49" s="59"/>
      <c r="W49" s="59"/>
      <c r="X49" s="59"/>
      <c r="Y49" s="59"/>
      <c r="Z49" s="59"/>
      <c r="AA49" s="59"/>
      <c r="AB49" s="59"/>
    </row>
    <row r="50">
      <c r="A50" s="84" t="s">
        <v>177</v>
      </c>
      <c r="B50" s="84" t="s">
        <v>178</v>
      </c>
      <c r="C50" s="85">
        <v>4.2991024366E10</v>
      </c>
      <c r="D50" s="86">
        <f t="shared" si="1"/>
        <v>-0.1254618583</v>
      </c>
      <c r="E50" s="87">
        <v>20.55</v>
      </c>
      <c r="F50" s="87">
        <v>20.06</v>
      </c>
      <c r="G50" s="87">
        <v>22.9</v>
      </c>
      <c r="H50" s="59">
        <v>21.33</v>
      </c>
      <c r="I50" s="87">
        <v>22.54</v>
      </c>
      <c r="J50" s="59">
        <v>21.58</v>
      </c>
      <c r="K50" s="87">
        <v>47.52</v>
      </c>
      <c r="L50" s="87">
        <v>45.7</v>
      </c>
      <c r="M50" s="87">
        <v>162.92</v>
      </c>
      <c r="N50" s="59">
        <v>112.75</v>
      </c>
      <c r="O50" s="88">
        <v>-0.024426719840478665</v>
      </c>
      <c r="P50" s="89">
        <v>-0.07360525082044071</v>
      </c>
      <c r="Q50" s="88">
        <v>-0.04448563484708067</v>
      </c>
      <c r="R50" s="88">
        <v>-0.03982494529540482</v>
      </c>
      <c r="S50" s="88">
        <v>-0.44496674057649654</v>
      </c>
      <c r="T50" s="59"/>
      <c r="U50" s="59"/>
      <c r="V50" s="59"/>
      <c r="W50" s="59"/>
      <c r="X50" s="59"/>
      <c r="Y50" s="59"/>
      <c r="Z50" s="59"/>
      <c r="AA50" s="59"/>
      <c r="AB50" s="59"/>
    </row>
    <row r="51">
      <c r="A51" s="84" t="s">
        <v>179</v>
      </c>
      <c r="B51" s="84" t="s">
        <v>180</v>
      </c>
      <c r="C51" s="85">
        <v>1.094654225E12</v>
      </c>
      <c r="D51" s="86">
        <f t="shared" si="1"/>
        <v>-0.1265189179</v>
      </c>
      <c r="E51" s="87">
        <v>11.26</v>
      </c>
      <c r="F51" s="87">
        <v>10.85</v>
      </c>
      <c r="G51" s="87">
        <v>13.27</v>
      </c>
      <c r="H51" s="59">
        <v>12.33</v>
      </c>
      <c r="I51" s="87">
        <v>14.48</v>
      </c>
      <c r="J51" s="59">
        <v>13.65</v>
      </c>
      <c r="K51" s="87">
        <v>32.2</v>
      </c>
      <c r="L51" s="87">
        <v>30.91</v>
      </c>
      <c r="M51" s="87">
        <v>75.97</v>
      </c>
      <c r="N51" s="59">
        <v>53.65</v>
      </c>
      <c r="O51" s="88">
        <v>-0.037788018433179735</v>
      </c>
      <c r="P51" s="89">
        <v>-0.07623682076236817</v>
      </c>
      <c r="Q51" s="88">
        <v>-0.06080586080586081</v>
      </c>
      <c r="R51" s="88">
        <v>-0.04173406664509876</v>
      </c>
      <c r="S51" s="88">
        <v>-0.4160298229263747</v>
      </c>
      <c r="T51" s="59"/>
      <c r="U51" s="59"/>
      <c r="V51" s="59"/>
      <c r="W51" s="59"/>
      <c r="X51" s="59"/>
      <c r="Y51" s="59"/>
      <c r="Z51" s="59"/>
      <c r="AA51" s="59"/>
      <c r="AB51" s="59"/>
    </row>
    <row r="52">
      <c r="A52" s="84" t="s">
        <v>181</v>
      </c>
      <c r="B52" s="84" t="s">
        <v>182</v>
      </c>
      <c r="C52" s="85">
        <v>2.7322174433E10</v>
      </c>
      <c r="D52" s="86">
        <f t="shared" si="1"/>
        <v>-0.127220023</v>
      </c>
      <c r="E52" s="87">
        <v>10.94</v>
      </c>
      <c r="F52" s="87">
        <v>11.51</v>
      </c>
      <c r="G52" s="87">
        <v>9.02</v>
      </c>
      <c r="H52" s="59">
        <v>8.68</v>
      </c>
      <c r="I52" s="87">
        <v>10.1</v>
      </c>
      <c r="J52" s="59">
        <v>9.4</v>
      </c>
      <c r="K52" s="87">
        <v>17.3</v>
      </c>
      <c r="L52" s="87">
        <v>16.74</v>
      </c>
      <c r="M52" s="87">
        <v>102.42</v>
      </c>
      <c r="N52" s="59">
        <v>66.57</v>
      </c>
      <c r="O52" s="88">
        <v>0.04952215464813208</v>
      </c>
      <c r="P52" s="89">
        <v>-0.03917050691244238</v>
      </c>
      <c r="Q52" s="88">
        <v>-0.0744680851063829</v>
      </c>
      <c r="R52" s="88">
        <v>-0.03345280764635617</v>
      </c>
      <c r="S52" s="88">
        <v>-0.5385308697611538</v>
      </c>
      <c r="T52" s="59"/>
      <c r="U52" s="59"/>
      <c r="V52" s="59"/>
      <c r="W52" s="59"/>
      <c r="X52" s="59"/>
      <c r="Y52" s="59"/>
      <c r="Z52" s="59"/>
      <c r="AA52" s="59"/>
      <c r="AB52" s="59"/>
    </row>
    <row r="53">
      <c r="A53" s="84" t="s">
        <v>183</v>
      </c>
      <c r="B53" s="84" t="s">
        <v>184</v>
      </c>
      <c r="C53" s="85">
        <v>1.8420246767E10</v>
      </c>
      <c r="D53" s="86">
        <f t="shared" si="1"/>
        <v>-0.1273017989</v>
      </c>
      <c r="E53" s="87">
        <v>42.49</v>
      </c>
      <c r="F53" s="87">
        <v>41.24</v>
      </c>
      <c r="G53" s="87">
        <v>45.42</v>
      </c>
      <c r="H53" s="59">
        <v>42.86</v>
      </c>
      <c r="I53" s="87">
        <v>49.48</v>
      </c>
      <c r="J53" s="59">
        <v>46.03</v>
      </c>
      <c r="K53" s="87">
        <v>90.92</v>
      </c>
      <c r="L53" s="87">
        <v>85.63</v>
      </c>
      <c r="M53" s="87">
        <v>290.9</v>
      </c>
      <c r="N53" s="59">
        <v>206.35</v>
      </c>
      <c r="O53" s="88">
        <v>-0.03031037827352085</v>
      </c>
      <c r="P53" s="89">
        <v>-0.05972935137657495</v>
      </c>
      <c r="Q53" s="88">
        <v>-0.07495111883554194</v>
      </c>
      <c r="R53" s="88">
        <v>-0.06177741445755</v>
      </c>
      <c r="S53" s="88">
        <v>-0.40974073176641623</v>
      </c>
      <c r="T53" s="59"/>
      <c r="U53" s="59"/>
      <c r="V53" s="59"/>
      <c r="W53" s="59"/>
      <c r="X53" s="59"/>
      <c r="Y53" s="59"/>
      <c r="Z53" s="59"/>
      <c r="AA53" s="59"/>
      <c r="AB53" s="59"/>
    </row>
    <row r="54">
      <c r="A54" s="84" t="s">
        <v>185</v>
      </c>
      <c r="B54" s="84" t="s">
        <v>186</v>
      </c>
      <c r="C54" s="85">
        <v>4.2219498944E10</v>
      </c>
      <c r="D54" s="86">
        <f t="shared" si="1"/>
        <v>-0.1295782088</v>
      </c>
      <c r="E54" s="87">
        <v>30.71</v>
      </c>
      <c r="F54" s="87">
        <v>32.27</v>
      </c>
      <c r="G54" s="87">
        <v>27.48</v>
      </c>
      <c r="H54" s="59">
        <v>25.54</v>
      </c>
      <c r="I54" s="87">
        <v>29.58</v>
      </c>
      <c r="J54" s="59">
        <v>27.25</v>
      </c>
      <c r="K54" s="87">
        <v>84.87</v>
      </c>
      <c r="L54" s="87">
        <v>81.53</v>
      </c>
      <c r="M54" s="87">
        <v>302.51</v>
      </c>
      <c r="N54" s="59">
        <v>202.51</v>
      </c>
      <c r="O54" s="88">
        <v>0.04834211341803539</v>
      </c>
      <c r="P54" s="89">
        <v>-0.07595927956147225</v>
      </c>
      <c r="Q54" s="88">
        <v>-0.08550458715596324</v>
      </c>
      <c r="R54" s="88">
        <v>-0.040966515393106875</v>
      </c>
      <c r="S54" s="88">
        <v>-0.4938027751715965</v>
      </c>
      <c r="T54" s="59"/>
      <c r="U54" s="59"/>
      <c r="V54" s="59"/>
      <c r="W54" s="59"/>
      <c r="X54" s="59"/>
      <c r="Y54" s="59"/>
      <c r="Z54" s="59"/>
      <c r="AA54" s="59"/>
      <c r="AB54" s="59"/>
    </row>
    <row r="55">
      <c r="A55" s="84" t="s">
        <v>187</v>
      </c>
      <c r="B55" s="84" t="s">
        <v>188</v>
      </c>
      <c r="C55" s="85">
        <v>4.6553470883E10</v>
      </c>
      <c r="D55" s="86">
        <f t="shared" si="1"/>
        <v>-0.1304494471</v>
      </c>
      <c r="E55" s="87" t="e">
        <v>#N/A</v>
      </c>
      <c r="F55" s="87" t="e">
        <v>#N/A</v>
      </c>
      <c r="G55" s="87" t="e">
        <v>#N/A</v>
      </c>
      <c r="H55" s="59" t="e">
        <v>#N/A</v>
      </c>
      <c r="I55" s="87" t="e">
        <v>#N/A</v>
      </c>
      <c r="J55" s="59" t="e">
        <v>#N/A</v>
      </c>
      <c r="K55" s="87">
        <v>72.27</v>
      </c>
      <c r="L55" s="87">
        <v>70.87</v>
      </c>
      <c r="M55" s="87">
        <v>27.33</v>
      </c>
      <c r="N55" s="59">
        <v>22.02</v>
      </c>
      <c r="O55" s="88" t="e">
        <v>#N/A</v>
      </c>
      <c r="P55" s="89" t="e">
        <v>#N/A</v>
      </c>
      <c r="Q55" s="88" t="e">
        <v>#N/A</v>
      </c>
      <c r="R55" s="88">
        <v>-0.0197544800338647</v>
      </c>
      <c r="S55" s="88">
        <v>-0.24114441416893728</v>
      </c>
      <c r="T55" s="59"/>
      <c r="U55" s="59"/>
      <c r="V55" s="59"/>
      <c r="W55" s="59"/>
      <c r="X55" s="59"/>
      <c r="Y55" s="59"/>
      <c r="Z55" s="59"/>
      <c r="AA55" s="59"/>
      <c r="AB55" s="59"/>
    </row>
    <row r="56">
      <c r="A56" s="84" t="s">
        <v>189</v>
      </c>
      <c r="B56" s="84" t="s">
        <v>190</v>
      </c>
      <c r="C56" s="85">
        <v>7.246194269E10</v>
      </c>
      <c r="D56" s="86">
        <f t="shared" si="1"/>
        <v>-0.1320285803</v>
      </c>
      <c r="E56" s="87" t="e">
        <v>#N/A</v>
      </c>
      <c r="F56" s="87" t="e">
        <v>#N/A</v>
      </c>
      <c r="G56" s="87" t="e">
        <v>#N/A</v>
      </c>
      <c r="H56" s="59" t="e">
        <v>#N/A</v>
      </c>
      <c r="I56" s="87" t="e">
        <v>#N/A</v>
      </c>
      <c r="J56" s="59" t="e">
        <v>#N/A</v>
      </c>
      <c r="K56" s="87" t="e">
        <v>#N/A</v>
      </c>
      <c r="L56" s="87" t="e">
        <v>#N/A</v>
      </c>
      <c r="M56" s="87">
        <v>36.44</v>
      </c>
      <c r="N56" s="59">
        <v>32.19</v>
      </c>
      <c r="O56" s="88" t="e">
        <v>#N/A</v>
      </c>
      <c r="P56" s="89" t="e">
        <v>#N/A</v>
      </c>
      <c r="Q56" s="88" t="e">
        <v>#N/A</v>
      </c>
      <c r="R56" s="88" t="e">
        <v>#N/A</v>
      </c>
      <c r="S56" s="88">
        <v>-0.1320285803044424</v>
      </c>
      <c r="T56" s="59"/>
      <c r="U56" s="59"/>
      <c r="V56" s="59"/>
      <c r="W56" s="59"/>
      <c r="X56" s="59"/>
      <c r="Y56" s="59"/>
      <c r="Z56" s="59"/>
      <c r="AA56" s="59"/>
      <c r="AB56" s="59"/>
    </row>
    <row r="57">
      <c r="A57" s="84" t="s">
        <v>191</v>
      </c>
      <c r="B57" s="84" t="s">
        <v>192</v>
      </c>
      <c r="C57" s="85">
        <v>1.76126424E11</v>
      </c>
      <c r="D57" s="86">
        <f t="shared" si="1"/>
        <v>-0.1334412006</v>
      </c>
      <c r="E57" s="87">
        <v>28.53</v>
      </c>
      <c r="F57" s="87">
        <v>25.64</v>
      </c>
      <c r="G57" s="87">
        <v>43.23</v>
      </c>
      <c r="H57" s="59">
        <v>38.46</v>
      </c>
      <c r="I57" s="87">
        <v>43.41</v>
      </c>
      <c r="J57" s="59">
        <v>40.37</v>
      </c>
      <c r="K57" s="87">
        <v>85.91</v>
      </c>
      <c r="L57" s="87">
        <v>85.3</v>
      </c>
      <c r="M57" s="87">
        <v>309.18</v>
      </c>
      <c r="N57" s="59">
        <v>229.36</v>
      </c>
      <c r="O57" s="88">
        <v>-0.11271450858034324</v>
      </c>
      <c r="P57" s="89">
        <v>-0.12402496099843983</v>
      </c>
      <c r="Q57" s="88">
        <v>-0.07530344315085458</v>
      </c>
      <c r="R57" s="88">
        <v>-0.0071512309495896775</v>
      </c>
      <c r="S57" s="88">
        <v>-0.34801185908615273</v>
      </c>
      <c r="T57" s="59"/>
      <c r="U57" s="59"/>
      <c r="V57" s="59"/>
      <c r="W57" s="59"/>
      <c r="X57" s="59"/>
      <c r="Y57" s="59"/>
      <c r="Z57" s="59"/>
      <c r="AA57" s="59"/>
      <c r="AB57" s="59"/>
    </row>
    <row r="58">
      <c r="A58" s="84" t="s">
        <v>193</v>
      </c>
      <c r="B58" s="84" t="s">
        <v>194</v>
      </c>
      <c r="C58" s="85">
        <v>1.136324053E11</v>
      </c>
      <c r="D58" s="86">
        <f t="shared" si="1"/>
        <v>-0.1359348901</v>
      </c>
      <c r="E58" s="87">
        <v>20.52</v>
      </c>
      <c r="F58" s="87">
        <v>19.36</v>
      </c>
      <c r="G58" s="87">
        <v>23.26</v>
      </c>
      <c r="H58" s="59">
        <v>21.31</v>
      </c>
      <c r="I58" s="87">
        <v>20.79</v>
      </c>
      <c r="J58" s="59">
        <v>20.11</v>
      </c>
      <c r="K58" s="87">
        <v>26.56</v>
      </c>
      <c r="L58" s="87">
        <v>26.25</v>
      </c>
      <c r="M58" s="87">
        <v>66.14</v>
      </c>
      <c r="N58" s="59">
        <v>44.61</v>
      </c>
      <c r="O58" s="88">
        <v>-0.059917355371900835</v>
      </c>
      <c r="P58" s="89">
        <v>-0.09150633505396541</v>
      </c>
      <c r="Q58" s="88">
        <v>-0.03381402287419193</v>
      </c>
      <c r="R58" s="88">
        <v>-0.011809523809523761</v>
      </c>
      <c r="S58" s="88">
        <v>-0.48262721362923117</v>
      </c>
      <c r="T58" s="59"/>
      <c r="U58" s="59"/>
      <c r="V58" s="59"/>
      <c r="W58" s="59"/>
      <c r="X58" s="59"/>
      <c r="Y58" s="59"/>
      <c r="Z58" s="59"/>
      <c r="AA58" s="59"/>
      <c r="AB58" s="59"/>
    </row>
    <row r="59">
      <c r="A59" s="84" t="s">
        <v>195</v>
      </c>
      <c r="B59" s="84" t="s">
        <v>196</v>
      </c>
      <c r="C59" s="85">
        <v>2.4268808532E12</v>
      </c>
      <c r="D59" s="86">
        <f t="shared" si="1"/>
        <v>-0.1359478792</v>
      </c>
      <c r="E59" s="87">
        <v>5.76</v>
      </c>
      <c r="F59" s="87">
        <v>5.01</v>
      </c>
      <c r="G59" s="87">
        <v>9.51</v>
      </c>
      <c r="H59" s="59">
        <v>8.42</v>
      </c>
      <c r="I59" s="87">
        <v>13.34</v>
      </c>
      <c r="J59" s="59">
        <v>12.61</v>
      </c>
      <c r="K59" s="87">
        <v>26.44</v>
      </c>
      <c r="L59" s="87">
        <v>25.78</v>
      </c>
      <c r="M59" s="87">
        <v>79.75</v>
      </c>
      <c r="N59" s="59">
        <v>60.55</v>
      </c>
      <c r="O59" s="88">
        <v>-0.14970059880239522</v>
      </c>
      <c r="P59" s="89">
        <v>-0.12945368171021376</v>
      </c>
      <c r="Q59" s="88">
        <v>-0.05789056304520226</v>
      </c>
      <c r="R59" s="88">
        <v>-0.025601241272304117</v>
      </c>
      <c r="S59" s="88">
        <v>-0.31709331131296453</v>
      </c>
      <c r="T59" s="59"/>
      <c r="U59" s="59"/>
      <c r="V59" s="59"/>
      <c r="W59" s="59"/>
      <c r="X59" s="59"/>
      <c r="Y59" s="59"/>
      <c r="Z59" s="59"/>
      <c r="AA59" s="59"/>
      <c r="AB59" s="59"/>
    </row>
    <row r="60">
      <c r="A60" s="84" t="s">
        <v>197</v>
      </c>
      <c r="B60" s="84" t="s">
        <v>198</v>
      </c>
      <c r="C60" s="85">
        <v>7.0091910468E10</v>
      </c>
      <c r="D60" s="86">
        <f t="shared" si="1"/>
        <v>-0.1388675423</v>
      </c>
      <c r="E60" s="87" t="e">
        <v>#N/A</v>
      </c>
      <c r="F60" s="87" t="e">
        <v>#N/A</v>
      </c>
      <c r="G60" s="87">
        <v>39.5</v>
      </c>
      <c r="H60" s="59">
        <v>37.85</v>
      </c>
      <c r="I60" s="87">
        <v>46.06</v>
      </c>
      <c r="J60" s="59">
        <v>42.06</v>
      </c>
      <c r="K60" s="87">
        <v>177.53</v>
      </c>
      <c r="L60" s="87">
        <v>171.5</v>
      </c>
      <c r="M60" s="87">
        <v>537.6</v>
      </c>
      <c r="N60" s="59">
        <v>389.11</v>
      </c>
      <c r="O60" s="88" t="e">
        <v>#N/A</v>
      </c>
      <c r="P60" s="89">
        <v>-0.0435931307793923</v>
      </c>
      <c r="Q60" s="88">
        <v>-0.0951022349025202</v>
      </c>
      <c r="R60" s="88">
        <v>-0.03516034985422741</v>
      </c>
      <c r="S60" s="88">
        <v>-0.38161445349644063</v>
      </c>
      <c r="T60" s="59"/>
      <c r="U60" s="59"/>
      <c r="V60" s="59"/>
      <c r="W60" s="59"/>
      <c r="X60" s="59"/>
      <c r="Y60" s="59"/>
      <c r="Z60" s="59"/>
      <c r="AA60" s="59"/>
      <c r="AB60" s="59"/>
    </row>
    <row r="61">
      <c r="A61" s="84" t="s">
        <v>199</v>
      </c>
      <c r="B61" s="84" t="s">
        <v>200</v>
      </c>
      <c r="C61" s="85">
        <v>9.7672425E10</v>
      </c>
      <c r="D61" s="86">
        <f t="shared" si="1"/>
        <v>-0.1437812578</v>
      </c>
      <c r="E61" s="87">
        <v>7.54</v>
      </c>
      <c r="F61" s="87">
        <v>7.54</v>
      </c>
      <c r="G61" s="87">
        <v>13.59</v>
      </c>
      <c r="H61" s="59">
        <v>12.73</v>
      </c>
      <c r="I61" s="87">
        <v>18.36</v>
      </c>
      <c r="J61" s="59">
        <v>17.02</v>
      </c>
      <c r="K61" s="87">
        <v>52.84</v>
      </c>
      <c r="L61" s="87">
        <v>50.34</v>
      </c>
      <c r="M61" s="87">
        <v>89.23</v>
      </c>
      <c r="N61" s="59">
        <v>58.59</v>
      </c>
      <c r="O61" s="88">
        <v>0.0</v>
      </c>
      <c r="P61" s="89">
        <v>-0.06755695208169674</v>
      </c>
      <c r="Q61" s="88">
        <v>-0.07873090481786134</v>
      </c>
      <c r="R61" s="88">
        <v>-0.04966229638458482</v>
      </c>
      <c r="S61" s="88">
        <v>-0.5229561358593616</v>
      </c>
      <c r="T61" s="59"/>
      <c r="U61" s="59"/>
      <c r="V61" s="59"/>
      <c r="W61" s="59"/>
      <c r="X61" s="59"/>
      <c r="Y61" s="59"/>
      <c r="Z61" s="59"/>
      <c r="AA61" s="59"/>
      <c r="AB61" s="59"/>
    </row>
    <row r="62">
      <c r="A62" s="84" t="s">
        <v>201</v>
      </c>
      <c r="B62" s="84" t="s">
        <v>202</v>
      </c>
      <c r="C62" s="85">
        <v>4.0827982311E10</v>
      </c>
      <c r="D62" s="86">
        <f t="shared" si="1"/>
        <v>-0.1471698117</v>
      </c>
      <c r="E62" s="87">
        <v>33.99</v>
      </c>
      <c r="F62" s="87">
        <v>33.18</v>
      </c>
      <c r="G62" s="87">
        <v>30.95</v>
      </c>
      <c r="H62" s="59">
        <v>28.95</v>
      </c>
      <c r="I62" s="87">
        <v>27.09</v>
      </c>
      <c r="J62" s="59">
        <v>25.73</v>
      </c>
      <c r="K62" s="87">
        <v>45.69</v>
      </c>
      <c r="L62" s="87">
        <v>43.99</v>
      </c>
      <c r="M62" s="87">
        <v>89.36</v>
      </c>
      <c r="N62" s="59">
        <v>57.62</v>
      </c>
      <c r="O62" s="88">
        <v>-0.024412296564195368</v>
      </c>
      <c r="P62" s="89">
        <v>-0.0690846286701209</v>
      </c>
      <c r="Q62" s="88">
        <v>-0.052856587640886105</v>
      </c>
      <c r="R62" s="88">
        <v>-0.038645146624232685</v>
      </c>
      <c r="S62" s="88">
        <v>-0.550850399166956</v>
      </c>
      <c r="T62" s="59"/>
      <c r="U62" s="59"/>
      <c r="V62" s="59"/>
      <c r="W62" s="59"/>
      <c r="X62" s="59"/>
      <c r="Y62" s="59"/>
      <c r="Z62" s="59"/>
      <c r="AA62" s="59"/>
      <c r="AB62" s="59"/>
    </row>
    <row r="63">
      <c r="A63" s="84" t="s">
        <v>203</v>
      </c>
      <c r="B63" s="84" t="s">
        <v>204</v>
      </c>
      <c r="C63" s="85">
        <v>4.2390399846E10</v>
      </c>
      <c r="D63" s="86">
        <f t="shared" si="1"/>
        <v>-0.1474625644</v>
      </c>
      <c r="E63" s="87">
        <v>34.37</v>
      </c>
      <c r="F63" s="87">
        <v>33.42</v>
      </c>
      <c r="G63" s="87">
        <v>34.89</v>
      </c>
      <c r="H63" s="59">
        <v>30.06</v>
      </c>
      <c r="I63" s="87">
        <v>30.92</v>
      </c>
      <c r="J63" s="59">
        <v>28.06</v>
      </c>
      <c r="K63" s="87">
        <v>51.76</v>
      </c>
      <c r="L63" s="87">
        <v>49.39</v>
      </c>
      <c r="M63" s="87">
        <v>207.06</v>
      </c>
      <c r="N63" s="59">
        <v>148.08</v>
      </c>
      <c r="O63" s="88">
        <v>-0.028426092160382874</v>
      </c>
      <c r="P63" s="89">
        <v>-0.1606786427145709</v>
      </c>
      <c r="Q63" s="88">
        <v>-0.10192444761225955</v>
      </c>
      <c r="R63" s="88">
        <v>-0.04798542215023279</v>
      </c>
      <c r="S63" s="88">
        <v>-0.39829821717990266</v>
      </c>
      <c r="T63" s="59"/>
      <c r="U63" s="59"/>
      <c r="V63" s="59"/>
      <c r="W63" s="59"/>
      <c r="X63" s="59"/>
      <c r="Y63" s="59"/>
      <c r="Z63" s="59"/>
      <c r="AA63" s="59"/>
      <c r="AB63" s="59"/>
    </row>
    <row r="64">
      <c r="A64" s="84" t="s">
        <v>205</v>
      </c>
      <c r="B64" s="84" t="s">
        <v>206</v>
      </c>
      <c r="C64" s="85">
        <v>3.28447098E10</v>
      </c>
      <c r="D64" s="86">
        <f t="shared" si="1"/>
        <v>-0.1493409367</v>
      </c>
      <c r="E64" s="87">
        <v>11.94</v>
      </c>
      <c r="F64" s="87">
        <v>10.8</v>
      </c>
      <c r="G64" s="87">
        <v>20.79</v>
      </c>
      <c r="H64" s="59">
        <v>18.86</v>
      </c>
      <c r="I64" s="87">
        <v>13.02</v>
      </c>
      <c r="J64" s="59">
        <v>11.96</v>
      </c>
      <c r="K64" s="87">
        <v>11.17</v>
      </c>
      <c r="L64" s="87">
        <v>10.61</v>
      </c>
      <c r="M64" s="87">
        <v>24.79</v>
      </c>
      <c r="N64" s="59">
        <v>17.74</v>
      </c>
      <c r="O64" s="88">
        <v>-0.10555555555555543</v>
      </c>
      <c r="P64" s="89">
        <v>-0.10233297985153764</v>
      </c>
      <c r="Q64" s="88">
        <v>-0.0886287625418059</v>
      </c>
      <c r="R64" s="88">
        <v>-0.052780395852968946</v>
      </c>
      <c r="S64" s="88">
        <v>-0.39740698985343864</v>
      </c>
      <c r="T64" s="59"/>
      <c r="U64" s="59"/>
      <c r="V64" s="59"/>
      <c r="W64" s="59"/>
      <c r="X64" s="59"/>
      <c r="Y64" s="59"/>
      <c r="Z64" s="59"/>
      <c r="AA64" s="59"/>
      <c r="AB64" s="59"/>
    </row>
    <row r="65">
      <c r="A65" s="84" t="s">
        <v>207</v>
      </c>
      <c r="B65" s="84" t="s">
        <v>208</v>
      </c>
      <c r="C65" s="85">
        <v>2.723988516E10</v>
      </c>
      <c r="D65" s="86">
        <f t="shared" si="1"/>
        <v>-0.1525156127</v>
      </c>
      <c r="E65" s="87">
        <v>27.11</v>
      </c>
      <c r="F65" s="87">
        <v>27.3</v>
      </c>
      <c r="G65" s="87">
        <v>70.9</v>
      </c>
      <c r="H65" s="59">
        <v>63.95</v>
      </c>
      <c r="I65" s="87">
        <v>140.99</v>
      </c>
      <c r="J65" s="59">
        <v>130.45</v>
      </c>
      <c r="K65" s="87">
        <v>152.91</v>
      </c>
      <c r="L65" s="87">
        <v>141.08</v>
      </c>
      <c r="M65" s="87">
        <v>134.18</v>
      </c>
      <c r="N65" s="59">
        <v>89.68</v>
      </c>
      <c r="O65" s="88">
        <v>0.006959706959707006</v>
      </c>
      <c r="P65" s="89">
        <v>-0.10867865519937456</v>
      </c>
      <c r="Q65" s="88">
        <v>-0.0807972403219626</v>
      </c>
      <c r="R65" s="88">
        <v>-0.08385313297419891</v>
      </c>
      <c r="S65" s="88">
        <v>-0.4962087421944692</v>
      </c>
      <c r="T65" s="59"/>
      <c r="U65" s="59"/>
      <c r="V65" s="59"/>
      <c r="W65" s="59"/>
      <c r="X65" s="59"/>
      <c r="Y65" s="59"/>
      <c r="Z65" s="59"/>
      <c r="AA65" s="59"/>
      <c r="AB65" s="59"/>
    </row>
    <row r="66">
      <c r="A66" s="84" t="s">
        <v>209</v>
      </c>
      <c r="B66" s="84" t="s">
        <v>210</v>
      </c>
      <c r="C66" s="85">
        <v>5.3794829085E10</v>
      </c>
      <c r="D66" s="86">
        <f t="shared" si="1"/>
        <v>-0.1532796341</v>
      </c>
      <c r="E66" s="87">
        <v>32.05</v>
      </c>
      <c r="F66" s="87">
        <v>31.14</v>
      </c>
      <c r="G66" s="87">
        <v>41.62</v>
      </c>
      <c r="H66" s="59">
        <v>36.96</v>
      </c>
      <c r="I66" s="87">
        <v>37.2</v>
      </c>
      <c r="J66" s="59">
        <v>35.38</v>
      </c>
      <c r="K66" s="87">
        <v>69.75</v>
      </c>
      <c r="L66" s="87">
        <v>67.32</v>
      </c>
      <c r="M66" s="87">
        <v>325.34</v>
      </c>
      <c r="N66" s="59">
        <v>213.54</v>
      </c>
      <c r="O66" s="88">
        <v>-0.02922286448297998</v>
      </c>
      <c r="P66" s="89">
        <v>-0.126082251082251</v>
      </c>
      <c r="Q66" s="88">
        <v>-0.05144149236856982</v>
      </c>
      <c r="R66" s="88">
        <v>-0.03609625668449208</v>
      </c>
      <c r="S66" s="88">
        <v>-0.5235553057975086</v>
      </c>
      <c r="T66" s="59"/>
      <c r="U66" s="59"/>
      <c r="V66" s="59"/>
      <c r="W66" s="59"/>
      <c r="X66" s="59"/>
      <c r="Y66" s="59"/>
      <c r="Z66" s="59"/>
      <c r="AA66" s="59"/>
      <c r="AB66" s="59"/>
    </row>
    <row r="67">
      <c r="A67" s="84" t="s">
        <v>211</v>
      </c>
      <c r="B67" s="84" t="s">
        <v>212</v>
      </c>
      <c r="C67" s="85">
        <v>3.947955872E10</v>
      </c>
      <c r="D67" s="86">
        <f t="shared" si="1"/>
        <v>-0.1541624496</v>
      </c>
      <c r="E67" s="87">
        <v>7.8</v>
      </c>
      <c r="F67" s="87">
        <v>7.6</v>
      </c>
      <c r="G67" s="87">
        <v>7.64</v>
      </c>
      <c r="H67" s="59">
        <v>6.59</v>
      </c>
      <c r="I67" s="87">
        <v>9.14</v>
      </c>
      <c r="J67" s="59">
        <v>8.28</v>
      </c>
      <c r="K67" s="87">
        <v>19.8</v>
      </c>
      <c r="L67" s="87">
        <v>19.0</v>
      </c>
      <c r="M67" s="87">
        <v>78.58</v>
      </c>
      <c r="N67" s="59">
        <v>54.6</v>
      </c>
      <c r="O67" s="88">
        <v>-0.026315789473684237</v>
      </c>
      <c r="P67" s="89">
        <v>-0.15933232169954475</v>
      </c>
      <c r="Q67" s="88">
        <v>-0.10386473429951706</v>
      </c>
      <c r="R67" s="88">
        <v>-0.04210526315789478</v>
      </c>
      <c r="S67" s="88">
        <v>-0.43919413919413913</v>
      </c>
      <c r="T67" s="59"/>
      <c r="U67" s="59"/>
      <c r="V67" s="59"/>
      <c r="W67" s="59"/>
      <c r="X67" s="59"/>
      <c r="Y67" s="59"/>
      <c r="Z67" s="59"/>
      <c r="AA67" s="59"/>
      <c r="AB67" s="59"/>
    </row>
    <row r="68">
      <c r="A68" s="84" t="s">
        <v>213</v>
      </c>
      <c r="B68" s="84" t="s">
        <v>214</v>
      </c>
      <c r="C68" s="85">
        <v>8.2730861683E10</v>
      </c>
      <c r="D68" s="86">
        <f t="shared" si="1"/>
        <v>-0.1542669396</v>
      </c>
      <c r="E68" s="87">
        <v>30.39</v>
      </c>
      <c r="F68" s="87">
        <v>29.96</v>
      </c>
      <c r="G68" s="87">
        <v>41.36</v>
      </c>
      <c r="H68" s="59">
        <v>36.04</v>
      </c>
      <c r="I68" s="87">
        <v>39.84</v>
      </c>
      <c r="J68" s="59">
        <v>36.86</v>
      </c>
      <c r="K68" s="87">
        <v>56.32</v>
      </c>
      <c r="L68" s="87">
        <v>54.53</v>
      </c>
      <c r="M68" s="87">
        <v>201.56</v>
      </c>
      <c r="N68" s="59">
        <v>134.76</v>
      </c>
      <c r="O68" s="88">
        <v>-0.014352469959946585</v>
      </c>
      <c r="P68" s="89">
        <v>-0.14761376248612654</v>
      </c>
      <c r="Q68" s="88">
        <v>-0.08084644601193716</v>
      </c>
      <c r="R68" s="88">
        <v>-0.03282596735741792</v>
      </c>
      <c r="S68" s="88">
        <v>-0.4956960522410212</v>
      </c>
      <c r="T68" s="59"/>
      <c r="U68" s="59"/>
      <c r="V68" s="59"/>
      <c r="W68" s="59"/>
      <c r="X68" s="59"/>
      <c r="Y68" s="59"/>
      <c r="Z68" s="59"/>
      <c r="AA68" s="59"/>
      <c r="AB68" s="59"/>
    </row>
    <row r="69">
      <c r="A69" s="84" t="s">
        <v>215</v>
      </c>
      <c r="B69" s="84" t="s">
        <v>216</v>
      </c>
      <c r="C69" s="85">
        <v>4.3911754941E10</v>
      </c>
      <c r="D69" s="86">
        <f t="shared" si="1"/>
        <v>-0.1573018045</v>
      </c>
      <c r="E69" s="87">
        <v>1.57</v>
      </c>
      <c r="F69" s="87">
        <v>1.64</v>
      </c>
      <c r="G69" s="87">
        <v>2.84</v>
      </c>
      <c r="H69" s="59">
        <v>2.32</v>
      </c>
      <c r="I69" s="87">
        <v>2.81</v>
      </c>
      <c r="J69" s="59">
        <v>2.58</v>
      </c>
      <c r="K69" s="87">
        <v>22.5</v>
      </c>
      <c r="L69" s="87">
        <v>21.37</v>
      </c>
      <c r="M69" s="87">
        <v>74.0</v>
      </c>
      <c r="N69" s="59">
        <v>50.58</v>
      </c>
      <c r="O69" s="88">
        <v>0.0426829268292682</v>
      </c>
      <c r="P69" s="89">
        <v>-0.2241379310344828</v>
      </c>
      <c r="Q69" s="88">
        <v>-0.08914728682170542</v>
      </c>
      <c r="R69" s="88">
        <v>-0.05287786616752452</v>
      </c>
      <c r="S69" s="88">
        <v>-0.4630288651640965</v>
      </c>
      <c r="T69" s="59"/>
      <c r="U69" s="59"/>
      <c r="V69" s="59"/>
      <c r="W69" s="59"/>
      <c r="X69" s="59"/>
      <c r="Y69" s="59"/>
      <c r="Z69" s="59"/>
      <c r="AA69" s="59"/>
      <c r="AB69" s="59"/>
    </row>
    <row r="70">
      <c r="A70" s="84" t="s">
        <v>217</v>
      </c>
      <c r="B70" s="84" t="s">
        <v>218</v>
      </c>
      <c r="C70" s="85">
        <v>4.4415976946E10</v>
      </c>
      <c r="D70" s="86">
        <f t="shared" si="1"/>
        <v>-0.1605071427</v>
      </c>
      <c r="E70" s="87">
        <v>26.5</v>
      </c>
      <c r="F70" s="87">
        <v>25.53</v>
      </c>
      <c r="G70" s="87">
        <v>51.02</v>
      </c>
      <c r="H70" s="59">
        <v>46.01</v>
      </c>
      <c r="I70" s="87">
        <v>62.24</v>
      </c>
      <c r="J70" s="59">
        <v>58.31</v>
      </c>
      <c r="K70" s="87">
        <v>106.54</v>
      </c>
      <c r="L70" s="87">
        <v>103.49</v>
      </c>
      <c r="M70" s="87">
        <v>728.45</v>
      </c>
      <c r="N70" s="59">
        <v>467.32</v>
      </c>
      <c r="O70" s="88">
        <v>-0.037994516255385774</v>
      </c>
      <c r="P70" s="89">
        <v>-0.10888937187567932</v>
      </c>
      <c r="Q70" s="88">
        <v>-0.0673983879265992</v>
      </c>
      <c r="R70" s="88">
        <v>-0.02947144651657176</v>
      </c>
      <c r="S70" s="88">
        <v>-0.5587819909269881</v>
      </c>
      <c r="T70" s="59"/>
      <c r="U70" s="59"/>
      <c r="V70" s="59"/>
      <c r="W70" s="59"/>
      <c r="X70" s="59"/>
      <c r="Y70" s="59"/>
      <c r="Z70" s="59"/>
      <c r="AA70" s="59"/>
      <c r="AB70" s="59"/>
    </row>
    <row r="71">
      <c r="A71" s="84" t="s">
        <v>219</v>
      </c>
      <c r="B71" s="84" t="s">
        <v>220</v>
      </c>
      <c r="C71" s="85">
        <v>7.4855518893E10</v>
      </c>
      <c r="D71" s="86">
        <f t="shared" si="1"/>
        <v>-0.1619030655</v>
      </c>
      <c r="E71" s="87">
        <v>16.75</v>
      </c>
      <c r="F71" s="87">
        <v>16.34</v>
      </c>
      <c r="G71" s="87">
        <v>14.0</v>
      </c>
      <c r="H71" s="59">
        <v>12.5</v>
      </c>
      <c r="I71" s="87">
        <v>11.44</v>
      </c>
      <c r="J71" s="59">
        <v>11.09</v>
      </c>
      <c r="K71" s="87">
        <v>15.48</v>
      </c>
      <c r="L71" s="87">
        <v>15.1</v>
      </c>
      <c r="M71" s="87">
        <v>65.16</v>
      </c>
      <c r="N71" s="59">
        <v>40.53</v>
      </c>
      <c r="O71" s="88">
        <v>-0.025091799265605882</v>
      </c>
      <c r="P71" s="89">
        <v>-0.12</v>
      </c>
      <c r="Q71" s="88">
        <v>-0.03155996393146976</v>
      </c>
      <c r="R71" s="88">
        <v>-0.025165562913907338</v>
      </c>
      <c r="S71" s="88">
        <v>-0.6076980014803848</v>
      </c>
      <c r="T71" s="59"/>
      <c r="U71" s="59"/>
      <c r="V71" s="59"/>
      <c r="W71" s="59"/>
      <c r="X71" s="59"/>
      <c r="Y71" s="59"/>
      <c r="Z71" s="59"/>
      <c r="AA71" s="59"/>
      <c r="AB71" s="59"/>
    </row>
    <row r="72">
      <c r="A72" s="84" t="s">
        <v>221</v>
      </c>
      <c r="B72" s="84" t="s">
        <v>222</v>
      </c>
      <c r="C72" s="85">
        <v>6.1222142188E10</v>
      </c>
      <c r="D72" s="86">
        <f t="shared" si="1"/>
        <v>-0.1634279679</v>
      </c>
      <c r="E72" s="87">
        <v>6.44</v>
      </c>
      <c r="F72" s="87">
        <v>6.5</v>
      </c>
      <c r="G72" s="87">
        <v>6.39</v>
      </c>
      <c r="H72" s="59">
        <v>5.85</v>
      </c>
      <c r="I72" s="87">
        <v>7.32</v>
      </c>
      <c r="J72" s="59">
        <v>6.86</v>
      </c>
      <c r="K72" s="87">
        <v>9.13</v>
      </c>
      <c r="L72" s="87">
        <v>8.76</v>
      </c>
      <c r="M72" s="87">
        <v>26.5</v>
      </c>
      <c r="N72" s="59">
        <v>16.31</v>
      </c>
      <c r="O72" s="88">
        <v>0.009230769230769171</v>
      </c>
      <c r="P72" s="89">
        <v>-0.09230769230769231</v>
      </c>
      <c r="Q72" s="88">
        <v>-0.06705539358600582</v>
      </c>
      <c r="R72" s="88">
        <v>-0.042237442922374545</v>
      </c>
      <c r="S72" s="88">
        <v>-0.6247700797057022</v>
      </c>
      <c r="T72" s="59"/>
      <c r="U72" s="59"/>
      <c r="V72" s="59"/>
      <c r="W72" s="59"/>
      <c r="X72" s="59"/>
      <c r="Y72" s="59"/>
      <c r="Z72" s="59"/>
      <c r="AA72" s="59"/>
      <c r="AB72" s="59"/>
    </row>
    <row r="73">
      <c r="A73" s="84" t="s">
        <v>223</v>
      </c>
      <c r="B73" s="84" t="s">
        <v>224</v>
      </c>
      <c r="C73" s="85">
        <v>9.9384806388E10</v>
      </c>
      <c r="D73" s="86">
        <f t="shared" si="1"/>
        <v>-0.1654342121</v>
      </c>
      <c r="E73" s="87">
        <v>5.84</v>
      </c>
      <c r="F73" s="87">
        <v>5.18</v>
      </c>
      <c r="G73" s="87">
        <v>9.29</v>
      </c>
      <c r="H73" s="59">
        <v>8.38</v>
      </c>
      <c r="I73" s="87">
        <v>6.56</v>
      </c>
      <c r="J73" s="59">
        <v>5.94</v>
      </c>
      <c r="K73" s="87">
        <v>1.78</v>
      </c>
      <c r="L73" s="87">
        <v>1.75</v>
      </c>
      <c r="M73" s="87">
        <v>56.89</v>
      </c>
      <c r="N73" s="59">
        <v>38.71</v>
      </c>
      <c r="O73" s="88">
        <v>-0.12741312741312744</v>
      </c>
      <c r="P73" s="89">
        <v>-0.10859188544152724</v>
      </c>
      <c r="Q73" s="88">
        <v>-0.10437710437710424</v>
      </c>
      <c r="R73" s="88">
        <v>-0.017142857142857158</v>
      </c>
      <c r="S73" s="88">
        <v>-0.4696460862826143</v>
      </c>
      <c r="T73" s="59"/>
      <c r="U73" s="59"/>
      <c r="V73" s="59"/>
      <c r="W73" s="59"/>
      <c r="X73" s="59"/>
      <c r="Y73" s="59"/>
      <c r="Z73" s="59"/>
      <c r="AA73" s="59"/>
      <c r="AB73" s="59"/>
    </row>
    <row r="74">
      <c r="A74" s="84" t="s">
        <v>225</v>
      </c>
      <c r="B74" s="84" t="s">
        <v>226</v>
      </c>
      <c r="C74" s="85">
        <v>8.9233678438E10</v>
      </c>
      <c r="D74" s="86">
        <f t="shared" si="1"/>
        <v>-0.1667581408</v>
      </c>
      <c r="E74" s="87" t="e">
        <v>#N/A</v>
      </c>
      <c r="F74" s="87" t="e">
        <v>#N/A</v>
      </c>
      <c r="G74" s="87" t="e">
        <v>#N/A</v>
      </c>
      <c r="H74" s="59" t="e">
        <v>#N/A</v>
      </c>
      <c r="I74" s="87" t="e">
        <v>#N/A</v>
      </c>
      <c r="J74" s="59" t="e">
        <v>#N/A</v>
      </c>
      <c r="K74" s="87">
        <v>34.25</v>
      </c>
      <c r="L74" s="87">
        <v>33.75</v>
      </c>
      <c r="M74" s="87">
        <v>122.27</v>
      </c>
      <c r="N74" s="59">
        <v>92.72</v>
      </c>
      <c r="O74" s="88" t="e">
        <v>#N/A</v>
      </c>
      <c r="P74" s="89" t="e">
        <v>#N/A</v>
      </c>
      <c r="Q74" s="88" t="e">
        <v>#N/A</v>
      </c>
      <c r="R74" s="88">
        <v>-0.014814814814814815</v>
      </c>
      <c r="S74" s="88">
        <v>-0.31870146678170835</v>
      </c>
      <c r="T74" s="59"/>
      <c r="U74" s="59"/>
      <c r="V74" s="59"/>
      <c r="W74" s="59"/>
      <c r="X74" s="59"/>
      <c r="Y74" s="59"/>
      <c r="Z74" s="59"/>
      <c r="AA74" s="59"/>
      <c r="AB74" s="59"/>
    </row>
    <row r="75">
      <c r="A75" s="84" t="s">
        <v>227</v>
      </c>
      <c r="B75" s="84" t="s">
        <v>228</v>
      </c>
      <c r="C75" s="85">
        <v>3.70613027E10</v>
      </c>
      <c r="D75" s="86">
        <f t="shared" si="1"/>
        <v>-0.1673827805</v>
      </c>
      <c r="E75" s="87">
        <v>50.38</v>
      </c>
      <c r="F75" s="87">
        <v>47.51</v>
      </c>
      <c r="G75" s="87">
        <v>31.48</v>
      </c>
      <c r="H75" s="59">
        <v>29.63</v>
      </c>
      <c r="I75" s="87">
        <v>29.95</v>
      </c>
      <c r="J75" s="59">
        <v>28.49</v>
      </c>
      <c r="K75" s="87">
        <v>23.54</v>
      </c>
      <c r="L75" s="87">
        <v>23.28</v>
      </c>
      <c r="M75" s="87">
        <v>35.94</v>
      </c>
      <c r="N75" s="59">
        <v>21.76</v>
      </c>
      <c r="O75" s="88">
        <v>-0.06040833508735013</v>
      </c>
      <c r="P75" s="89">
        <v>-0.06243671954100579</v>
      </c>
      <c r="Q75" s="88">
        <v>-0.05124605124605128</v>
      </c>
      <c r="R75" s="88">
        <v>-0.011168384879725</v>
      </c>
      <c r="S75" s="88">
        <v>-0.6516544117647056</v>
      </c>
      <c r="T75" s="59"/>
      <c r="U75" s="59"/>
      <c r="V75" s="59"/>
      <c r="W75" s="59"/>
      <c r="X75" s="59"/>
      <c r="Y75" s="59"/>
      <c r="Z75" s="59"/>
      <c r="AA75" s="59"/>
      <c r="AB75" s="59"/>
    </row>
    <row r="76">
      <c r="A76" s="84" t="s">
        <v>229</v>
      </c>
      <c r="B76" s="84" t="s">
        <v>230</v>
      </c>
      <c r="C76" s="85">
        <v>1.3699394567E10</v>
      </c>
      <c r="D76" s="86">
        <f t="shared" si="1"/>
        <v>-0.1782401308</v>
      </c>
      <c r="E76" s="87">
        <v>13.14</v>
      </c>
      <c r="F76" s="87">
        <v>12.83</v>
      </c>
      <c r="G76" s="87">
        <v>17.4</v>
      </c>
      <c r="H76" s="59">
        <v>16.52</v>
      </c>
      <c r="I76" s="87">
        <v>19.1</v>
      </c>
      <c r="J76" s="59">
        <v>17.21</v>
      </c>
      <c r="K76" s="87">
        <v>56.45</v>
      </c>
      <c r="L76" s="87">
        <v>54.55</v>
      </c>
      <c r="M76" s="87">
        <v>269.93</v>
      </c>
      <c r="N76" s="59">
        <v>161.72</v>
      </c>
      <c r="O76" s="88">
        <v>-0.024162120031176966</v>
      </c>
      <c r="P76" s="89">
        <v>-0.05326876513317185</v>
      </c>
      <c r="Q76" s="88">
        <v>-0.1098198721673446</v>
      </c>
      <c r="R76" s="88">
        <v>-0.034830430797433656</v>
      </c>
      <c r="S76" s="88">
        <v>-0.66911946574326</v>
      </c>
      <c r="T76" s="59"/>
      <c r="U76" s="59"/>
      <c r="V76" s="59"/>
      <c r="W76" s="59"/>
      <c r="X76" s="59"/>
      <c r="Y76" s="59"/>
      <c r="Z76" s="59"/>
      <c r="AA76" s="59"/>
      <c r="AB76" s="59"/>
    </row>
    <row r="77">
      <c r="A77" s="84" t="s">
        <v>231</v>
      </c>
      <c r="B77" s="84" t="s">
        <v>232</v>
      </c>
      <c r="C77" s="85">
        <v>3.240698923E10</v>
      </c>
      <c r="D77" s="86">
        <f t="shared" si="1"/>
        <v>-0.1786972096</v>
      </c>
      <c r="E77" s="87">
        <v>9.91</v>
      </c>
      <c r="F77" s="87">
        <v>9.53</v>
      </c>
      <c r="G77" s="87">
        <v>14.26</v>
      </c>
      <c r="H77" s="59">
        <v>12.88</v>
      </c>
      <c r="I77" s="87">
        <v>18.39</v>
      </c>
      <c r="J77" s="59">
        <v>17.43</v>
      </c>
      <c r="K77" s="87">
        <v>50.0</v>
      </c>
      <c r="L77" s="87">
        <v>48.33</v>
      </c>
      <c r="M77" s="87">
        <v>122.49</v>
      </c>
      <c r="N77" s="59">
        <v>73.93</v>
      </c>
      <c r="O77" s="88">
        <v>-0.039874081846799664</v>
      </c>
      <c r="P77" s="89">
        <v>-0.10714285714285705</v>
      </c>
      <c r="Q77" s="88">
        <v>-0.055077452667814164</v>
      </c>
      <c r="R77" s="88">
        <v>-0.03455410717980554</v>
      </c>
      <c r="S77" s="88">
        <v>-0.6568375490328687</v>
      </c>
      <c r="T77" s="59"/>
      <c r="U77" s="59"/>
      <c r="V77" s="59"/>
      <c r="W77" s="59"/>
      <c r="X77" s="59"/>
      <c r="Y77" s="59"/>
      <c r="Z77" s="59"/>
      <c r="AA77" s="59"/>
      <c r="AB77" s="59"/>
    </row>
    <row r="78">
      <c r="A78" s="84" t="s">
        <v>233</v>
      </c>
      <c r="B78" s="84" t="s">
        <v>234</v>
      </c>
      <c r="C78" s="85">
        <v>5.8783205337E10</v>
      </c>
      <c r="D78" s="86">
        <f t="shared" si="1"/>
        <v>-0.1803073094</v>
      </c>
      <c r="E78" s="87">
        <v>4.17</v>
      </c>
      <c r="F78" s="87">
        <v>4.34</v>
      </c>
      <c r="G78" s="87">
        <v>9.89</v>
      </c>
      <c r="H78" s="59">
        <v>8.57</v>
      </c>
      <c r="I78" s="87">
        <v>6.31</v>
      </c>
      <c r="J78" s="59">
        <v>5.71</v>
      </c>
      <c r="K78" s="87">
        <v>14.53</v>
      </c>
      <c r="L78" s="87">
        <v>14.44</v>
      </c>
      <c r="M78" s="87">
        <v>57.75</v>
      </c>
      <c r="N78" s="59">
        <v>34.47</v>
      </c>
      <c r="O78" s="88">
        <v>0.03917050691244238</v>
      </c>
      <c r="P78" s="89">
        <v>-0.15402567094515757</v>
      </c>
      <c r="Q78" s="88">
        <v>-0.10507880910683007</v>
      </c>
      <c r="R78" s="88">
        <v>-0.006232686980609409</v>
      </c>
      <c r="S78" s="88">
        <v>-0.6753698868581376</v>
      </c>
      <c r="T78" s="59"/>
      <c r="U78" s="59"/>
      <c r="V78" s="59"/>
      <c r="W78" s="59"/>
      <c r="X78" s="59"/>
      <c r="Y78" s="59"/>
      <c r="Z78" s="59"/>
      <c r="AA78" s="59"/>
      <c r="AB78" s="59"/>
    </row>
    <row r="79">
      <c r="A79" s="84" t="s">
        <v>235</v>
      </c>
      <c r="B79" s="84" t="s">
        <v>236</v>
      </c>
      <c r="C79" s="85">
        <v>2.6901515882E10</v>
      </c>
      <c r="D79" s="86">
        <f t="shared" si="1"/>
        <v>-0.1911117332</v>
      </c>
      <c r="E79" s="87">
        <v>14.04</v>
      </c>
      <c r="F79" s="87">
        <v>12.45</v>
      </c>
      <c r="G79" s="87">
        <v>26.01</v>
      </c>
      <c r="H79" s="59">
        <v>23.76</v>
      </c>
      <c r="I79" s="87">
        <v>33.97</v>
      </c>
      <c r="J79" s="59">
        <v>30.79</v>
      </c>
      <c r="K79" s="87">
        <v>62.85</v>
      </c>
      <c r="L79" s="87">
        <v>59.83</v>
      </c>
      <c r="M79" s="87">
        <v>68.83</v>
      </c>
      <c r="N79" s="59">
        <v>43.58</v>
      </c>
      <c r="O79" s="88">
        <v>-0.12771084337349398</v>
      </c>
      <c r="P79" s="89">
        <v>-0.0946969696969697</v>
      </c>
      <c r="Q79" s="88">
        <v>-0.10328028580708021</v>
      </c>
      <c r="R79" s="88">
        <v>-0.05047634965736258</v>
      </c>
      <c r="S79" s="88">
        <v>-0.5793942175309775</v>
      </c>
      <c r="T79" s="59"/>
      <c r="U79" s="59"/>
      <c r="V79" s="59"/>
      <c r="W79" s="59"/>
      <c r="X79" s="59"/>
      <c r="Y79" s="59"/>
      <c r="Z79" s="59"/>
      <c r="AA79" s="59"/>
      <c r="AB79" s="59"/>
    </row>
    <row r="80">
      <c r="A80" s="84" t="s">
        <v>237</v>
      </c>
      <c r="B80" s="84" t="s">
        <v>238</v>
      </c>
      <c r="C80" s="85">
        <v>4.8053074065E10</v>
      </c>
      <c r="D80" s="86">
        <f t="shared" si="1"/>
        <v>-0.191888079</v>
      </c>
      <c r="E80" s="87">
        <v>26.48</v>
      </c>
      <c r="F80" s="87">
        <v>25.46</v>
      </c>
      <c r="G80" s="87">
        <v>35.52</v>
      </c>
      <c r="H80" s="59">
        <v>31.43</v>
      </c>
      <c r="I80" s="87">
        <v>27.81</v>
      </c>
      <c r="J80" s="59">
        <v>25.93</v>
      </c>
      <c r="K80" s="87">
        <v>69.33</v>
      </c>
      <c r="L80" s="87">
        <v>66.69</v>
      </c>
      <c r="M80" s="87">
        <v>144.94</v>
      </c>
      <c r="N80" s="59">
        <v>86.42</v>
      </c>
      <c r="O80" s="88">
        <v>-0.04006284367635505</v>
      </c>
      <c r="P80" s="89">
        <v>-0.13013044861597212</v>
      </c>
      <c r="Q80" s="88">
        <v>-0.07250289240262241</v>
      </c>
      <c r="R80" s="88">
        <v>-0.03958614484930276</v>
      </c>
      <c r="S80" s="88">
        <v>-0.6771580652626706</v>
      </c>
      <c r="T80" s="59"/>
      <c r="U80" s="59"/>
      <c r="V80" s="59"/>
      <c r="W80" s="59"/>
      <c r="X80" s="59"/>
      <c r="Y80" s="59"/>
      <c r="Z80" s="59"/>
      <c r="AA80" s="59"/>
      <c r="AB80" s="59"/>
    </row>
    <row r="81">
      <c r="A81" s="84" t="s">
        <v>239</v>
      </c>
      <c r="B81" s="84" t="s">
        <v>240</v>
      </c>
      <c r="C81" s="85">
        <v>3.361002E11</v>
      </c>
      <c r="D81" s="86">
        <f t="shared" si="1"/>
        <v>-0.196914435</v>
      </c>
      <c r="E81" s="87">
        <v>2.88</v>
      </c>
      <c r="F81" s="87">
        <v>2.33</v>
      </c>
      <c r="G81" s="87">
        <v>3.89</v>
      </c>
      <c r="H81" s="59">
        <v>3.49</v>
      </c>
      <c r="I81" s="87">
        <v>3.24</v>
      </c>
      <c r="J81" s="59">
        <v>2.98</v>
      </c>
      <c r="K81" s="87">
        <v>5.37</v>
      </c>
      <c r="L81" s="87">
        <v>5.18</v>
      </c>
      <c r="M81" s="87">
        <v>74.14</v>
      </c>
      <c r="N81" s="59">
        <v>49.1</v>
      </c>
      <c r="O81" s="88">
        <v>-0.23605150214592266</v>
      </c>
      <c r="P81" s="89">
        <v>-0.11461318051575928</v>
      </c>
      <c r="Q81" s="88">
        <v>-0.08724832214765109</v>
      </c>
      <c r="R81" s="88">
        <v>-0.03667953667953676</v>
      </c>
      <c r="S81" s="88">
        <v>-0.509979633401222</v>
      </c>
      <c r="T81" s="59"/>
      <c r="U81" s="59"/>
      <c r="V81" s="59"/>
      <c r="W81" s="59"/>
      <c r="X81" s="59"/>
      <c r="Y81" s="59"/>
      <c r="Z81" s="59"/>
      <c r="AA81" s="59"/>
      <c r="AB81" s="59"/>
    </row>
    <row r="82">
      <c r="A82" s="84" t="s">
        <v>241</v>
      </c>
      <c r="B82" s="84" t="s">
        <v>242</v>
      </c>
      <c r="C82" s="85">
        <v>7.3913974777E10</v>
      </c>
      <c r="D82" s="86">
        <f t="shared" si="1"/>
        <v>-0.1980779161</v>
      </c>
      <c r="E82" s="87">
        <v>93.03</v>
      </c>
      <c r="F82" s="87">
        <v>78.67</v>
      </c>
      <c r="G82" s="87">
        <v>269.08</v>
      </c>
      <c r="H82" s="59">
        <v>225.39</v>
      </c>
      <c r="I82" s="87">
        <v>527.81</v>
      </c>
      <c r="J82" s="59">
        <v>505.0</v>
      </c>
      <c r="K82" s="87">
        <v>1216.92</v>
      </c>
      <c r="L82" s="87">
        <v>1174.12</v>
      </c>
      <c r="M82" s="87">
        <v>1976.28</v>
      </c>
      <c r="N82" s="59">
        <v>1289.67</v>
      </c>
      <c r="O82" s="88">
        <v>-0.18253463836278122</v>
      </c>
      <c r="P82" s="89">
        <v>-0.19384178534983806</v>
      </c>
      <c r="Q82" s="88">
        <v>-0.04516831683168306</v>
      </c>
      <c r="R82" s="88">
        <v>-0.036452832759854344</v>
      </c>
      <c r="S82" s="88">
        <v>-0.5323920072576704</v>
      </c>
      <c r="T82" s="59"/>
      <c r="U82" s="59"/>
      <c r="V82" s="59"/>
      <c r="W82" s="59"/>
      <c r="X82" s="59"/>
      <c r="Y82" s="59"/>
      <c r="Z82" s="59"/>
      <c r="AA82" s="59"/>
      <c r="AB82" s="59"/>
    </row>
    <row r="83">
      <c r="A83" s="84" t="s">
        <v>243</v>
      </c>
      <c r="B83" s="84" t="s">
        <v>244</v>
      </c>
      <c r="C83" s="85">
        <v>3.6583229952E10</v>
      </c>
      <c r="D83" s="86">
        <f t="shared" si="1"/>
        <v>-0.2104445279</v>
      </c>
      <c r="E83" s="87" t="e">
        <v>#N/A</v>
      </c>
      <c r="F83" s="87" t="e">
        <v>#N/A</v>
      </c>
      <c r="G83" s="87">
        <v>1.86</v>
      </c>
      <c r="H83" s="59">
        <v>1.65</v>
      </c>
      <c r="I83" s="87">
        <v>3.92</v>
      </c>
      <c r="J83" s="59">
        <v>3.6</v>
      </c>
      <c r="K83" s="87">
        <v>8.57</v>
      </c>
      <c r="L83" s="87">
        <v>8.18</v>
      </c>
      <c r="M83" s="87">
        <v>23.89</v>
      </c>
      <c r="N83" s="59">
        <v>15.14</v>
      </c>
      <c r="O83" s="88" t="e">
        <v>#N/A</v>
      </c>
      <c r="P83" s="89">
        <v>-0.1272727272727274</v>
      </c>
      <c r="Q83" s="88">
        <v>-0.08888888888888884</v>
      </c>
      <c r="R83" s="88">
        <v>-0.047677261613692005</v>
      </c>
      <c r="S83" s="88">
        <v>-0.5779392338177014</v>
      </c>
      <c r="T83" s="59"/>
      <c r="U83" s="59"/>
      <c r="V83" s="59"/>
      <c r="W83" s="59"/>
      <c r="X83" s="59"/>
      <c r="Y83" s="59"/>
      <c r="Z83" s="59"/>
      <c r="AA83" s="59"/>
      <c r="AB83" s="59"/>
    </row>
    <row r="84">
      <c r="A84" s="84" t="s">
        <v>245</v>
      </c>
      <c r="B84" s="84" t="s">
        <v>246</v>
      </c>
      <c r="C84" s="85">
        <v>1.81070880071E11</v>
      </c>
      <c r="D84" s="86">
        <f t="shared" si="1"/>
        <v>-0.2110755666</v>
      </c>
      <c r="E84" s="87" t="e">
        <v>#N/A</v>
      </c>
      <c r="F84" s="87" t="e">
        <v>#N/A</v>
      </c>
      <c r="G84" s="87">
        <v>21.12</v>
      </c>
      <c r="H84" s="59">
        <v>19.29</v>
      </c>
      <c r="I84" s="87">
        <v>29.34</v>
      </c>
      <c r="J84" s="59">
        <v>27.19</v>
      </c>
      <c r="K84" s="87">
        <v>111.45</v>
      </c>
      <c r="L84" s="87">
        <v>109.94</v>
      </c>
      <c r="M84" s="87">
        <v>310.75</v>
      </c>
      <c r="N84" s="59">
        <v>187.58</v>
      </c>
      <c r="O84" s="88" t="e">
        <v>#N/A</v>
      </c>
      <c r="P84" s="89">
        <v>-0.09486780715396588</v>
      </c>
      <c r="Q84" s="88">
        <v>-0.07907318867230594</v>
      </c>
      <c r="R84" s="88">
        <v>-0.01373476441695475</v>
      </c>
      <c r="S84" s="88">
        <v>-0.6566265060240962</v>
      </c>
      <c r="T84" s="59"/>
      <c r="U84" s="59"/>
      <c r="V84" s="59"/>
      <c r="W84" s="59"/>
      <c r="X84" s="59"/>
      <c r="Y84" s="59"/>
      <c r="Z84" s="59"/>
      <c r="AA84" s="59"/>
      <c r="AB84" s="59"/>
    </row>
    <row r="85">
      <c r="A85" s="84" t="s">
        <v>247</v>
      </c>
      <c r="B85" s="84" t="s">
        <v>248</v>
      </c>
      <c r="C85" s="85">
        <v>4.1007321726E10</v>
      </c>
      <c r="D85" s="86">
        <f t="shared" si="1"/>
        <v>-0.211808626</v>
      </c>
      <c r="E85" s="87">
        <v>9.03</v>
      </c>
      <c r="F85" s="87">
        <v>10.19</v>
      </c>
      <c r="G85" s="87">
        <v>20.78</v>
      </c>
      <c r="H85" s="59">
        <v>17.91</v>
      </c>
      <c r="I85" s="87">
        <v>53.57</v>
      </c>
      <c r="J85" s="59">
        <v>48.76</v>
      </c>
      <c r="K85" s="87">
        <v>61.95</v>
      </c>
      <c r="L85" s="87">
        <v>59.07</v>
      </c>
      <c r="M85" s="87">
        <v>259.23</v>
      </c>
      <c r="N85" s="59">
        <v>138.98</v>
      </c>
      <c r="O85" s="88">
        <v>0.1138370951913641</v>
      </c>
      <c r="P85" s="89">
        <v>-0.16024567280848692</v>
      </c>
      <c r="Q85" s="88">
        <v>-0.09864643150123056</v>
      </c>
      <c r="R85" s="88">
        <v>-0.04875571356018288</v>
      </c>
      <c r="S85" s="88">
        <v>-0.8652324075406536</v>
      </c>
      <c r="T85" s="59"/>
      <c r="U85" s="59"/>
      <c r="V85" s="59"/>
      <c r="W85" s="59"/>
      <c r="X85" s="59"/>
      <c r="Y85" s="59"/>
      <c r="Z85" s="59"/>
      <c r="AA85" s="59"/>
      <c r="AB85" s="59"/>
    </row>
    <row r="86">
      <c r="A86" s="84" t="s">
        <v>249</v>
      </c>
      <c r="B86" s="84" t="s">
        <v>250</v>
      </c>
      <c r="C86" s="85">
        <v>3.3284410147E10</v>
      </c>
      <c r="D86" s="86">
        <f t="shared" si="1"/>
        <v>-0.2130182655</v>
      </c>
      <c r="E86" s="87">
        <v>14.76</v>
      </c>
      <c r="F86" s="87">
        <v>14.32</v>
      </c>
      <c r="G86" s="87">
        <v>14.84</v>
      </c>
      <c r="H86" s="59">
        <v>13.9</v>
      </c>
      <c r="I86" s="87">
        <v>15.59</v>
      </c>
      <c r="J86" s="59">
        <v>15.11</v>
      </c>
      <c r="K86" s="87">
        <v>20.42</v>
      </c>
      <c r="L86" s="87">
        <v>20.07</v>
      </c>
      <c r="M86" s="87">
        <v>53.48</v>
      </c>
      <c r="N86" s="59">
        <v>27.89</v>
      </c>
      <c r="O86" s="88">
        <v>-0.030726256983240188</v>
      </c>
      <c r="P86" s="89">
        <v>-0.0676258992805755</v>
      </c>
      <c r="Q86" s="88">
        <v>-0.03176704169424225</v>
      </c>
      <c r="R86" s="88">
        <v>-0.017438963627304505</v>
      </c>
      <c r="S86" s="88">
        <v>-0.9175331660093222</v>
      </c>
      <c r="T86" s="59"/>
      <c r="U86" s="59"/>
      <c r="V86" s="59"/>
      <c r="W86" s="59"/>
      <c r="X86" s="59"/>
      <c r="Y86" s="59"/>
      <c r="Z86" s="59"/>
      <c r="AA86" s="59"/>
      <c r="AB86" s="59"/>
    </row>
    <row r="87">
      <c r="A87" s="84" t="s">
        <v>251</v>
      </c>
      <c r="B87" s="84" t="s">
        <v>252</v>
      </c>
      <c r="C87" s="85">
        <v>1.3280883961E10</v>
      </c>
      <c r="D87" s="86">
        <f t="shared" si="1"/>
        <v>-0.2146254562</v>
      </c>
      <c r="E87" s="87">
        <v>9.2</v>
      </c>
      <c r="F87" s="87">
        <v>8.05</v>
      </c>
      <c r="G87" s="87">
        <v>17.44</v>
      </c>
      <c r="H87" s="59">
        <v>15.01</v>
      </c>
      <c r="I87" s="87">
        <v>20.68</v>
      </c>
      <c r="J87" s="59">
        <v>19.39</v>
      </c>
      <c r="K87" s="87">
        <v>79.07</v>
      </c>
      <c r="L87" s="87">
        <v>80.51</v>
      </c>
      <c r="M87" s="87">
        <v>116.77</v>
      </c>
      <c r="N87" s="59">
        <v>67.9</v>
      </c>
      <c r="O87" s="88">
        <v>-0.14285714285714265</v>
      </c>
      <c r="P87" s="89">
        <v>-0.1618920719520321</v>
      </c>
      <c r="Q87" s="88">
        <v>-0.06652913873130475</v>
      </c>
      <c r="R87" s="88">
        <v>0.017885976897279988</v>
      </c>
      <c r="S87" s="88">
        <v>-0.7197349042709865</v>
      </c>
      <c r="T87" s="59"/>
      <c r="U87" s="59"/>
      <c r="V87" s="59"/>
      <c r="W87" s="59"/>
      <c r="X87" s="59"/>
      <c r="Y87" s="59"/>
      <c r="Z87" s="59"/>
      <c r="AA87" s="59"/>
      <c r="AB87" s="59"/>
    </row>
    <row r="88">
      <c r="A88" s="84" t="s">
        <v>253</v>
      </c>
      <c r="B88" s="84" t="s">
        <v>180</v>
      </c>
      <c r="C88" s="85">
        <v>1.09484837E12</v>
      </c>
      <c r="D88" s="86">
        <f t="shared" si="1"/>
        <v>-0.2199991041</v>
      </c>
      <c r="E88" s="87" t="e">
        <v>#N/A</v>
      </c>
      <c r="F88" s="87" t="e">
        <v>#N/A</v>
      </c>
      <c r="G88" s="87" t="e">
        <v>#N/A</v>
      </c>
      <c r="H88" s="59" t="e">
        <v>#N/A</v>
      </c>
      <c r="I88" s="87" t="e">
        <v>#N/A</v>
      </c>
      <c r="J88" s="59" t="e">
        <v>#N/A</v>
      </c>
      <c r="K88" s="87">
        <v>30.62</v>
      </c>
      <c r="L88" s="87">
        <v>29.48</v>
      </c>
      <c r="M88" s="87">
        <v>75.98</v>
      </c>
      <c r="N88" s="59">
        <v>54.22</v>
      </c>
      <c r="O88" s="88" t="e">
        <v>#N/A</v>
      </c>
      <c r="P88" s="89" t="e">
        <v>#N/A</v>
      </c>
      <c r="Q88" s="88" t="e">
        <v>#N/A</v>
      </c>
      <c r="R88" s="88">
        <v>-0.038670284938941674</v>
      </c>
      <c r="S88" s="88">
        <v>-0.4013279232755442</v>
      </c>
      <c r="T88" s="59"/>
      <c r="U88" s="59"/>
      <c r="V88" s="59"/>
      <c r="W88" s="59"/>
      <c r="X88" s="59"/>
      <c r="Y88" s="59"/>
      <c r="Z88" s="59"/>
      <c r="AA88" s="59"/>
      <c r="AB88" s="59"/>
    </row>
    <row r="89">
      <c r="A89" s="84" t="s">
        <v>254</v>
      </c>
      <c r="B89" s="84" t="s">
        <v>255</v>
      </c>
      <c r="C89" s="85">
        <v>3.7450170256E10</v>
      </c>
      <c r="D89" s="86">
        <f t="shared" si="1"/>
        <v>-0.2478811788</v>
      </c>
      <c r="E89" s="87" t="e">
        <v>#N/A</v>
      </c>
      <c r="F89" s="87" t="e">
        <v>#N/A</v>
      </c>
      <c r="G89" s="87" t="e">
        <v>#N/A</v>
      </c>
      <c r="H89" s="59" t="e">
        <v>#N/A</v>
      </c>
      <c r="I89" s="87">
        <v>14.92</v>
      </c>
      <c r="J89" s="59">
        <v>14.03</v>
      </c>
      <c r="K89" s="87">
        <v>80.33</v>
      </c>
      <c r="L89" s="87">
        <v>79.26</v>
      </c>
      <c r="M89" s="87">
        <v>133.87</v>
      </c>
      <c r="N89" s="59">
        <v>80.32</v>
      </c>
      <c r="O89" s="88" t="e">
        <v>#N/A</v>
      </c>
      <c r="P89" s="89" t="e">
        <v>#N/A</v>
      </c>
      <c r="Q89" s="88">
        <v>-0.0634354953670706</v>
      </c>
      <c r="R89" s="88">
        <v>-0.013499873832954746</v>
      </c>
      <c r="S89" s="88">
        <v>-0.6667081673306775</v>
      </c>
      <c r="T89" s="59"/>
      <c r="U89" s="59"/>
      <c r="V89" s="59"/>
      <c r="W89" s="59"/>
      <c r="X89" s="59"/>
      <c r="Y89" s="59"/>
      <c r="Z89" s="59"/>
      <c r="AA89" s="59"/>
      <c r="AB89" s="59"/>
    </row>
    <row r="90">
      <c r="A90" s="84" t="s">
        <v>256</v>
      </c>
      <c r="B90" s="84" t="s">
        <v>257</v>
      </c>
      <c r="C90" s="85">
        <v>8.601383027E9</v>
      </c>
      <c r="D90" s="86">
        <f t="shared" si="1"/>
        <v>-0.2551514313</v>
      </c>
      <c r="E90" s="87" t="e">
        <v>#N/A</v>
      </c>
      <c r="F90" s="87" t="e">
        <v>#N/A</v>
      </c>
      <c r="G90" s="87" t="e">
        <v>#N/A</v>
      </c>
      <c r="H90" s="59" t="e">
        <v>#N/A</v>
      </c>
      <c r="I90" s="87" t="e">
        <v>#N/A</v>
      </c>
      <c r="J90" s="59" t="e">
        <v>#N/A</v>
      </c>
      <c r="K90" s="87" t="e">
        <v>#N/A</v>
      </c>
      <c r="L90" s="87" t="e">
        <v>#N/A</v>
      </c>
      <c r="M90" s="87">
        <v>90.76</v>
      </c>
      <c r="N90" s="59">
        <v>72.31</v>
      </c>
      <c r="O90" s="88" t="e">
        <v>#N/A</v>
      </c>
      <c r="P90" s="89" t="e">
        <v>#N/A</v>
      </c>
      <c r="Q90" s="88" t="e">
        <v>#N/A</v>
      </c>
      <c r="R90" s="88" t="e">
        <v>#N/A</v>
      </c>
      <c r="S90" s="88">
        <v>-0.2551514313372978</v>
      </c>
      <c r="T90" s="59"/>
      <c r="U90" s="59"/>
      <c r="V90" s="59"/>
      <c r="W90" s="59"/>
      <c r="X90" s="59"/>
      <c r="Y90" s="59"/>
      <c r="Z90" s="59"/>
      <c r="AA90" s="59"/>
      <c r="AB90" s="59"/>
    </row>
    <row r="91">
      <c r="A91" s="84" t="s">
        <v>258</v>
      </c>
      <c r="B91" s="84" t="s">
        <v>259</v>
      </c>
      <c r="C91" s="85">
        <v>2.3657389246E10</v>
      </c>
      <c r="D91" s="86">
        <f t="shared" si="1"/>
        <v>-0.2608318905</v>
      </c>
      <c r="E91" s="87">
        <v>1.26</v>
      </c>
      <c r="F91" s="87">
        <v>0.85</v>
      </c>
      <c r="G91" s="87">
        <v>1.23</v>
      </c>
      <c r="H91" s="59">
        <v>1.01</v>
      </c>
      <c r="I91" s="87">
        <v>1.89</v>
      </c>
      <c r="J91" s="59">
        <v>1.65</v>
      </c>
      <c r="K91" s="87">
        <v>3.72</v>
      </c>
      <c r="L91" s="87">
        <v>3.6</v>
      </c>
      <c r="M91" s="87">
        <v>7.24</v>
      </c>
      <c r="N91" s="59">
        <v>5.08</v>
      </c>
      <c r="O91" s="88">
        <v>-0.48235294117647065</v>
      </c>
      <c r="P91" s="89">
        <v>-0.2178217821782178</v>
      </c>
      <c r="Q91" s="88">
        <v>-0.14545454545454545</v>
      </c>
      <c r="R91" s="88">
        <v>-0.03333333333333336</v>
      </c>
      <c r="S91" s="88">
        <v>-0.4251968503937008</v>
      </c>
      <c r="T91" s="59"/>
      <c r="U91" s="59"/>
      <c r="V91" s="59"/>
      <c r="W91" s="59"/>
      <c r="X91" s="59"/>
      <c r="Y91" s="59"/>
      <c r="Z91" s="59"/>
      <c r="AA91" s="59"/>
      <c r="AB91" s="59"/>
    </row>
    <row r="92">
      <c r="A92" s="84" t="s">
        <v>260</v>
      </c>
      <c r="B92" s="84" t="s">
        <v>261</v>
      </c>
      <c r="C92" s="85">
        <v>2.38188617385E11</v>
      </c>
      <c r="D92" s="86">
        <f t="shared" si="1"/>
        <v>-0.2700201033</v>
      </c>
      <c r="E92" s="87" t="e">
        <v>#N/A</v>
      </c>
      <c r="F92" s="87" t="e">
        <v>#N/A</v>
      </c>
      <c r="G92" s="87" t="e">
        <v>#N/A</v>
      </c>
      <c r="H92" s="59" t="e">
        <v>#N/A</v>
      </c>
      <c r="I92" s="87" t="e">
        <v>#N/A</v>
      </c>
      <c r="J92" s="59" t="e">
        <v>#N/A</v>
      </c>
      <c r="K92" s="87">
        <v>86.06</v>
      </c>
      <c r="L92" s="87">
        <v>82.09</v>
      </c>
      <c r="M92" s="87">
        <v>217.8</v>
      </c>
      <c r="N92" s="59">
        <v>146.01</v>
      </c>
      <c r="O92" s="88" t="e">
        <v>#N/A</v>
      </c>
      <c r="P92" s="89" t="e">
        <v>#N/A</v>
      </c>
      <c r="Q92" s="88" t="e">
        <v>#N/A</v>
      </c>
      <c r="R92" s="88">
        <v>-0.04836155439152148</v>
      </c>
      <c r="S92" s="88">
        <v>-0.49167865214711337</v>
      </c>
      <c r="T92" s="59"/>
      <c r="U92" s="59"/>
      <c r="V92" s="59"/>
      <c r="W92" s="59"/>
      <c r="X92" s="59"/>
      <c r="Y92" s="59"/>
      <c r="Z92" s="59"/>
      <c r="AA92" s="59"/>
      <c r="AB92" s="59"/>
    </row>
    <row r="93">
      <c r="A93" s="84" t="s">
        <v>262</v>
      </c>
      <c r="B93" s="84" t="s">
        <v>263</v>
      </c>
      <c r="C93" s="85">
        <v>4.4946244453E10</v>
      </c>
      <c r="D93" s="86">
        <f t="shared" si="1"/>
        <v>-0.2762710459</v>
      </c>
      <c r="E93" s="87" t="e">
        <v>#N/A</v>
      </c>
      <c r="F93" s="87" t="e">
        <v>#N/A</v>
      </c>
      <c r="G93" s="87" t="e">
        <v>#N/A</v>
      </c>
      <c r="H93" s="59" t="e">
        <v>#N/A</v>
      </c>
      <c r="I93" s="87" t="e">
        <v>#N/A</v>
      </c>
      <c r="J93" s="59" t="e">
        <v>#N/A</v>
      </c>
      <c r="K93" s="87" t="e">
        <v>#N/A</v>
      </c>
      <c r="L93" s="87" t="e">
        <v>#N/A</v>
      </c>
      <c r="M93" s="87">
        <v>153.88</v>
      </c>
      <c r="N93" s="59">
        <v>120.57</v>
      </c>
      <c r="O93" s="88" t="e">
        <v>#N/A</v>
      </c>
      <c r="P93" s="89" t="e">
        <v>#N/A</v>
      </c>
      <c r="Q93" s="88" t="e">
        <v>#N/A</v>
      </c>
      <c r="R93" s="88" t="e">
        <v>#N/A</v>
      </c>
      <c r="S93" s="88">
        <v>-0.27627104586547235</v>
      </c>
      <c r="T93" s="59"/>
      <c r="U93" s="59"/>
      <c r="V93" s="59"/>
      <c r="W93" s="59"/>
      <c r="X93" s="59"/>
      <c r="Y93" s="59"/>
      <c r="Z93" s="59"/>
      <c r="AA93" s="59"/>
      <c r="AB93" s="59"/>
    </row>
    <row r="94">
      <c r="A94" s="84" t="s">
        <v>264</v>
      </c>
      <c r="B94" s="84" t="s">
        <v>265</v>
      </c>
      <c r="C94" s="85">
        <v>6.78744994802E11</v>
      </c>
      <c r="D94" s="86">
        <f t="shared" si="1"/>
        <v>-0.3361158422</v>
      </c>
      <c r="E94" s="87" t="e">
        <v>#N/A</v>
      </c>
      <c r="F94" s="87" t="e">
        <v>#N/A</v>
      </c>
      <c r="G94" s="87" t="e">
        <v>#N/A</v>
      </c>
      <c r="H94" s="59" t="e">
        <v>#N/A</v>
      </c>
      <c r="I94" s="87">
        <v>1.62</v>
      </c>
      <c r="J94" s="59">
        <v>1.58</v>
      </c>
      <c r="K94" s="87">
        <v>15.38</v>
      </c>
      <c r="L94" s="87">
        <v>14.59</v>
      </c>
      <c r="M94" s="87">
        <v>57.23</v>
      </c>
      <c r="N94" s="59">
        <v>29.67</v>
      </c>
      <c r="O94" s="88" t="e">
        <v>#N/A</v>
      </c>
      <c r="P94" s="89" t="e">
        <v>#N/A</v>
      </c>
      <c r="Q94" s="88">
        <v>-0.025316455696202552</v>
      </c>
      <c r="R94" s="88">
        <v>-0.05414667580534619</v>
      </c>
      <c r="S94" s="88">
        <v>-0.9288843950117962</v>
      </c>
      <c r="T94" s="59"/>
      <c r="U94" s="59"/>
      <c r="V94" s="59"/>
      <c r="W94" s="59"/>
      <c r="X94" s="59"/>
      <c r="Y94" s="59"/>
      <c r="Z94" s="59"/>
      <c r="AA94" s="59"/>
      <c r="AB94" s="59"/>
    </row>
    <row r="95">
      <c r="A95" s="84" t="s">
        <v>266</v>
      </c>
      <c r="B95" s="84" t="s">
        <v>267</v>
      </c>
      <c r="C95" s="85">
        <v>3.6128E10</v>
      </c>
      <c r="D95" s="86">
        <f t="shared" si="1"/>
        <v>-0.347463838</v>
      </c>
      <c r="E95" s="87" t="e">
        <v>#N/A</v>
      </c>
      <c r="F95" s="87" t="e">
        <v>#N/A</v>
      </c>
      <c r="G95" s="87" t="e">
        <v>#N/A</v>
      </c>
      <c r="H95" s="59" t="e">
        <v>#N/A</v>
      </c>
      <c r="I95" s="87" t="e">
        <v>#N/A</v>
      </c>
      <c r="J95" s="59" t="e">
        <v>#N/A</v>
      </c>
      <c r="K95" s="87">
        <v>71.84</v>
      </c>
      <c r="L95" s="87">
        <v>69.34</v>
      </c>
      <c r="M95" s="87">
        <v>199.38</v>
      </c>
      <c r="N95" s="59">
        <v>120.19</v>
      </c>
      <c r="O95" s="88" t="e">
        <v>#N/A</v>
      </c>
      <c r="P95" s="89" t="e">
        <v>#N/A</v>
      </c>
      <c r="Q95" s="88" t="e">
        <v>#N/A</v>
      </c>
      <c r="R95" s="88">
        <v>-0.03605422555523507</v>
      </c>
      <c r="S95" s="88">
        <v>-0.6588734503702471</v>
      </c>
      <c r="T95" s="59"/>
      <c r="U95" s="59"/>
      <c r="V95" s="59"/>
      <c r="W95" s="59"/>
      <c r="X95" s="59"/>
      <c r="Y95" s="59"/>
      <c r="Z95" s="59"/>
      <c r="AA95" s="59"/>
      <c r="AB95" s="59"/>
    </row>
    <row r="96">
      <c r="A96" s="84" t="s">
        <v>268</v>
      </c>
      <c r="B96" s="84" t="s">
        <v>269</v>
      </c>
      <c r="C96" s="85">
        <v>4.4947898238E10</v>
      </c>
      <c r="D96" s="86">
        <f t="shared" si="1"/>
        <v>-0.4213347043</v>
      </c>
      <c r="E96" s="87" t="e">
        <v>#N/A</v>
      </c>
      <c r="F96" s="87" t="e">
        <v>#N/A</v>
      </c>
      <c r="G96" s="87" t="e">
        <v>#N/A</v>
      </c>
      <c r="H96" s="59" t="e">
        <v>#N/A</v>
      </c>
      <c r="I96" s="87" t="e">
        <v>#N/A</v>
      </c>
      <c r="J96" s="59" t="e">
        <v>#N/A</v>
      </c>
      <c r="K96" s="87">
        <v>53.0</v>
      </c>
      <c r="L96" s="87">
        <v>51.67</v>
      </c>
      <c r="M96" s="87">
        <v>83.07</v>
      </c>
      <c r="N96" s="59">
        <v>45.72</v>
      </c>
      <c r="O96" s="88" t="e">
        <v>#N/A</v>
      </c>
      <c r="P96" s="89" t="e">
        <v>#N/A</v>
      </c>
      <c r="Q96" s="88" t="e">
        <v>#N/A</v>
      </c>
      <c r="R96" s="88">
        <v>-0.025740274820979257</v>
      </c>
      <c r="S96" s="88">
        <v>-0.8169291338582676</v>
      </c>
      <c r="T96" s="59"/>
      <c r="U96" s="59"/>
      <c r="V96" s="59"/>
      <c r="W96" s="59"/>
      <c r="X96" s="59"/>
      <c r="Y96" s="59"/>
      <c r="Z96" s="59"/>
      <c r="AA96" s="59"/>
      <c r="AB96" s="59"/>
    </row>
    <row r="97">
      <c r="A97" s="84" t="s">
        <v>270</v>
      </c>
      <c r="B97" s="84" t="s">
        <v>271</v>
      </c>
      <c r="C97" s="85">
        <v>1.22716475E10</v>
      </c>
      <c r="D97" s="86">
        <f t="shared" si="1"/>
        <v>-0.4240201684</v>
      </c>
      <c r="E97" s="87" t="e">
        <v>#N/A</v>
      </c>
      <c r="F97" s="87" t="e">
        <v>#N/A</v>
      </c>
      <c r="G97" s="87" t="e">
        <v>#N/A</v>
      </c>
      <c r="H97" s="59" t="e">
        <v>#N/A</v>
      </c>
      <c r="I97" s="87" t="e">
        <v>#N/A</v>
      </c>
      <c r="J97" s="59" t="e">
        <v>#N/A</v>
      </c>
      <c r="K97" s="87">
        <v>62.13</v>
      </c>
      <c r="L97" s="87">
        <v>59.64</v>
      </c>
      <c r="M97" s="87">
        <v>172.88</v>
      </c>
      <c r="N97" s="59">
        <v>95.71</v>
      </c>
      <c r="O97" s="88" t="e">
        <v>#N/A</v>
      </c>
      <c r="P97" s="89" t="e">
        <v>#N/A</v>
      </c>
      <c r="Q97" s="88" t="e">
        <v>#N/A</v>
      </c>
      <c r="R97" s="88">
        <v>-0.04175050301810868</v>
      </c>
      <c r="S97" s="88">
        <v>-0.8062898338731586</v>
      </c>
      <c r="T97" s="59"/>
      <c r="U97" s="59"/>
      <c r="V97" s="59"/>
      <c r="W97" s="59"/>
      <c r="X97" s="59"/>
      <c r="Y97" s="59"/>
      <c r="Z97" s="59"/>
      <c r="AA97" s="59"/>
      <c r="AB97" s="59"/>
    </row>
    <row r="98">
      <c r="A98" s="84" t="s">
        <v>272</v>
      </c>
      <c r="B98" s="84" t="s">
        <v>273</v>
      </c>
      <c r="C98" s="85">
        <v>7.915044092E9</v>
      </c>
      <c r="D98" s="86">
        <f t="shared" si="1"/>
        <v>-0.4352622814</v>
      </c>
      <c r="E98" s="87" t="e">
        <v>#N/A</v>
      </c>
      <c r="F98" s="87" t="e">
        <v>#N/A</v>
      </c>
      <c r="G98" s="87" t="e">
        <v>#N/A</v>
      </c>
      <c r="H98" s="59" t="e">
        <v>#N/A</v>
      </c>
      <c r="I98" s="87" t="e">
        <v>#N/A</v>
      </c>
      <c r="J98" s="59" t="e">
        <v>#N/A</v>
      </c>
      <c r="K98" s="87" t="e">
        <v>#N/A</v>
      </c>
      <c r="L98" s="87" t="e">
        <v>#N/A</v>
      </c>
      <c r="M98" s="87">
        <v>137.9</v>
      </c>
      <c r="N98" s="59">
        <v>96.08</v>
      </c>
      <c r="O98" s="88" t="e">
        <v>#N/A</v>
      </c>
      <c r="P98" s="89" t="e">
        <v>#N/A</v>
      </c>
      <c r="Q98" s="88" t="e">
        <v>#N/A</v>
      </c>
      <c r="R98" s="88" t="e">
        <v>#N/A</v>
      </c>
      <c r="S98" s="88">
        <v>-0.43526228143213996</v>
      </c>
      <c r="T98" s="59"/>
      <c r="U98" s="59"/>
      <c r="V98" s="59"/>
      <c r="W98" s="59"/>
      <c r="X98" s="59"/>
      <c r="Y98" s="59"/>
      <c r="Z98" s="59"/>
      <c r="AA98" s="59"/>
      <c r="AB98" s="59"/>
    </row>
    <row r="99">
      <c r="A99" s="84" t="s">
        <v>274</v>
      </c>
      <c r="B99" s="84" t="s">
        <v>275</v>
      </c>
      <c r="C99" s="85">
        <v>1.8984538598E10</v>
      </c>
      <c r="D99" s="86">
        <f t="shared" si="1"/>
        <v>-0.5270205643</v>
      </c>
      <c r="E99" s="87" t="e">
        <v>#N/A</v>
      </c>
      <c r="F99" s="87" t="e">
        <v>#N/A</v>
      </c>
      <c r="G99" s="87" t="e">
        <v>#N/A</v>
      </c>
      <c r="H99" s="59" t="e">
        <v>#N/A</v>
      </c>
      <c r="I99" s="87" t="e">
        <v>#N/A</v>
      </c>
      <c r="J99" s="59" t="e">
        <v>#N/A</v>
      </c>
      <c r="K99" s="87" t="e">
        <v>#N/A</v>
      </c>
      <c r="L99" s="87" t="e">
        <v>#N/A</v>
      </c>
      <c r="M99" s="87">
        <v>63.86</v>
      </c>
      <c r="N99" s="59">
        <v>41.82</v>
      </c>
      <c r="O99" s="88" t="e">
        <v>#N/A</v>
      </c>
      <c r="P99" s="89" t="e">
        <v>#N/A</v>
      </c>
      <c r="Q99" s="88" t="e">
        <v>#N/A</v>
      </c>
      <c r="R99" s="88" t="e">
        <v>#N/A</v>
      </c>
      <c r="S99" s="88">
        <v>-0.5270205643232903</v>
      </c>
      <c r="T99" s="59"/>
      <c r="U99" s="59"/>
      <c r="V99" s="59"/>
      <c r="W99" s="59"/>
      <c r="X99" s="59"/>
      <c r="Y99" s="59"/>
      <c r="Z99" s="59"/>
      <c r="AA99" s="59"/>
      <c r="AB99" s="59"/>
    </row>
    <row r="100">
      <c r="A100" s="84" t="s">
        <v>276</v>
      </c>
      <c r="B100" s="84" t="s">
        <v>277</v>
      </c>
      <c r="C100" s="85">
        <v>2.4054618897E10</v>
      </c>
      <c r="D100" s="86">
        <f t="shared" si="1"/>
        <v>-0.6256906077</v>
      </c>
      <c r="E100" s="87" t="e">
        <v>#N/A</v>
      </c>
      <c r="F100" s="87" t="e">
        <v>#N/A</v>
      </c>
      <c r="G100" s="87" t="e">
        <v>#N/A</v>
      </c>
      <c r="H100" s="59" t="e">
        <v>#N/A</v>
      </c>
      <c r="I100" s="87" t="e">
        <v>#N/A</v>
      </c>
      <c r="J100" s="59" t="e">
        <v>#N/A</v>
      </c>
      <c r="K100" s="87" t="e">
        <v>#N/A</v>
      </c>
      <c r="L100" s="87" t="e">
        <v>#N/A</v>
      </c>
      <c r="M100" s="87">
        <v>47.08</v>
      </c>
      <c r="N100" s="59">
        <v>28.96</v>
      </c>
      <c r="O100" s="88" t="e">
        <v>#N/A</v>
      </c>
      <c r="P100" s="89" t="e">
        <v>#N/A</v>
      </c>
      <c r="Q100" s="88" t="e">
        <v>#N/A</v>
      </c>
      <c r="R100" s="88" t="e">
        <v>#N/A</v>
      </c>
      <c r="S100" s="88">
        <v>-0.6256906077348066</v>
      </c>
      <c r="T100" s="59"/>
      <c r="U100" s="59"/>
      <c r="V100" s="59"/>
      <c r="W100" s="59"/>
      <c r="X100" s="59"/>
      <c r="Y100" s="59"/>
      <c r="Z100" s="59"/>
      <c r="AA100" s="59"/>
      <c r="AB100" s="59"/>
    </row>
    <row r="101">
      <c r="A101" s="84" t="s">
        <v>278</v>
      </c>
      <c r="B101" s="84" t="s">
        <v>279</v>
      </c>
      <c r="C101" s="85">
        <v>3.368730885E10</v>
      </c>
      <c r="D101" s="86">
        <f t="shared" si="1"/>
        <v>-1.000605877</v>
      </c>
      <c r="E101" s="87" t="e">
        <v>#N/A</v>
      </c>
      <c r="F101" s="87" t="e">
        <v>#N/A</v>
      </c>
      <c r="G101" s="87" t="e">
        <v>#N/A</v>
      </c>
      <c r="H101" s="59" t="e">
        <v>#N/A</v>
      </c>
      <c r="I101" s="87" t="e">
        <v>#N/A</v>
      </c>
      <c r="J101" s="59" t="e">
        <v>#N/A</v>
      </c>
      <c r="K101" s="87" t="e">
        <v>#N/A</v>
      </c>
      <c r="L101" s="87" t="e">
        <v>#N/A</v>
      </c>
      <c r="M101" s="87">
        <v>66.04</v>
      </c>
      <c r="N101" s="59">
        <v>33.01</v>
      </c>
      <c r="O101" s="88" t="e">
        <v>#N/A</v>
      </c>
      <c r="P101" s="89" t="e">
        <v>#N/A</v>
      </c>
      <c r="Q101" s="88" t="e">
        <v>#N/A</v>
      </c>
      <c r="R101" s="88" t="e">
        <v>#N/A</v>
      </c>
      <c r="S101" s="88">
        <v>-1.000605877006968</v>
      </c>
      <c r="T101" s="59"/>
      <c r="U101" s="59"/>
      <c r="V101" s="59"/>
      <c r="W101" s="59"/>
      <c r="X101" s="59"/>
      <c r="Y101" s="59"/>
      <c r="Z101" s="59"/>
      <c r="AA101" s="59"/>
      <c r="AB101" s="59"/>
    </row>
    <row r="102">
      <c r="A102" s="59"/>
      <c r="B102" s="59"/>
      <c r="C102" s="7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88"/>
      <c r="P102" s="90"/>
      <c r="Q102" s="88"/>
      <c r="R102" s="88"/>
      <c r="S102" s="88"/>
      <c r="T102" s="59"/>
      <c r="U102" s="59"/>
      <c r="V102" s="59"/>
      <c r="W102" s="59"/>
      <c r="X102" s="59"/>
      <c r="Y102" s="59"/>
      <c r="Z102" s="59"/>
      <c r="AA102" s="59"/>
      <c r="AB102" s="59"/>
    </row>
    <row r="103">
      <c r="A103" s="59"/>
      <c r="B103" s="59"/>
      <c r="C103" s="7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88"/>
      <c r="P103" s="90"/>
      <c r="Q103" s="88"/>
      <c r="R103" s="88"/>
      <c r="S103" s="88"/>
      <c r="T103" s="59"/>
      <c r="U103" s="59"/>
      <c r="V103" s="59"/>
      <c r="W103" s="59"/>
      <c r="X103" s="59"/>
      <c r="Y103" s="59"/>
      <c r="Z103" s="59"/>
      <c r="AA103" s="59"/>
      <c r="AB103" s="59"/>
    </row>
    <row r="104">
      <c r="A104" s="59"/>
      <c r="B104" s="59"/>
      <c r="C104" s="7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88"/>
      <c r="P104" s="90"/>
      <c r="Q104" s="88"/>
      <c r="R104" s="88"/>
      <c r="S104" s="88"/>
      <c r="T104" s="59"/>
      <c r="U104" s="59"/>
      <c r="V104" s="59"/>
      <c r="W104" s="59"/>
      <c r="X104" s="59"/>
      <c r="Y104" s="59"/>
      <c r="Z104" s="59"/>
      <c r="AA104" s="59"/>
      <c r="AB104" s="59"/>
    </row>
    <row r="105">
      <c r="A105" s="59"/>
      <c r="B105" s="59"/>
      <c r="C105" s="7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88"/>
      <c r="P105" s="90"/>
      <c r="Q105" s="88"/>
      <c r="R105" s="88"/>
      <c r="S105" s="88"/>
      <c r="T105" s="59"/>
      <c r="U105" s="59"/>
      <c r="V105" s="59"/>
      <c r="W105" s="59"/>
      <c r="X105" s="59"/>
      <c r="Y105" s="59"/>
      <c r="Z105" s="59"/>
      <c r="AA105" s="59"/>
      <c r="AB105" s="59"/>
    </row>
    <row r="106">
      <c r="A106" s="59"/>
      <c r="B106" s="59"/>
      <c r="C106" s="7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88"/>
      <c r="P106" s="90"/>
      <c r="Q106" s="88"/>
      <c r="R106" s="88"/>
      <c r="S106" s="88"/>
      <c r="T106" s="59"/>
      <c r="U106" s="59"/>
      <c r="V106" s="59"/>
      <c r="W106" s="59"/>
      <c r="X106" s="59"/>
      <c r="Y106" s="59"/>
      <c r="Z106" s="59"/>
      <c r="AA106" s="59"/>
      <c r="AB106" s="59"/>
    </row>
    <row r="107">
      <c r="A107" s="59"/>
      <c r="B107" s="59"/>
      <c r="C107" s="7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88"/>
      <c r="P107" s="90"/>
      <c r="Q107" s="88"/>
      <c r="R107" s="88"/>
      <c r="S107" s="88"/>
      <c r="T107" s="59"/>
      <c r="U107" s="59"/>
      <c r="V107" s="59"/>
      <c r="W107" s="59"/>
      <c r="X107" s="59"/>
      <c r="Y107" s="59"/>
      <c r="Z107" s="59"/>
      <c r="AA107" s="59"/>
      <c r="AB107" s="59"/>
    </row>
    <row r="108">
      <c r="A108" s="59"/>
      <c r="B108" s="59"/>
      <c r="C108" s="7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88"/>
      <c r="P108" s="90"/>
      <c r="Q108" s="88"/>
      <c r="R108" s="88"/>
      <c r="S108" s="88"/>
      <c r="T108" s="59"/>
      <c r="U108" s="59"/>
      <c r="V108" s="59"/>
      <c r="W108" s="59"/>
      <c r="X108" s="59"/>
      <c r="Y108" s="59"/>
      <c r="Z108" s="59"/>
      <c r="AA108" s="59"/>
      <c r="AB108" s="59"/>
    </row>
    <row r="109">
      <c r="A109" s="59"/>
      <c r="B109" s="59"/>
      <c r="C109" s="7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88"/>
      <c r="P109" s="90"/>
      <c r="Q109" s="88"/>
      <c r="R109" s="88"/>
      <c r="S109" s="88"/>
      <c r="T109" s="59"/>
      <c r="U109" s="59"/>
      <c r="V109" s="59"/>
      <c r="W109" s="59"/>
      <c r="X109" s="59"/>
      <c r="Y109" s="59"/>
      <c r="Z109" s="59"/>
      <c r="AA109" s="59"/>
      <c r="AB109" s="59"/>
    </row>
    <row r="110">
      <c r="A110" s="59"/>
      <c r="B110" s="59"/>
      <c r="C110" s="7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88"/>
      <c r="P110" s="90"/>
      <c r="Q110" s="88"/>
      <c r="R110" s="88"/>
      <c r="S110" s="88"/>
      <c r="T110" s="59"/>
      <c r="U110" s="59"/>
      <c r="V110" s="59"/>
      <c r="W110" s="59"/>
      <c r="X110" s="59"/>
      <c r="Y110" s="59"/>
      <c r="Z110" s="59"/>
      <c r="AA110" s="59"/>
      <c r="AB110" s="59"/>
    </row>
    <row r="111">
      <c r="A111" s="59"/>
      <c r="B111" s="59"/>
      <c r="C111" s="7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88"/>
      <c r="P111" s="90"/>
      <c r="Q111" s="88"/>
      <c r="R111" s="88"/>
      <c r="S111" s="88"/>
      <c r="T111" s="59"/>
      <c r="U111" s="59"/>
      <c r="V111" s="59"/>
      <c r="W111" s="59"/>
      <c r="X111" s="59"/>
      <c r="Y111" s="59"/>
      <c r="Z111" s="59"/>
      <c r="AA111" s="59"/>
      <c r="AB111" s="59"/>
    </row>
    <row r="112">
      <c r="A112" s="59"/>
      <c r="B112" s="59"/>
      <c r="C112" s="7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88"/>
      <c r="P112" s="90"/>
      <c r="Q112" s="88"/>
      <c r="R112" s="88"/>
      <c r="S112" s="88"/>
      <c r="T112" s="59"/>
      <c r="U112" s="59"/>
      <c r="V112" s="59"/>
      <c r="W112" s="59"/>
      <c r="X112" s="59"/>
      <c r="Y112" s="59"/>
      <c r="Z112" s="59"/>
      <c r="AA112" s="59"/>
      <c r="AB112" s="59"/>
    </row>
    <row r="113">
      <c r="A113" s="59"/>
      <c r="B113" s="59"/>
      <c r="C113" s="7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88"/>
      <c r="P113" s="90"/>
      <c r="Q113" s="88"/>
      <c r="R113" s="88"/>
      <c r="S113" s="88"/>
      <c r="T113" s="59"/>
      <c r="U113" s="59"/>
      <c r="V113" s="59"/>
      <c r="W113" s="59"/>
      <c r="X113" s="59"/>
      <c r="Y113" s="59"/>
      <c r="Z113" s="59"/>
      <c r="AA113" s="59"/>
      <c r="AB113" s="59"/>
    </row>
    <row r="114">
      <c r="A114" s="59"/>
      <c r="B114" s="59"/>
      <c r="C114" s="7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88"/>
      <c r="P114" s="90"/>
      <c r="Q114" s="88"/>
      <c r="R114" s="88"/>
      <c r="S114" s="88"/>
      <c r="T114" s="59"/>
      <c r="U114" s="59"/>
      <c r="V114" s="59"/>
      <c r="W114" s="59"/>
      <c r="X114" s="59"/>
      <c r="Y114" s="59"/>
      <c r="Z114" s="59"/>
      <c r="AA114" s="59"/>
      <c r="AB114" s="59"/>
    </row>
    <row r="115">
      <c r="A115" s="59"/>
      <c r="B115" s="59"/>
      <c r="C115" s="7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88"/>
      <c r="P115" s="90"/>
      <c r="Q115" s="88"/>
      <c r="R115" s="88"/>
      <c r="S115" s="88"/>
      <c r="T115" s="59"/>
      <c r="U115" s="59"/>
      <c r="V115" s="59"/>
      <c r="W115" s="59"/>
      <c r="X115" s="59"/>
      <c r="Y115" s="59"/>
      <c r="Z115" s="59"/>
      <c r="AA115" s="59"/>
      <c r="AB115" s="59"/>
    </row>
    <row r="116">
      <c r="A116" s="59"/>
      <c r="B116" s="59"/>
      <c r="C116" s="7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88"/>
      <c r="P116" s="90"/>
      <c r="Q116" s="88"/>
      <c r="R116" s="88"/>
      <c r="S116" s="88"/>
      <c r="T116" s="59"/>
      <c r="U116" s="59"/>
      <c r="V116" s="59"/>
      <c r="W116" s="59"/>
      <c r="X116" s="59"/>
      <c r="Y116" s="59"/>
      <c r="Z116" s="59"/>
      <c r="AA116" s="59"/>
      <c r="AB116" s="59"/>
    </row>
    <row r="117">
      <c r="A117" s="59"/>
      <c r="B117" s="59"/>
      <c r="C117" s="7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88"/>
      <c r="P117" s="90"/>
      <c r="Q117" s="88"/>
      <c r="R117" s="88"/>
      <c r="S117" s="88"/>
      <c r="T117" s="59"/>
      <c r="U117" s="59"/>
      <c r="V117" s="59"/>
      <c r="W117" s="59"/>
      <c r="X117" s="59"/>
      <c r="Y117" s="59"/>
      <c r="Z117" s="59"/>
      <c r="AA117" s="59"/>
      <c r="AB117" s="59"/>
    </row>
    <row r="118">
      <c r="A118" s="59"/>
      <c r="B118" s="59"/>
      <c r="C118" s="7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88"/>
      <c r="P118" s="90"/>
      <c r="Q118" s="88"/>
      <c r="R118" s="88"/>
      <c r="S118" s="88"/>
      <c r="T118" s="59"/>
      <c r="U118" s="59"/>
      <c r="V118" s="59"/>
      <c r="W118" s="59"/>
      <c r="X118" s="59"/>
      <c r="Y118" s="59"/>
      <c r="Z118" s="59"/>
      <c r="AA118" s="59"/>
      <c r="AB118" s="59"/>
    </row>
    <row r="119">
      <c r="A119" s="59"/>
      <c r="B119" s="59"/>
      <c r="C119" s="7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88"/>
      <c r="P119" s="90"/>
      <c r="Q119" s="88"/>
      <c r="R119" s="88"/>
      <c r="S119" s="88"/>
      <c r="T119" s="59"/>
      <c r="U119" s="59"/>
      <c r="V119" s="59"/>
      <c r="W119" s="59"/>
      <c r="X119" s="59"/>
      <c r="Y119" s="59"/>
      <c r="Z119" s="59"/>
      <c r="AA119" s="59"/>
      <c r="AB119" s="59"/>
    </row>
    <row r="120">
      <c r="A120" s="59"/>
      <c r="B120" s="59"/>
      <c r="C120" s="7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88"/>
      <c r="P120" s="90"/>
      <c r="Q120" s="88"/>
      <c r="R120" s="88"/>
      <c r="S120" s="88"/>
      <c r="T120" s="59"/>
      <c r="U120" s="59"/>
      <c r="V120" s="59"/>
      <c r="W120" s="59"/>
      <c r="X120" s="59"/>
      <c r="Y120" s="59"/>
      <c r="Z120" s="59"/>
      <c r="AA120" s="59"/>
      <c r="AB120" s="59"/>
    </row>
    <row r="121">
      <c r="A121" s="59"/>
      <c r="B121" s="59"/>
      <c r="C121" s="7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88"/>
      <c r="P121" s="90"/>
      <c r="Q121" s="88"/>
      <c r="R121" s="88"/>
      <c r="S121" s="88"/>
      <c r="T121" s="59"/>
      <c r="U121" s="59"/>
      <c r="V121" s="59"/>
      <c r="W121" s="59"/>
      <c r="X121" s="59"/>
      <c r="Y121" s="59"/>
      <c r="Z121" s="59"/>
      <c r="AA121" s="59"/>
      <c r="AB121" s="59"/>
    </row>
    <row r="122">
      <c r="A122" s="59"/>
      <c r="B122" s="59"/>
      <c r="C122" s="7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88"/>
      <c r="P122" s="90"/>
      <c r="Q122" s="88"/>
      <c r="R122" s="88"/>
      <c r="S122" s="88"/>
      <c r="T122" s="59"/>
      <c r="U122" s="59"/>
      <c r="V122" s="59"/>
      <c r="W122" s="59"/>
      <c r="X122" s="59"/>
      <c r="Y122" s="59"/>
      <c r="Z122" s="59"/>
      <c r="AA122" s="59"/>
      <c r="AB122" s="59"/>
    </row>
    <row r="123">
      <c r="A123" s="59"/>
      <c r="B123" s="59"/>
      <c r="C123" s="7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88"/>
      <c r="P123" s="90"/>
      <c r="Q123" s="88"/>
      <c r="R123" s="88"/>
      <c r="S123" s="88"/>
      <c r="T123" s="59"/>
      <c r="U123" s="59"/>
      <c r="V123" s="59"/>
      <c r="W123" s="59"/>
      <c r="X123" s="59"/>
      <c r="Y123" s="59"/>
      <c r="Z123" s="59"/>
      <c r="AA123" s="59"/>
      <c r="AB123" s="59"/>
    </row>
    <row r="124">
      <c r="A124" s="59"/>
      <c r="B124" s="59"/>
      <c r="C124" s="7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88"/>
      <c r="P124" s="90"/>
      <c r="Q124" s="88"/>
      <c r="R124" s="88"/>
      <c r="S124" s="88"/>
      <c r="T124" s="59"/>
      <c r="U124" s="59"/>
      <c r="V124" s="59"/>
      <c r="W124" s="59"/>
      <c r="X124" s="59"/>
      <c r="Y124" s="59"/>
      <c r="Z124" s="59"/>
      <c r="AA124" s="59"/>
      <c r="AB124" s="59"/>
    </row>
    <row r="125">
      <c r="A125" s="59"/>
      <c r="B125" s="59"/>
      <c r="C125" s="7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88"/>
      <c r="P125" s="90"/>
      <c r="Q125" s="88"/>
      <c r="R125" s="88"/>
      <c r="S125" s="88"/>
      <c r="T125" s="59"/>
      <c r="U125" s="59"/>
      <c r="V125" s="59"/>
      <c r="W125" s="59"/>
      <c r="X125" s="59"/>
      <c r="Y125" s="59"/>
      <c r="Z125" s="59"/>
      <c r="AA125" s="59"/>
      <c r="AB125" s="59"/>
    </row>
    <row r="126">
      <c r="A126" s="59"/>
      <c r="B126" s="59"/>
      <c r="C126" s="7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88"/>
      <c r="P126" s="90"/>
      <c r="Q126" s="88"/>
      <c r="R126" s="88"/>
      <c r="S126" s="88"/>
      <c r="T126" s="59"/>
      <c r="U126" s="59"/>
      <c r="V126" s="59"/>
      <c r="W126" s="59"/>
      <c r="X126" s="59"/>
      <c r="Y126" s="59"/>
      <c r="Z126" s="59"/>
      <c r="AA126" s="59"/>
      <c r="AB126" s="59"/>
    </row>
    <row r="127">
      <c r="A127" s="59"/>
      <c r="B127" s="59"/>
      <c r="C127" s="7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88"/>
      <c r="P127" s="90"/>
      <c r="Q127" s="88"/>
      <c r="R127" s="88"/>
      <c r="S127" s="88"/>
      <c r="T127" s="59"/>
      <c r="U127" s="59"/>
      <c r="V127" s="59"/>
      <c r="W127" s="59"/>
      <c r="X127" s="59"/>
      <c r="Y127" s="59"/>
      <c r="Z127" s="59"/>
      <c r="AA127" s="59"/>
      <c r="AB127" s="59"/>
    </row>
    <row r="128">
      <c r="A128" s="59"/>
      <c r="B128" s="59"/>
      <c r="C128" s="7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88"/>
      <c r="P128" s="90"/>
      <c r="Q128" s="88"/>
      <c r="R128" s="88"/>
      <c r="S128" s="88"/>
      <c r="T128" s="59"/>
      <c r="U128" s="59"/>
      <c r="V128" s="59"/>
      <c r="W128" s="59"/>
      <c r="X128" s="59"/>
      <c r="Y128" s="59"/>
      <c r="Z128" s="59"/>
      <c r="AA128" s="59"/>
      <c r="AB128" s="59"/>
    </row>
    <row r="129">
      <c r="A129" s="59"/>
      <c r="B129" s="59"/>
      <c r="C129" s="7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88"/>
      <c r="P129" s="90"/>
      <c r="Q129" s="88"/>
      <c r="R129" s="88"/>
      <c r="S129" s="88"/>
      <c r="T129" s="59"/>
      <c r="U129" s="59"/>
      <c r="V129" s="59"/>
      <c r="W129" s="59"/>
      <c r="X129" s="59"/>
      <c r="Y129" s="59"/>
      <c r="Z129" s="59"/>
      <c r="AA129" s="59"/>
      <c r="AB129" s="59"/>
    </row>
    <row r="130">
      <c r="A130" s="59"/>
      <c r="B130" s="59"/>
      <c r="C130" s="7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88"/>
      <c r="P130" s="90"/>
      <c r="Q130" s="88"/>
      <c r="R130" s="88"/>
      <c r="S130" s="88"/>
      <c r="T130" s="59"/>
      <c r="U130" s="59"/>
      <c r="V130" s="59"/>
      <c r="W130" s="59"/>
      <c r="X130" s="59"/>
      <c r="Y130" s="59"/>
      <c r="Z130" s="59"/>
      <c r="AA130" s="59"/>
      <c r="AB130" s="59"/>
    </row>
    <row r="131">
      <c r="A131" s="59"/>
      <c r="B131" s="59"/>
      <c r="C131" s="7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88"/>
      <c r="P131" s="90"/>
      <c r="Q131" s="88"/>
      <c r="R131" s="88"/>
      <c r="S131" s="88"/>
      <c r="T131" s="59"/>
      <c r="U131" s="59"/>
      <c r="V131" s="59"/>
      <c r="W131" s="59"/>
      <c r="X131" s="59"/>
      <c r="Y131" s="59"/>
      <c r="Z131" s="59"/>
      <c r="AA131" s="59"/>
      <c r="AB131" s="59"/>
    </row>
    <row r="132">
      <c r="A132" s="59"/>
      <c r="B132" s="59"/>
      <c r="C132" s="7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88"/>
      <c r="P132" s="90"/>
      <c r="Q132" s="88"/>
      <c r="R132" s="88"/>
      <c r="S132" s="88"/>
      <c r="T132" s="59"/>
      <c r="U132" s="59"/>
      <c r="V132" s="59"/>
      <c r="W132" s="59"/>
      <c r="X132" s="59"/>
      <c r="Y132" s="59"/>
      <c r="Z132" s="59"/>
      <c r="AA132" s="59"/>
      <c r="AB132" s="59"/>
    </row>
    <row r="133">
      <c r="A133" s="59"/>
      <c r="B133" s="59"/>
      <c r="C133" s="7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88"/>
      <c r="P133" s="90"/>
      <c r="Q133" s="88"/>
      <c r="R133" s="88"/>
      <c r="S133" s="88"/>
      <c r="T133" s="59"/>
      <c r="U133" s="59"/>
      <c r="V133" s="59"/>
      <c r="W133" s="59"/>
      <c r="X133" s="59"/>
      <c r="Y133" s="59"/>
      <c r="Z133" s="59"/>
      <c r="AA133" s="59"/>
      <c r="AB133" s="59"/>
    </row>
    <row r="134">
      <c r="A134" s="59"/>
      <c r="B134" s="59"/>
      <c r="C134" s="7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88"/>
      <c r="P134" s="90"/>
      <c r="Q134" s="88"/>
      <c r="R134" s="88"/>
      <c r="S134" s="88"/>
      <c r="T134" s="59"/>
      <c r="U134" s="59"/>
      <c r="V134" s="59"/>
      <c r="W134" s="59"/>
      <c r="X134" s="59"/>
      <c r="Y134" s="59"/>
      <c r="Z134" s="59"/>
      <c r="AA134" s="59"/>
      <c r="AB134" s="59"/>
    </row>
    <row r="135">
      <c r="A135" s="59"/>
      <c r="B135" s="59"/>
      <c r="C135" s="7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88"/>
      <c r="P135" s="90"/>
      <c r="Q135" s="88"/>
      <c r="R135" s="88"/>
      <c r="S135" s="88"/>
      <c r="T135" s="59"/>
      <c r="U135" s="59"/>
      <c r="V135" s="59"/>
      <c r="W135" s="59"/>
      <c r="X135" s="59"/>
      <c r="Y135" s="59"/>
      <c r="Z135" s="59"/>
      <c r="AA135" s="59"/>
      <c r="AB135" s="59"/>
    </row>
    <row r="136">
      <c r="A136" s="59"/>
      <c r="B136" s="59"/>
      <c r="C136" s="7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88"/>
      <c r="P136" s="90"/>
      <c r="Q136" s="88"/>
      <c r="R136" s="88"/>
      <c r="S136" s="88"/>
      <c r="T136" s="59"/>
      <c r="U136" s="59"/>
      <c r="V136" s="59"/>
      <c r="W136" s="59"/>
      <c r="X136" s="59"/>
      <c r="Y136" s="59"/>
      <c r="Z136" s="59"/>
      <c r="AA136" s="59"/>
      <c r="AB136" s="59"/>
    </row>
    <row r="137">
      <c r="A137" s="59"/>
      <c r="B137" s="59"/>
      <c r="C137" s="7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88"/>
      <c r="P137" s="90"/>
      <c r="Q137" s="88"/>
      <c r="R137" s="88"/>
      <c r="S137" s="88"/>
      <c r="T137" s="59"/>
      <c r="U137" s="59"/>
      <c r="V137" s="59"/>
      <c r="W137" s="59"/>
      <c r="X137" s="59"/>
      <c r="Y137" s="59"/>
      <c r="Z137" s="59"/>
      <c r="AA137" s="59"/>
      <c r="AB137" s="59"/>
    </row>
    <row r="138">
      <c r="A138" s="59"/>
      <c r="B138" s="59"/>
      <c r="C138" s="7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88"/>
      <c r="P138" s="90"/>
      <c r="Q138" s="88"/>
      <c r="R138" s="88"/>
      <c r="S138" s="88"/>
      <c r="T138" s="59"/>
      <c r="U138" s="59"/>
      <c r="V138" s="59"/>
      <c r="W138" s="59"/>
      <c r="X138" s="59"/>
      <c r="Y138" s="59"/>
      <c r="Z138" s="59"/>
      <c r="AA138" s="59"/>
      <c r="AB138" s="59"/>
    </row>
    <row r="139">
      <c r="A139" s="59"/>
      <c r="B139" s="59"/>
      <c r="C139" s="7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88"/>
      <c r="P139" s="90"/>
      <c r="Q139" s="88"/>
      <c r="R139" s="88"/>
      <c r="S139" s="88"/>
      <c r="T139" s="59"/>
      <c r="U139" s="59"/>
      <c r="V139" s="59"/>
      <c r="W139" s="59"/>
      <c r="X139" s="59"/>
      <c r="Y139" s="59"/>
      <c r="Z139" s="59"/>
      <c r="AA139" s="59"/>
      <c r="AB139" s="59"/>
    </row>
    <row r="140">
      <c r="A140" s="59"/>
      <c r="B140" s="59"/>
      <c r="C140" s="7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88"/>
      <c r="P140" s="90"/>
      <c r="Q140" s="88"/>
      <c r="R140" s="88"/>
      <c r="S140" s="88"/>
      <c r="T140" s="59"/>
      <c r="U140" s="59"/>
      <c r="V140" s="59"/>
      <c r="W140" s="59"/>
      <c r="X140" s="59"/>
      <c r="Y140" s="59"/>
      <c r="Z140" s="59"/>
      <c r="AA140" s="59"/>
      <c r="AB140" s="59"/>
    </row>
    <row r="141">
      <c r="A141" s="59"/>
      <c r="B141" s="59"/>
      <c r="C141" s="7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88"/>
      <c r="P141" s="90"/>
      <c r="Q141" s="88"/>
      <c r="R141" s="88"/>
      <c r="S141" s="88"/>
      <c r="T141" s="59"/>
      <c r="U141" s="59"/>
      <c r="V141" s="59"/>
      <c r="W141" s="59"/>
      <c r="X141" s="59"/>
      <c r="Y141" s="59"/>
      <c r="Z141" s="59"/>
      <c r="AA141" s="59"/>
      <c r="AB141" s="59"/>
    </row>
    <row r="142">
      <c r="A142" s="59"/>
      <c r="B142" s="59"/>
      <c r="C142" s="7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88"/>
      <c r="P142" s="90"/>
      <c r="Q142" s="88"/>
      <c r="R142" s="88"/>
      <c r="S142" s="88"/>
      <c r="T142" s="59"/>
      <c r="U142" s="59"/>
      <c r="V142" s="59"/>
      <c r="W142" s="59"/>
      <c r="X142" s="59"/>
      <c r="Y142" s="59"/>
      <c r="Z142" s="59"/>
      <c r="AA142" s="59"/>
      <c r="AB142" s="59"/>
    </row>
    <row r="143">
      <c r="A143" s="59"/>
      <c r="B143" s="59"/>
      <c r="C143" s="7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88"/>
      <c r="P143" s="90"/>
      <c r="Q143" s="88"/>
      <c r="R143" s="88"/>
      <c r="S143" s="88"/>
      <c r="T143" s="59"/>
      <c r="U143" s="59"/>
      <c r="V143" s="59"/>
      <c r="W143" s="59"/>
      <c r="X143" s="59"/>
      <c r="Y143" s="59"/>
      <c r="Z143" s="59"/>
      <c r="AA143" s="59"/>
      <c r="AB143" s="59"/>
    </row>
    <row r="144">
      <c r="A144" s="59"/>
      <c r="B144" s="59"/>
      <c r="C144" s="7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88"/>
      <c r="P144" s="90"/>
      <c r="Q144" s="88"/>
      <c r="R144" s="88"/>
      <c r="S144" s="88"/>
      <c r="T144" s="59"/>
      <c r="U144" s="59"/>
      <c r="V144" s="59"/>
      <c r="W144" s="59"/>
      <c r="X144" s="59"/>
      <c r="Y144" s="59"/>
      <c r="Z144" s="59"/>
      <c r="AA144" s="59"/>
      <c r="AB144" s="59"/>
    </row>
    <row r="145">
      <c r="A145" s="59"/>
      <c r="B145" s="59"/>
      <c r="C145" s="7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88"/>
      <c r="P145" s="90"/>
      <c r="Q145" s="88"/>
      <c r="R145" s="88"/>
      <c r="S145" s="88"/>
      <c r="T145" s="59"/>
      <c r="U145" s="59"/>
      <c r="V145" s="59"/>
      <c r="W145" s="59"/>
      <c r="X145" s="59"/>
      <c r="Y145" s="59"/>
      <c r="Z145" s="59"/>
      <c r="AA145" s="59"/>
      <c r="AB145" s="59"/>
    </row>
    <row r="146">
      <c r="A146" s="59"/>
      <c r="B146" s="59"/>
      <c r="C146" s="7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88"/>
      <c r="P146" s="90"/>
      <c r="Q146" s="88"/>
      <c r="R146" s="88"/>
      <c r="S146" s="88"/>
      <c r="T146" s="59"/>
      <c r="U146" s="59"/>
      <c r="V146" s="59"/>
      <c r="W146" s="59"/>
      <c r="X146" s="59"/>
      <c r="Y146" s="59"/>
      <c r="Z146" s="59"/>
      <c r="AA146" s="59"/>
      <c r="AB146" s="59"/>
    </row>
    <row r="147">
      <c r="A147" s="59"/>
      <c r="B147" s="59"/>
      <c r="C147" s="7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88"/>
      <c r="P147" s="90"/>
      <c r="Q147" s="88"/>
      <c r="R147" s="88"/>
      <c r="S147" s="88"/>
      <c r="T147" s="59"/>
      <c r="U147" s="59"/>
      <c r="V147" s="59"/>
      <c r="W147" s="59"/>
      <c r="X147" s="59"/>
      <c r="Y147" s="59"/>
      <c r="Z147" s="59"/>
      <c r="AA147" s="59"/>
      <c r="AB147" s="59"/>
    </row>
    <row r="148">
      <c r="A148" s="59"/>
      <c r="B148" s="59"/>
      <c r="C148" s="7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88"/>
      <c r="P148" s="90"/>
      <c r="Q148" s="88"/>
      <c r="R148" s="88"/>
      <c r="S148" s="88"/>
      <c r="T148" s="59"/>
      <c r="U148" s="59"/>
      <c r="V148" s="59"/>
      <c r="W148" s="59"/>
      <c r="X148" s="59"/>
      <c r="Y148" s="59"/>
      <c r="Z148" s="59"/>
      <c r="AA148" s="59"/>
      <c r="AB148" s="59"/>
    </row>
    <row r="149">
      <c r="A149" s="59"/>
      <c r="B149" s="59"/>
      <c r="C149" s="7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88"/>
      <c r="P149" s="90"/>
      <c r="Q149" s="88"/>
      <c r="R149" s="88"/>
      <c r="S149" s="88"/>
      <c r="T149" s="59"/>
      <c r="U149" s="59"/>
      <c r="V149" s="59"/>
      <c r="W149" s="59"/>
      <c r="X149" s="59"/>
      <c r="Y149" s="59"/>
      <c r="Z149" s="59"/>
      <c r="AA149" s="59"/>
      <c r="AB149" s="59"/>
    </row>
    <row r="150">
      <c r="A150" s="59"/>
      <c r="B150" s="59"/>
      <c r="C150" s="7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88"/>
      <c r="P150" s="90"/>
      <c r="Q150" s="88"/>
      <c r="R150" s="88"/>
      <c r="S150" s="88"/>
      <c r="T150" s="59"/>
      <c r="U150" s="59"/>
      <c r="V150" s="59"/>
      <c r="W150" s="59"/>
      <c r="X150" s="59"/>
      <c r="Y150" s="59"/>
      <c r="Z150" s="59"/>
      <c r="AA150" s="59"/>
      <c r="AB150" s="59"/>
    </row>
    <row r="151">
      <c r="A151" s="59"/>
      <c r="B151" s="59"/>
      <c r="C151" s="7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88"/>
      <c r="P151" s="90"/>
      <c r="Q151" s="88"/>
      <c r="R151" s="88"/>
      <c r="S151" s="88"/>
      <c r="T151" s="59"/>
      <c r="U151" s="59"/>
      <c r="V151" s="59"/>
      <c r="W151" s="59"/>
      <c r="X151" s="59"/>
      <c r="Y151" s="59"/>
      <c r="Z151" s="59"/>
      <c r="AA151" s="59"/>
      <c r="AB151" s="59"/>
    </row>
    <row r="152">
      <c r="A152" s="59"/>
      <c r="B152" s="59"/>
      <c r="C152" s="7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88"/>
      <c r="P152" s="90"/>
      <c r="Q152" s="88"/>
      <c r="R152" s="88"/>
      <c r="S152" s="88"/>
      <c r="T152" s="59"/>
      <c r="U152" s="59"/>
      <c r="V152" s="59"/>
      <c r="W152" s="59"/>
      <c r="X152" s="59"/>
      <c r="Y152" s="59"/>
      <c r="Z152" s="59"/>
      <c r="AA152" s="59"/>
      <c r="AB152" s="59"/>
    </row>
    <row r="153">
      <c r="A153" s="59"/>
      <c r="B153" s="59"/>
      <c r="C153" s="7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88"/>
      <c r="P153" s="90"/>
      <c r="Q153" s="88"/>
      <c r="R153" s="88"/>
      <c r="S153" s="88"/>
      <c r="T153" s="59"/>
      <c r="U153" s="59"/>
      <c r="V153" s="59"/>
      <c r="W153" s="59"/>
      <c r="X153" s="59"/>
      <c r="Y153" s="59"/>
      <c r="Z153" s="59"/>
      <c r="AA153" s="59"/>
      <c r="AB153" s="59"/>
    </row>
    <row r="154">
      <c r="A154" s="59"/>
      <c r="B154" s="59"/>
      <c r="C154" s="7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88"/>
      <c r="P154" s="90"/>
      <c r="Q154" s="88"/>
      <c r="R154" s="88"/>
      <c r="S154" s="88"/>
      <c r="T154" s="59"/>
      <c r="U154" s="59"/>
      <c r="V154" s="59"/>
      <c r="W154" s="59"/>
      <c r="X154" s="59"/>
      <c r="Y154" s="59"/>
      <c r="Z154" s="59"/>
      <c r="AA154" s="59"/>
      <c r="AB154" s="59"/>
    </row>
    <row r="155">
      <c r="A155" s="59"/>
      <c r="B155" s="59"/>
      <c r="C155" s="7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88"/>
      <c r="P155" s="90"/>
      <c r="Q155" s="88"/>
      <c r="R155" s="88"/>
      <c r="S155" s="88"/>
      <c r="T155" s="59"/>
      <c r="U155" s="59"/>
      <c r="V155" s="59"/>
      <c r="W155" s="59"/>
      <c r="X155" s="59"/>
      <c r="Y155" s="59"/>
      <c r="Z155" s="59"/>
      <c r="AA155" s="59"/>
      <c r="AB155" s="59"/>
    </row>
    <row r="156">
      <c r="A156" s="59"/>
      <c r="B156" s="59"/>
      <c r="C156" s="7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88"/>
      <c r="P156" s="90"/>
      <c r="Q156" s="88"/>
      <c r="R156" s="88"/>
      <c r="S156" s="88"/>
      <c r="T156" s="59"/>
      <c r="U156" s="59"/>
      <c r="V156" s="59"/>
      <c r="W156" s="59"/>
      <c r="X156" s="59"/>
      <c r="Y156" s="59"/>
      <c r="Z156" s="59"/>
      <c r="AA156" s="59"/>
      <c r="AB156" s="59"/>
    </row>
    <row r="157">
      <c r="A157" s="59"/>
      <c r="B157" s="59"/>
      <c r="C157" s="7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88"/>
      <c r="P157" s="90"/>
      <c r="Q157" s="88"/>
      <c r="R157" s="88"/>
      <c r="S157" s="88"/>
      <c r="T157" s="59"/>
      <c r="U157" s="59"/>
      <c r="V157" s="59"/>
      <c r="W157" s="59"/>
      <c r="X157" s="59"/>
      <c r="Y157" s="59"/>
      <c r="Z157" s="59"/>
      <c r="AA157" s="59"/>
      <c r="AB157" s="59"/>
    </row>
    <row r="158">
      <c r="A158" s="59"/>
      <c r="B158" s="59"/>
      <c r="C158" s="7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88"/>
      <c r="P158" s="90"/>
      <c r="Q158" s="88"/>
      <c r="R158" s="88"/>
      <c r="S158" s="88"/>
      <c r="T158" s="59"/>
      <c r="U158" s="59"/>
      <c r="V158" s="59"/>
      <c r="W158" s="59"/>
      <c r="X158" s="59"/>
      <c r="Y158" s="59"/>
      <c r="Z158" s="59"/>
      <c r="AA158" s="59"/>
      <c r="AB158" s="59"/>
    </row>
    <row r="159">
      <c r="A159" s="59"/>
      <c r="B159" s="59"/>
      <c r="C159" s="7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88"/>
      <c r="P159" s="90"/>
      <c r="Q159" s="88"/>
      <c r="R159" s="88"/>
      <c r="S159" s="88"/>
      <c r="T159" s="59"/>
      <c r="U159" s="59"/>
      <c r="V159" s="59"/>
      <c r="W159" s="59"/>
      <c r="X159" s="59"/>
      <c r="Y159" s="59"/>
      <c r="Z159" s="59"/>
      <c r="AA159" s="59"/>
      <c r="AB159" s="59"/>
    </row>
    <row r="160">
      <c r="A160" s="59"/>
      <c r="B160" s="59"/>
      <c r="C160" s="7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88"/>
      <c r="P160" s="90"/>
      <c r="Q160" s="88"/>
      <c r="R160" s="88"/>
      <c r="S160" s="88"/>
      <c r="T160" s="59"/>
      <c r="U160" s="59"/>
      <c r="V160" s="59"/>
      <c r="W160" s="59"/>
      <c r="X160" s="59"/>
      <c r="Y160" s="59"/>
      <c r="Z160" s="59"/>
      <c r="AA160" s="59"/>
      <c r="AB160" s="59"/>
    </row>
    <row r="161">
      <c r="A161" s="59"/>
      <c r="B161" s="59"/>
      <c r="C161" s="7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88"/>
      <c r="P161" s="90"/>
      <c r="Q161" s="88"/>
      <c r="R161" s="88"/>
      <c r="S161" s="88"/>
      <c r="T161" s="59"/>
      <c r="U161" s="59"/>
      <c r="V161" s="59"/>
      <c r="W161" s="59"/>
      <c r="X161" s="59"/>
      <c r="Y161" s="59"/>
      <c r="Z161" s="59"/>
      <c r="AA161" s="59"/>
      <c r="AB161" s="59"/>
    </row>
    <row r="162">
      <c r="A162" s="59"/>
      <c r="B162" s="59"/>
      <c r="C162" s="7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88"/>
      <c r="P162" s="90"/>
      <c r="Q162" s="88"/>
      <c r="R162" s="88"/>
      <c r="S162" s="88"/>
      <c r="T162" s="59"/>
      <c r="U162" s="59"/>
      <c r="V162" s="59"/>
      <c r="W162" s="59"/>
      <c r="X162" s="59"/>
      <c r="Y162" s="59"/>
      <c r="Z162" s="59"/>
      <c r="AA162" s="59"/>
      <c r="AB162" s="59"/>
    </row>
    <row r="163">
      <c r="A163" s="59"/>
      <c r="B163" s="59"/>
      <c r="C163" s="7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88"/>
      <c r="P163" s="90"/>
      <c r="Q163" s="88"/>
      <c r="R163" s="88"/>
      <c r="S163" s="88"/>
      <c r="T163" s="59"/>
      <c r="U163" s="59"/>
      <c r="V163" s="59"/>
      <c r="W163" s="59"/>
      <c r="X163" s="59"/>
      <c r="Y163" s="59"/>
      <c r="Z163" s="59"/>
      <c r="AA163" s="59"/>
      <c r="AB163" s="59"/>
    </row>
    <row r="164">
      <c r="A164" s="59"/>
      <c r="B164" s="59"/>
      <c r="C164" s="7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88"/>
      <c r="P164" s="90"/>
      <c r="Q164" s="88"/>
      <c r="R164" s="88"/>
      <c r="S164" s="88"/>
      <c r="T164" s="59"/>
      <c r="U164" s="59"/>
      <c r="V164" s="59"/>
      <c r="W164" s="59"/>
      <c r="X164" s="59"/>
      <c r="Y164" s="59"/>
      <c r="Z164" s="59"/>
      <c r="AA164" s="59"/>
      <c r="AB164" s="59"/>
    </row>
    <row r="165">
      <c r="A165" s="59"/>
      <c r="B165" s="59"/>
      <c r="C165" s="7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88"/>
      <c r="P165" s="90"/>
      <c r="Q165" s="88"/>
      <c r="R165" s="88"/>
      <c r="S165" s="88"/>
      <c r="T165" s="59"/>
      <c r="U165" s="59"/>
      <c r="V165" s="59"/>
      <c r="W165" s="59"/>
      <c r="X165" s="59"/>
      <c r="Y165" s="59"/>
      <c r="Z165" s="59"/>
      <c r="AA165" s="59"/>
      <c r="AB165" s="59"/>
    </row>
    <row r="166">
      <c r="A166" s="59"/>
      <c r="B166" s="59"/>
      <c r="C166" s="7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88"/>
      <c r="P166" s="90"/>
      <c r="Q166" s="88"/>
      <c r="R166" s="88"/>
      <c r="S166" s="88"/>
      <c r="T166" s="59"/>
      <c r="U166" s="59"/>
      <c r="V166" s="59"/>
      <c r="W166" s="59"/>
      <c r="X166" s="59"/>
      <c r="Y166" s="59"/>
      <c r="Z166" s="59"/>
      <c r="AA166" s="59"/>
      <c r="AB166" s="59"/>
    </row>
    <row r="167">
      <c r="A167" s="59"/>
      <c r="B167" s="59"/>
      <c r="C167" s="7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88"/>
      <c r="P167" s="90"/>
      <c r="Q167" s="88"/>
      <c r="R167" s="88"/>
      <c r="S167" s="88"/>
      <c r="T167" s="59"/>
      <c r="U167" s="59"/>
      <c r="V167" s="59"/>
      <c r="W167" s="59"/>
      <c r="X167" s="59"/>
      <c r="Y167" s="59"/>
      <c r="Z167" s="59"/>
      <c r="AA167" s="59"/>
      <c r="AB167" s="59"/>
    </row>
    <row r="168">
      <c r="A168" s="59"/>
      <c r="B168" s="59"/>
      <c r="C168" s="7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88"/>
      <c r="P168" s="90"/>
      <c r="Q168" s="88"/>
      <c r="R168" s="88"/>
      <c r="S168" s="88"/>
      <c r="T168" s="59"/>
      <c r="U168" s="59"/>
      <c r="V168" s="59"/>
      <c r="W168" s="59"/>
      <c r="X168" s="59"/>
      <c r="Y168" s="59"/>
      <c r="Z168" s="59"/>
      <c r="AA168" s="59"/>
      <c r="AB168" s="59"/>
    </row>
    <row r="169">
      <c r="A169" s="59"/>
      <c r="B169" s="59"/>
      <c r="C169" s="7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88"/>
      <c r="P169" s="90"/>
      <c r="Q169" s="88"/>
      <c r="R169" s="88"/>
      <c r="S169" s="88"/>
      <c r="T169" s="59"/>
      <c r="U169" s="59"/>
      <c r="V169" s="59"/>
      <c r="W169" s="59"/>
      <c r="X169" s="59"/>
      <c r="Y169" s="59"/>
      <c r="Z169" s="59"/>
      <c r="AA169" s="59"/>
      <c r="AB169" s="59"/>
    </row>
    <row r="170">
      <c r="A170" s="59"/>
      <c r="B170" s="59"/>
      <c r="C170" s="7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88"/>
      <c r="P170" s="90"/>
      <c r="Q170" s="88"/>
      <c r="R170" s="88"/>
      <c r="S170" s="88"/>
      <c r="T170" s="59"/>
      <c r="U170" s="59"/>
      <c r="V170" s="59"/>
      <c r="W170" s="59"/>
      <c r="X170" s="59"/>
      <c r="Y170" s="59"/>
      <c r="Z170" s="59"/>
      <c r="AA170" s="59"/>
      <c r="AB170" s="59"/>
    </row>
    <row r="171">
      <c r="A171" s="59"/>
      <c r="B171" s="59"/>
      <c r="C171" s="7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88"/>
      <c r="P171" s="90"/>
      <c r="Q171" s="88"/>
      <c r="R171" s="88"/>
      <c r="S171" s="88"/>
      <c r="T171" s="59"/>
      <c r="U171" s="59"/>
      <c r="V171" s="59"/>
      <c r="W171" s="59"/>
      <c r="X171" s="59"/>
      <c r="Y171" s="59"/>
      <c r="Z171" s="59"/>
      <c r="AA171" s="59"/>
      <c r="AB171" s="59"/>
    </row>
    <row r="172">
      <c r="A172" s="59"/>
      <c r="B172" s="59"/>
      <c r="C172" s="7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88"/>
      <c r="P172" s="90"/>
      <c r="Q172" s="88"/>
      <c r="R172" s="88"/>
      <c r="S172" s="88"/>
      <c r="T172" s="59"/>
      <c r="U172" s="59"/>
      <c r="V172" s="59"/>
      <c r="W172" s="59"/>
      <c r="X172" s="59"/>
      <c r="Y172" s="59"/>
      <c r="Z172" s="59"/>
      <c r="AA172" s="59"/>
      <c r="AB172" s="59"/>
    </row>
    <row r="173">
      <c r="A173" s="59"/>
      <c r="B173" s="59"/>
      <c r="C173" s="7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88"/>
      <c r="P173" s="90"/>
      <c r="Q173" s="88"/>
      <c r="R173" s="88"/>
      <c r="S173" s="88"/>
      <c r="T173" s="59"/>
      <c r="U173" s="59"/>
      <c r="V173" s="59"/>
      <c r="W173" s="59"/>
      <c r="X173" s="59"/>
      <c r="Y173" s="59"/>
      <c r="Z173" s="59"/>
      <c r="AA173" s="59"/>
      <c r="AB173" s="59"/>
    </row>
    <row r="174">
      <c r="A174" s="59"/>
      <c r="B174" s="59"/>
      <c r="C174" s="7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88"/>
      <c r="P174" s="90"/>
      <c r="Q174" s="88"/>
      <c r="R174" s="88"/>
      <c r="S174" s="88"/>
      <c r="T174" s="59"/>
      <c r="U174" s="59"/>
      <c r="V174" s="59"/>
      <c r="W174" s="59"/>
      <c r="X174" s="59"/>
      <c r="Y174" s="59"/>
      <c r="Z174" s="59"/>
      <c r="AA174" s="59"/>
      <c r="AB174" s="59"/>
    </row>
    <row r="175">
      <c r="A175" s="59"/>
      <c r="B175" s="59"/>
      <c r="C175" s="7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88"/>
      <c r="P175" s="90"/>
      <c r="Q175" s="88"/>
      <c r="R175" s="88"/>
      <c r="S175" s="88"/>
      <c r="T175" s="59"/>
      <c r="U175" s="59"/>
      <c r="V175" s="59"/>
      <c r="W175" s="59"/>
      <c r="X175" s="59"/>
      <c r="Y175" s="59"/>
      <c r="Z175" s="59"/>
      <c r="AA175" s="59"/>
      <c r="AB175" s="59"/>
    </row>
    <row r="176">
      <c r="A176" s="59"/>
      <c r="B176" s="59"/>
      <c r="C176" s="7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88"/>
      <c r="P176" s="90"/>
      <c r="Q176" s="88"/>
      <c r="R176" s="88"/>
      <c r="S176" s="88"/>
      <c r="T176" s="59"/>
      <c r="U176" s="59"/>
      <c r="V176" s="59"/>
      <c r="W176" s="59"/>
      <c r="X176" s="59"/>
      <c r="Y176" s="59"/>
      <c r="Z176" s="59"/>
      <c r="AA176" s="59"/>
      <c r="AB176" s="59"/>
    </row>
    <row r="177">
      <c r="A177" s="59"/>
      <c r="B177" s="59"/>
      <c r="C177" s="7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88"/>
      <c r="P177" s="90"/>
      <c r="Q177" s="88"/>
      <c r="R177" s="88"/>
      <c r="S177" s="88"/>
      <c r="T177" s="59"/>
      <c r="U177" s="59"/>
      <c r="V177" s="59"/>
      <c r="W177" s="59"/>
      <c r="X177" s="59"/>
      <c r="Y177" s="59"/>
      <c r="Z177" s="59"/>
      <c r="AA177" s="59"/>
      <c r="AB177" s="59"/>
    </row>
    <row r="178">
      <c r="A178" s="59"/>
      <c r="B178" s="59"/>
      <c r="C178" s="7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88"/>
      <c r="P178" s="90"/>
      <c r="Q178" s="88"/>
      <c r="R178" s="88"/>
      <c r="S178" s="88"/>
      <c r="T178" s="59"/>
      <c r="U178" s="59"/>
      <c r="V178" s="59"/>
      <c r="W178" s="59"/>
      <c r="X178" s="59"/>
      <c r="Y178" s="59"/>
      <c r="Z178" s="59"/>
      <c r="AA178" s="59"/>
      <c r="AB178" s="59"/>
    </row>
    <row r="179">
      <c r="A179" s="59"/>
      <c r="B179" s="59"/>
      <c r="C179" s="7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88"/>
      <c r="P179" s="90"/>
      <c r="Q179" s="88"/>
      <c r="R179" s="88"/>
      <c r="S179" s="88"/>
      <c r="T179" s="59"/>
      <c r="U179" s="59"/>
      <c r="V179" s="59"/>
      <c r="W179" s="59"/>
      <c r="X179" s="59"/>
      <c r="Y179" s="59"/>
      <c r="Z179" s="59"/>
      <c r="AA179" s="59"/>
      <c r="AB179" s="59"/>
    </row>
    <row r="180">
      <c r="A180" s="59"/>
      <c r="B180" s="59"/>
      <c r="C180" s="7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88"/>
      <c r="P180" s="90"/>
      <c r="Q180" s="88"/>
      <c r="R180" s="88"/>
      <c r="S180" s="88"/>
      <c r="T180" s="59"/>
      <c r="U180" s="59"/>
      <c r="V180" s="59"/>
      <c r="W180" s="59"/>
      <c r="X180" s="59"/>
      <c r="Y180" s="59"/>
      <c r="Z180" s="59"/>
      <c r="AA180" s="59"/>
      <c r="AB180" s="59"/>
    </row>
    <row r="181">
      <c r="A181" s="59"/>
      <c r="B181" s="59"/>
      <c r="C181" s="7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88"/>
      <c r="P181" s="90"/>
      <c r="Q181" s="88"/>
      <c r="R181" s="88"/>
      <c r="S181" s="88"/>
      <c r="T181" s="59"/>
      <c r="U181" s="59"/>
      <c r="V181" s="59"/>
      <c r="W181" s="59"/>
      <c r="X181" s="59"/>
      <c r="Y181" s="59"/>
      <c r="Z181" s="59"/>
      <c r="AA181" s="59"/>
      <c r="AB181" s="59"/>
    </row>
    <row r="182">
      <c r="A182" s="59"/>
      <c r="B182" s="59"/>
      <c r="C182" s="7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88"/>
      <c r="P182" s="90"/>
      <c r="Q182" s="88"/>
      <c r="R182" s="88"/>
      <c r="S182" s="88"/>
      <c r="T182" s="59"/>
      <c r="U182" s="59"/>
      <c r="V182" s="59"/>
      <c r="W182" s="59"/>
      <c r="X182" s="59"/>
      <c r="Y182" s="59"/>
      <c r="Z182" s="59"/>
      <c r="AA182" s="59"/>
      <c r="AB182" s="59"/>
    </row>
    <row r="183">
      <c r="A183" s="59"/>
      <c r="B183" s="59"/>
      <c r="C183" s="7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88"/>
      <c r="P183" s="90"/>
      <c r="Q183" s="88"/>
      <c r="R183" s="88"/>
      <c r="S183" s="88"/>
      <c r="T183" s="59"/>
      <c r="U183" s="59"/>
      <c r="V183" s="59"/>
      <c r="W183" s="59"/>
      <c r="X183" s="59"/>
      <c r="Y183" s="59"/>
      <c r="Z183" s="59"/>
      <c r="AA183" s="59"/>
      <c r="AB183" s="59"/>
    </row>
    <row r="184">
      <c r="A184" s="59"/>
      <c r="B184" s="59"/>
      <c r="C184" s="7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88"/>
      <c r="P184" s="90"/>
      <c r="Q184" s="88"/>
      <c r="R184" s="88"/>
      <c r="S184" s="88"/>
      <c r="T184" s="59"/>
      <c r="U184" s="59"/>
      <c r="V184" s="59"/>
      <c r="W184" s="59"/>
      <c r="X184" s="59"/>
      <c r="Y184" s="59"/>
      <c r="Z184" s="59"/>
      <c r="AA184" s="59"/>
      <c r="AB184" s="59"/>
    </row>
    <row r="185">
      <c r="A185" s="59"/>
      <c r="B185" s="59"/>
      <c r="C185" s="7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88"/>
      <c r="P185" s="90"/>
      <c r="Q185" s="88"/>
      <c r="R185" s="88"/>
      <c r="S185" s="88"/>
      <c r="T185" s="59"/>
      <c r="U185" s="59"/>
      <c r="V185" s="59"/>
      <c r="W185" s="59"/>
      <c r="X185" s="59"/>
      <c r="Y185" s="59"/>
      <c r="Z185" s="59"/>
      <c r="AA185" s="59"/>
      <c r="AB185" s="59"/>
    </row>
    <row r="186">
      <c r="A186" s="59"/>
      <c r="B186" s="59"/>
      <c r="C186" s="7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88"/>
      <c r="P186" s="90"/>
      <c r="Q186" s="88"/>
      <c r="R186" s="88"/>
      <c r="S186" s="88"/>
      <c r="T186" s="59"/>
      <c r="U186" s="59"/>
      <c r="V186" s="59"/>
      <c r="W186" s="59"/>
      <c r="X186" s="59"/>
      <c r="Y186" s="59"/>
      <c r="Z186" s="59"/>
      <c r="AA186" s="59"/>
      <c r="AB186" s="59"/>
    </row>
    <row r="187">
      <c r="A187" s="59"/>
      <c r="B187" s="59"/>
      <c r="C187" s="7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88"/>
      <c r="P187" s="90"/>
      <c r="Q187" s="88"/>
      <c r="R187" s="88"/>
      <c r="S187" s="88"/>
      <c r="T187" s="59"/>
      <c r="U187" s="59"/>
      <c r="V187" s="59"/>
      <c r="W187" s="59"/>
      <c r="X187" s="59"/>
      <c r="Y187" s="59"/>
      <c r="Z187" s="59"/>
      <c r="AA187" s="59"/>
      <c r="AB187" s="59"/>
    </row>
    <row r="188">
      <c r="A188" s="59"/>
      <c r="B188" s="59"/>
      <c r="C188" s="7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88"/>
      <c r="P188" s="90"/>
      <c r="Q188" s="88"/>
      <c r="R188" s="88"/>
      <c r="S188" s="88"/>
      <c r="T188" s="59"/>
      <c r="U188" s="59"/>
      <c r="V188" s="59"/>
      <c r="W188" s="59"/>
      <c r="X188" s="59"/>
      <c r="Y188" s="59"/>
      <c r="Z188" s="59"/>
      <c r="AA188" s="59"/>
      <c r="AB188" s="59"/>
    </row>
    <row r="189">
      <c r="A189" s="59"/>
      <c r="B189" s="59"/>
      <c r="C189" s="7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88"/>
      <c r="P189" s="90"/>
      <c r="Q189" s="88"/>
      <c r="R189" s="88"/>
      <c r="S189" s="88"/>
      <c r="T189" s="59"/>
      <c r="U189" s="59"/>
      <c r="V189" s="59"/>
      <c r="W189" s="59"/>
      <c r="X189" s="59"/>
      <c r="Y189" s="59"/>
      <c r="Z189" s="59"/>
      <c r="AA189" s="59"/>
      <c r="AB189" s="59"/>
    </row>
    <row r="190">
      <c r="A190" s="59"/>
      <c r="B190" s="59"/>
      <c r="C190" s="7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88"/>
      <c r="P190" s="90"/>
      <c r="Q190" s="88"/>
      <c r="R190" s="88"/>
      <c r="S190" s="88"/>
      <c r="T190" s="59"/>
      <c r="U190" s="59"/>
      <c r="V190" s="59"/>
      <c r="W190" s="59"/>
      <c r="X190" s="59"/>
      <c r="Y190" s="59"/>
      <c r="Z190" s="59"/>
      <c r="AA190" s="59"/>
      <c r="AB190" s="59"/>
    </row>
    <row r="191">
      <c r="A191" s="59"/>
      <c r="B191" s="59"/>
      <c r="C191" s="7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88"/>
      <c r="P191" s="90"/>
      <c r="Q191" s="88"/>
      <c r="R191" s="88"/>
      <c r="S191" s="88"/>
      <c r="T191" s="59"/>
      <c r="U191" s="59"/>
      <c r="V191" s="59"/>
      <c r="W191" s="59"/>
      <c r="X191" s="59"/>
      <c r="Y191" s="59"/>
      <c r="Z191" s="59"/>
      <c r="AA191" s="59"/>
      <c r="AB191" s="59"/>
    </row>
    <row r="192">
      <c r="A192" s="59"/>
      <c r="B192" s="59"/>
      <c r="C192" s="7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88"/>
      <c r="P192" s="90"/>
      <c r="Q192" s="88"/>
      <c r="R192" s="88"/>
      <c r="S192" s="88"/>
      <c r="T192" s="59"/>
      <c r="U192" s="59"/>
      <c r="V192" s="59"/>
      <c r="W192" s="59"/>
      <c r="X192" s="59"/>
      <c r="Y192" s="59"/>
      <c r="Z192" s="59"/>
      <c r="AA192" s="59"/>
      <c r="AB192" s="59"/>
    </row>
    <row r="193">
      <c r="A193" s="59"/>
      <c r="B193" s="59"/>
      <c r="C193" s="7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88"/>
      <c r="P193" s="90"/>
      <c r="Q193" s="88"/>
      <c r="R193" s="88"/>
      <c r="S193" s="88"/>
      <c r="T193" s="59"/>
      <c r="U193" s="59"/>
      <c r="V193" s="59"/>
      <c r="W193" s="59"/>
      <c r="X193" s="59"/>
      <c r="Y193" s="59"/>
      <c r="Z193" s="59"/>
      <c r="AA193" s="59"/>
      <c r="AB193" s="59"/>
    </row>
    <row r="194">
      <c r="A194" s="59"/>
      <c r="B194" s="59"/>
      <c r="C194" s="7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88"/>
      <c r="P194" s="90"/>
      <c r="Q194" s="88"/>
      <c r="R194" s="88"/>
      <c r="S194" s="88"/>
      <c r="T194" s="59"/>
      <c r="U194" s="59"/>
      <c r="V194" s="59"/>
      <c r="W194" s="59"/>
      <c r="X194" s="59"/>
      <c r="Y194" s="59"/>
      <c r="Z194" s="59"/>
      <c r="AA194" s="59"/>
      <c r="AB194" s="59"/>
    </row>
    <row r="195">
      <c r="A195" s="59"/>
      <c r="B195" s="59"/>
      <c r="C195" s="7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88"/>
      <c r="P195" s="90"/>
      <c r="Q195" s="88"/>
      <c r="R195" s="88"/>
      <c r="S195" s="88"/>
      <c r="T195" s="59"/>
      <c r="U195" s="59"/>
      <c r="V195" s="59"/>
      <c r="W195" s="59"/>
      <c r="X195" s="59"/>
      <c r="Y195" s="59"/>
      <c r="Z195" s="59"/>
      <c r="AA195" s="59"/>
      <c r="AB195" s="59"/>
    </row>
    <row r="196">
      <c r="A196" s="59"/>
      <c r="B196" s="59"/>
      <c r="C196" s="7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88"/>
      <c r="P196" s="90"/>
      <c r="Q196" s="88"/>
      <c r="R196" s="88"/>
      <c r="S196" s="88"/>
      <c r="T196" s="59"/>
      <c r="U196" s="59"/>
      <c r="V196" s="59"/>
      <c r="W196" s="59"/>
      <c r="X196" s="59"/>
      <c r="Y196" s="59"/>
      <c r="Z196" s="59"/>
      <c r="AA196" s="59"/>
      <c r="AB196" s="59"/>
    </row>
    <row r="197">
      <c r="A197" s="59"/>
      <c r="B197" s="59"/>
      <c r="C197" s="7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88"/>
      <c r="P197" s="90"/>
      <c r="Q197" s="88"/>
      <c r="R197" s="88"/>
      <c r="S197" s="88"/>
      <c r="T197" s="59"/>
      <c r="U197" s="59"/>
      <c r="V197" s="59"/>
      <c r="W197" s="59"/>
      <c r="X197" s="59"/>
      <c r="Y197" s="59"/>
      <c r="Z197" s="59"/>
      <c r="AA197" s="59"/>
      <c r="AB197" s="59"/>
    </row>
    <row r="198">
      <c r="A198" s="59"/>
      <c r="B198" s="59"/>
      <c r="C198" s="7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88"/>
      <c r="P198" s="90"/>
      <c r="Q198" s="88"/>
      <c r="R198" s="88"/>
      <c r="S198" s="88"/>
      <c r="T198" s="59"/>
      <c r="U198" s="59"/>
      <c r="V198" s="59"/>
      <c r="W198" s="59"/>
      <c r="X198" s="59"/>
      <c r="Y198" s="59"/>
      <c r="Z198" s="59"/>
      <c r="AA198" s="59"/>
      <c r="AB198" s="59"/>
    </row>
    <row r="199">
      <c r="A199" s="59"/>
      <c r="B199" s="59"/>
      <c r="C199" s="7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88"/>
      <c r="P199" s="90"/>
      <c r="Q199" s="88"/>
      <c r="R199" s="88"/>
      <c r="S199" s="88"/>
      <c r="T199" s="59"/>
      <c r="U199" s="59"/>
      <c r="V199" s="59"/>
      <c r="W199" s="59"/>
      <c r="X199" s="59"/>
      <c r="Y199" s="59"/>
      <c r="Z199" s="59"/>
      <c r="AA199" s="59"/>
      <c r="AB199" s="59"/>
    </row>
    <row r="200">
      <c r="A200" s="59"/>
      <c r="B200" s="59"/>
      <c r="C200" s="7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88"/>
      <c r="P200" s="90"/>
      <c r="Q200" s="88"/>
      <c r="R200" s="88"/>
      <c r="S200" s="88"/>
      <c r="T200" s="59"/>
      <c r="U200" s="59"/>
      <c r="V200" s="59"/>
      <c r="W200" s="59"/>
      <c r="X200" s="59"/>
      <c r="Y200" s="59"/>
      <c r="Z200" s="59"/>
      <c r="AA200" s="59"/>
      <c r="AB200" s="59"/>
    </row>
    <row r="201">
      <c r="A201" s="59"/>
      <c r="B201" s="59"/>
      <c r="C201" s="7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88"/>
      <c r="P201" s="90"/>
      <c r="Q201" s="88"/>
      <c r="R201" s="88"/>
      <c r="S201" s="88"/>
      <c r="T201" s="59"/>
      <c r="U201" s="59"/>
      <c r="V201" s="59"/>
      <c r="W201" s="59"/>
      <c r="X201" s="59"/>
      <c r="Y201" s="59"/>
      <c r="Z201" s="59"/>
      <c r="AA201" s="59"/>
      <c r="AB201" s="59"/>
    </row>
    <row r="202">
      <c r="A202" s="59"/>
      <c r="B202" s="59"/>
      <c r="C202" s="7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88"/>
      <c r="P202" s="90"/>
      <c r="Q202" s="88"/>
      <c r="R202" s="88"/>
      <c r="S202" s="88"/>
      <c r="T202" s="59"/>
      <c r="U202" s="59"/>
      <c r="V202" s="59"/>
      <c r="W202" s="59"/>
      <c r="X202" s="59"/>
      <c r="Y202" s="59"/>
      <c r="Z202" s="59"/>
      <c r="AA202" s="59"/>
      <c r="AB202" s="59"/>
    </row>
    <row r="203">
      <c r="A203" s="59"/>
      <c r="B203" s="59"/>
      <c r="C203" s="7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88"/>
      <c r="P203" s="90"/>
      <c r="Q203" s="88"/>
      <c r="R203" s="88"/>
      <c r="S203" s="88"/>
      <c r="T203" s="59"/>
      <c r="U203" s="59"/>
      <c r="V203" s="59"/>
      <c r="W203" s="59"/>
      <c r="X203" s="59"/>
      <c r="Y203" s="59"/>
      <c r="Z203" s="59"/>
      <c r="AA203" s="59"/>
      <c r="AB203" s="59"/>
    </row>
    <row r="204">
      <c r="A204" s="59"/>
      <c r="B204" s="59"/>
      <c r="C204" s="7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88"/>
      <c r="P204" s="90"/>
      <c r="Q204" s="88"/>
      <c r="R204" s="88"/>
      <c r="S204" s="88"/>
      <c r="T204" s="59"/>
      <c r="U204" s="59"/>
      <c r="V204" s="59"/>
      <c r="W204" s="59"/>
      <c r="X204" s="59"/>
      <c r="Y204" s="59"/>
      <c r="Z204" s="59"/>
      <c r="AA204" s="59"/>
      <c r="AB204" s="59"/>
    </row>
    <row r="205">
      <c r="A205" s="59"/>
      <c r="B205" s="59"/>
      <c r="C205" s="7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88"/>
      <c r="P205" s="90"/>
      <c r="Q205" s="88"/>
      <c r="R205" s="88"/>
      <c r="S205" s="88"/>
      <c r="T205" s="59"/>
      <c r="U205" s="59"/>
      <c r="V205" s="59"/>
      <c r="W205" s="59"/>
      <c r="X205" s="59"/>
      <c r="Y205" s="59"/>
      <c r="Z205" s="59"/>
      <c r="AA205" s="59"/>
      <c r="AB205" s="59"/>
    </row>
    <row r="206">
      <c r="A206" s="59"/>
      <c r="B206" s="59"/>
      <c r="C206" s="7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88"/>
      <c r="P206" s="90"/>
      <c r="Q206" s="88"/>
      <c r="R206" s="88"/>
      <c r="S206" s="88"/>
      <c r="T206" s="59"/>
      <c r="U206" s="59"/>
      <c r="V206" s="59"/>
      <c r="W206" s="59"/>
      <c r="X206" s="59"/>
      <c r="Y206" s="59"/>
      <c r="Z206" s="59"/>
      <c r="AA206" s="59"/>
      <c r="AB206" s="59"/>
    </row>
    <row r="207">
      <c r="A207" s="59"/>
      <c r="B207" s="59"/>
      <c r="C207" s="7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88"/>
      <c r="P207" s="90"/>
      <c r="Q207" s="88"/>
      <c r="R207" s="88"/>
      <c r="S207" s="88"/>
      <c r="T207" s="59"/>
      <c r="U207" s="59"/>
      <c r="V207" s="59"/>
      <c r="W207" s="59"/>
      <c r="X207" s="59"/>
      <c r="Y207" s="59"/>
      <c r="Z207" s="59"/>
      <c r="AA207" s="59"/>
      <c r="AB207" s="59"/>
    </row>
    <row r="208">
      <c r="A208" s="59"/>
      <c r="B208" s="59"/>
      <c r="C208" s="7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88"/>
      <c r="P208" s="90"/>
      <c r="Q208" s="88"/>
      <c r="R208" s="88"/>
      <c r="S208" s="88"/>
      <c r="T208" s="59"/>
      <c r="U208" s="59"/>
      <c r="V208" s="59"/>
      <c r="W208" s="59"/>
      <c r="X208" s="59"/>
      <c r="Y208" s="59"/>
      <c r="Z208" s="59"/>
      <c r="AA208" s="59"/>
      <c r="AB208" s="59"/>
    </row>
    <row r="209">
      <c r="A209" s="59"/>
      <c r="B209" s="59"/>
      <c r="C209" s="7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88"/>
      <c r="P209" s="90"/>
      <c r="Q209" s="88"/>
      <c r="R209" s="88"/>
      <c r="S209" s="88"/>
      <c r="T209" s="59"/>
      <c r="U209" s="59"/>
      <c r="V209" s="59"/>
      <c r="W209" s="59"/>
      <c r="X209" s="59"/>
      <c r="Y209" s="59"/>
      <c r="Z209" s="59"/>
      <c r="AA209" s="59"/>
      <c r="AB209" s="59"/>
    </row>
    <row r="210">
      <c r="A210" s="59"/>
      <c r="B210" s="59"/>
      <c r="C210" s="7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88"/>
      <c r="P210" s="90"/>
      <c r="Q210" s="88"/>
      <c r="R210" s="88"/>
      <c r="S210" s="88"/>
      <c r="T210" s="59"/>
      <c r="U210" s="59"/>
      <c r="V210" s="59"/>
      <c r="W210" s="59"/>
      <c r="X210" s="59"/>
      <c r="Y210" s="59"/>
      <c r="Z210" s="59"/>
      <c r="AA210" s="59"/>
      <c r="AB210" s="59"/>
    </row>
    <row r="211">
      <c r="A211" s="59"/>
      <c r="B211" s="59"/>
      <c r="C211" s="7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88"/>
      <c r="P211" s="90"/>
      <c r="Q211" s="88"/>
      <c r="R211" s="88"/>
      <c r="S211" s="88"/>
      <c r="T211" s="59"/>
      <c r="U211" s="59"/>
      <c r="V211" s="59"/>
      <c r="W211" s="59"/>
      <c r="X211" s="59"/>
      <c r="Y211" s="59"/>
      <c r="Z211" s="59"/>
      <c r="AA211" s="59"/>
      <c r="AB211" s="59"/>
    </row>
    <row r="212">
      <c r="A212" s="59"/>
      <c r="B212" s="59"/>
      <c r="C212" s="7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88"/>
      <c r="P212" s="90"/>
      <c r="Q212" s="88"/>
      <c r="R212" s="88"/>
      <c r="S212" s="88"/>
      <c r="T212" s="59"/>
      <c r="U212" s="59"/>
      <c r="V212" s="59"/>
      <c r="W212" s="59"/>
      <c r="X212" s="59"/>
      <c r="Y212" s="59"/>
      <c r="Z212" s="59"/>
      <c r="AA212" s="59"/>
      <c r="AB212" s="59"/>
    </row>
    <row r="213">
      <c r="A213" s="59"/>
      <c r="B213" s="59"/>
      <c r="C213" s="7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88"/>
      <c r="P213" s="90"/>
      <c r="Q213" s="88"/>
      <c r="R213" s="88"/>
      <c r="S213" s="88"/>
      <c r="T213" s="59"/>
      <c r="U213" s="59"/>
      <c r="V213" s="59"/>
      <c r="W213" s="59"/>
      <c r="X213" s="59"/>
      <c r="Y213" s="59"/>
      <c r="Z213" s="59"/>
      <c r="AA213" s="59"/>
      <c r="AB213" s="59"/>
    </row>
    <row r="214">
      <c r="A214" s="59"/>
      <c r="B214" s="59"/>
      <c r="C214" s="7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88"/>
      <c r="P214" s="90"/>
      <c r="Q214" s="88"/>
      <c r="R214" s="88"/>
      <c r="S214" s="88"/>
      <c r="T214" s="59"/>
      <c r="U214" s="59"/>
      <c r="V214" s="59"/>
      <c r="W214" s="59"/>
      <c r="X214" s="59"/>
      <c r="Y214" s="59"/>
      <c r="Z214" s="59"/>
      <c r="AA214" s="59"/>
      <c r="AB214" s="59"/>
    </row>
    <row r="215">
      <c r="A215" s="59"/>
      <c r="B215" s="59"/>
      <c r="C215" s="7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88"/>
      <c r="P215" s="90"/>
      <c r="Q215" s="88"/>
      <c r="R215" s="88"/>
      <c r="S215" s="88"/>
      <c r="T215" s="59"/>
      <c r="U215" s="59"/>
      <c r="V215" s="59"/>
      <c r="W215" s="59"/>
      <c r="X215" s="59"/>
      <c r="Y215" s="59"/>
      <c r="Z215" s="59"/>
      <c r="AA215" s="59"/>
      <c r="AB215" s="59"/>
    </row>
    <row r="216">
      <c r="A216" s="59"/>
      <c r="B216" s="59"/>
      <c r="C216" s="7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88"/>
      <c r="P216" s="90"/>
      <c r="Q216" s="88"/>
      <c r="R216" s="88"/>
      <c r="S216" s="88"/>
      <c r="T216" s="59"/>
      <c r="U216" s="59"/>
      <c r="V216" s="59"/>
      <c r="W216" s="59"/>
      <c r="X216" s="59"/>
      <c r="Y216" s="59"/>
      <c r="Z216" s="59"/>
      <c r="AA216" s="59"/>
      <c r="AB216" s="59"/>
    </row>
    <row r="217">
      <c r="A217" s="59"/>
      <c r="B217" s="59"/>
      <c r="C217" s="7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88"/>
      <c r="P217" s="90"/>
      <c r="Q217" s="88"/>
      <c r="R217" s="88"/>
      <c r="S217" s="88"/>
      <c r="T217" s="59"/>
      <c r="U217" s="59"/>
      <c r="V217" s="59"/>
      <c r="W217" s="59"/>
      <c r="X217" s="59"/>
      <c r="Y217" s="59"/>
      <c r="Z217" s="59"/>
      <c r="AA217" s="59"/>
      <c r="AB217" s="59"/>
    </row>
    <row r="218">
      <c r="A218" s="59"/>
      <c r="B218" s="59"/>
      <c r="C218" s="7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88"/>
      <c r="P218" s="90"/>
      <c r="Q218" s="88"/>
      <c r="R218" s="88"/>
      <c r="S218" s="88"/>
      <c r="T218" s="59"/>
      <c r="U218" s="59"/>
      <c r="V218" s="59"/>
      <c r="W218" s="59"/>
      <c r="X218" s="59"/>
      <c r="Y218" s="59"/>
      <c r="Z218" s="59"/>
      <c r="AA218" s="59"/>
      <c r="AB218" s="59"/>
    </row>
    <row r="219">
      <c r="A219" s="59"/>
      <c r="B219" s="59"/>
      <c r="C219" s="7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88"/>
      <c r="P219" s="90"/>
      <c r="Q219" s="88"/>
      <c r="R219" s="88"/>
      <c r="S219" s="88"/>
      <c r="T219" s="59"/>
      <c r="U219" s="59"/>
      <c r="V219" s="59"/>
      <c r="W219" s="59"/>
      <c r="X219" s="59"/>
      <c r="Y219" s="59"/>
      <c r="Z219" s="59"/>
      <c r="AA219" s="59"/>
      <c r="AB219" s="59"/>
    </row>
    <row r="220">
      <c r="A220" s="59"/>
      <c r="B220" s="59"/>
      <c r="C220" s="7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88"/>
      <c r="P220" s="90"/>
      <c r="Q220" s="88"/>
      <c r="R220" s="88"/>
      <c r="S220" s="88"/>
      <c r="T220" s="59"/>
      <c r="U220" s="59"/>
      <c r="V220" s="59"/>
      <c r="W220" s="59"/>
      <c r="X220" s="59"/>
      <c r="Y220" s="59"/>
      <c r="Z220" s="59"/>
      <c r="AA220" s="59"/>
      <c r="AB220" s="59"/>
    </row>
    <row r="221">
      <c r="A221" s="59"/>
      <c r="B221" s="59"/>
      <c r="C221" s="7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88"/>
      <c r="P221" s="90"/>
      <c r="Q221" s="88"/>
      <c r="R221" s="88"/>
      <c r="S221" s="88"/>
      <c r="T221" s="59"/>
      <c r="U221" s="59"/>
      <c r="V221" s="59"/>
      <c r="W221" s="59"/>
      <c r="X221" s="59"/>
      <c r="Y221" s="59"/>
      <c r="Z221" s="59"/>
      <c r="AA221" s="59"/>
      <c r="AB221" s="59"/>
    </row>
    <row r="222">
      <c r="A222" s="59"/>
      <c r="B222" s="59"/>
      <c r="C222" s="7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88"/>
      <c r="P222" s="90"/>
      <c r="Q222" s="88"/>
      <c r="R222" s="88"/>
      <c r="S222" s="88"/>
      <c r="T222" s="59"/>
      <c r="U222" s="59"/>
      <c r="V222" s="59"/>
      <c r="W222" s="59"/>
      <c r="X222" s="59"/>
      <c r="Y222" s="59"/>
      <c r="Z222" s="59"/>
      <c r="AA222" s="59"/>
      <c r="AB222" s="59"/>
    </row>
    <row r="223">
      <c r="A223" s="59"/>
      <c r="B223" s="59"/>
      <c r="C223" s="7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88"/>
      <c r="P223" s="90"/>
      <c r="Q223" s="88"/>
      <c r="R223" s="88"/>
      <c r="S223" s="88"/>
      <c r="T223" s="59"/>
      <c r="U223" s="59"/>
      <c r="V223" s="59"/>
      <c r="W223" s="59"/>
      <c r="X223" s="59"/>
      <c r="Y223" s="59"/>
      <c r="Z223" s="59"/>
      <c r="AA223" s="59"/>
      <c r="AB223" s="59"/>
    </row>
    <row r="224">
      <c r="A224" s="59"/>
      <c r="B224" s="59"/>
      <c r="C224" s="7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88"/>
      <c r="P224" s="90"/>
      <c r="Q224" s="88"/>
      <c r="R224" s="88"/>
      <c r="S224" s="88"/>
      <c r="T224" s="59"/>
      <c r="U224" s="59"/>
      <c r="V224" s="59"/>
      <c r="W224" s="59"/>
      <c r="X224" s="59"/>
      <c r="Y224" s="59"/>
      <c r="Z224" s="59"/>
      <c r="AA224" s="59"/>
      <c r="AB224" s="59"/>
    </row>
    <row r="225">
      <c r="A225" s="59"/>
      <c r="B225" s="59"/>
      <c r="C225" s="7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88"/>
      <c r="P225" s="90"/>
      <c r="Q225" s="88"/>
      <c r="R225" s="88"/>
      <c r="S225" s="88"/>
      <c r="T225" s="59"/>
      <c r="U225" s="59"/>
      <c r="V225" s="59"/>
      <c r="W225" s="59"/>
      <c r="X225" s="59"/>
      <c r="Y225" s="59"/>
      <c r="Z225" s="59"/>
      <c r="AA225" s="59"/>
      <c r="AB225" s="59"/>
    </row>
    <row r="226">
      <c r="A226" s="59"/>
      <c r="B226" s="59"/>
      <c r="C226" s="7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88"/>
      <c r="P226" s="90"/>
      <c r="Q226" s="88"/>
      <c r="R226" s="88"/>
      <c r="S226" s="88"/>
      <c r="T226" s="59"/>
      <c r="U226" s="59"/>
      <c r="V226" s="59"/>
      <c r="W226" s="59"/>
      <c r="X226" s="59"/>
      <c r="Y226" s="59"/>
      <c r="Z226" s="59"/>
      <c r="AA226" s="59"/>
      <c r="AB226" s="59"/>
    </row>
    <row r="227">
      <c r="A227" s="59"/>
      <c r="B227" s="59"/>
      <c r="C227" s="7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88"/>
      <c r="P227" s="90"/>
      <c r="Q227" s="88"/>
      <c r="R227" s="88"/>
      <c r="S227" s="88"/>
      <c r="T227" s="59"/>
      <c r="U227" s="59"/>
      <c r="V227" s="59"/>
      <c r="W227" s="59"/>
      <c r="X227" s="59"/>
      <c r="Y227" s="59"/>
      <c r="Z227" s="59"/>
      <c r="AA227" s="59"/>
      <c r="AB227" s="59"/>
    </row>
    <row r="228">
      <c r="A228" s="59"/>
      <c r="B228" s="59"/>
      <c r="C228" s="7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88"/>
      <c r="P228" s="90"/>
      <c r="Q228" s="88"/>
      <c r="R228" s="88"/>
      <c r="S228" s="88"/>
      <c r="T228" s="59"/>
      <c r="U228" s="59"/>
      <c r="V228" s="59"/>
      <c r="W228" s="59"/>
      <c r="X228" s="59"/>
      <c r="Y228" s="59"/>
      <c r="Z228" s="59"/>
      <c r="AA228" s="59"/>
      <c r="AB228" s="59"/>
    </row>
    <row r="229">
      <c r="A229" s="59"/>
      <c r="B229" s="59"/>
      <c r="C229" s="7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88"/>
      <c r="P229" s="90"/>
      <c r="Q229" s="88"/>
      <c r="R229" s="88"/>
      <c r="S229" s="88"/>
      <c r="T229" s="59"/>
      <c r="U229" s="59"/>
      <c r="V229" s="59"/>
      <c r="W229" s="59"/>
      <c r="X229" s="59"/>
      <c r="Y229" s="59"/>
      <c r="Z229" s="59"/>
      <c r="AA229" s="59"/>
      <c r="AB229" s="59"/>
    </row>
    <row r="230">
      <c r="A230" s="59"/>
      <c r="B230" s="59"/>
      <c r="C230" s="7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88"/>
      <c r="P230" s="90"/>
      <c r="Q230" s="88"/>
      <c r="R230" s="88"/>
      <c r="S230" s="88"/>
      <c r="T230" s="59"/>
      <c r="U230" s="59"/>
      <c r="V230" s="59"/>
      <c r="W230" s="59"/>
      <c r="X230" s="59"/>
      <c r="Y230" s="59"/>
      <c r="Z230" s="59"/>
      <c r="AA230" s="59"/>
      <c r="AB230" s="59"/>
    </row>
    <row r="231">
      <c r="A231" s="59"/>
      <c r="B231" s="59"/>
      <c r="C231" s="7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88"/>
      <c r="P231" s="90"/>
      <c r="Q231" s="88"/>
      <c r="R231" s="88"/>
      <c r="S231" s="88"/>
      <c r="T231" s="59"/>
      <c r="U231" s="59"/>
      <c r="V231" s="59"/>
      <c r="W231" s="59"/>
      <c r="X231" s="59"/>
      <c r="Y231" s="59"/>
      <c r="Z231" s="59"/>
      <c r="AA231" s="59"/>
      <c r="AB231" s="59"/>
    </row>
    <row r="232">
      <c r="A232" s="59"/>
      <c r="B232" s="59"/>
      <c r="C232" s="7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88"/>
      <c r="P232" s="90"/>
      <c r="Q232" s="88"/>
      <c r="R232" s="88"/>
      <c r="S232" s="88"/>
      <c r="T232" s="59"/>
      <c r="U232" s="59"/>
      <c r="V232" s="59"/>
      <c r="W232" s="59"/>
      <c r="X232" s="59"/>
      <c r="Y232" s="59"/>
      <c r="Z232" s="59"/>
      <c r="AA232" s="59"/>
      <c r="AB232" s="59"/>
    </row>
    <row r="233">
      <c r="A233" s="59"/>
      <c r="B233" s="59"/>
      <c r="C233" s="7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88"/>
      <c r="P233" s="90"/>
      <c r="Q233" s="88"/>
      <c r="R233" s="88"/>
      <c r="S233" s="88"/>
      <c r="T233" s="59"/>
      <c r="U233" s="59"/>
      <c r="V233" s="59"/>
      <c r="W233" s="59"/>
      <c r="X233" s="59"/>
      <c r="Y233" s="59"/>
      <c r="Z233" s="59"/>
      <c r="AA233" s="59"/>
      <c r="AB233" s="59"/>
    </row>
    <row r="234">
      <c r="A234" s="59"/>
      <c r="B234" s="59"/>
      <c r="C234" s="7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88"/>
      <c r="P234" s="90"/>
      <c r="Q234" s="88"/>
      <c r="R234" s="88"/>
      <c r="S234" s="88"/>
      <c r="T234" s="59"/>
      <c r="U234" s="59"/>
      <c r="V234" s="59"/>
      <c r="W234" s="59"/>
      <c r="X234" s="59"/>
      <c r="Y234" s="59"/>
      <c r="Z234" s="59"/>
      <c r="AA234" s="59"/>
      <c r="AB234" s="59"/>
    </row>
    <row r="235">
      <c r="A235" s="59"/>
      <c r="B235" s="59"/>
      <c r="C235" s="7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88"/>
      <c r="P235" s="90"/>
      <c r="Q235" s="88"/>
      <c r="R235" s="88"/>
      <c r="S235" s="88"/>
      <c r="T235" s="59"/>
      <c r="U235" s="59"/>
      <c r="V235" s="59"/>
      <c r="W235" s="59"/>
      <c r="X235" s="59"/>
      <c r="Y235" s="59"/>
      <c r="Z235" s="59"/>
      <c r="AA235" s="59"/>
      <c r="AB235" s="59"/>
    </row>
    <row r="236">
      <c r="A236" s="59"/>
      <c r="B236" s="59"/>
      <c r="C236" s="7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88"/>
      <c r="P236" s="90"/>
      <c r="Q236" s="88"/>
      <c r="R236" s="88"/>
      <c r="S236" s="88"/>
      <c r="T236" s="59"/>
      <c r="U236" s="59"/>
      <c r="V236" s="59"/>
      <c r="W236" s="59"/>
      <c r="X236" s="59"/>
      <c r="Y236" s="59"/>
      <c r="Z236" s="59"/>
      <c r="AA236" s="59"/>
      <c r="AB236" s="59"/>
    </row>
    <row r="237">
      <c r="A237" s="59"/>
      <c r="B237" s="59"/>
      <c r="C237" s="7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88"/>
      <c r="P237" s="90"/>
      <c r="Q237" s="88"/>
      <c r="R237" s="88"/>
      <c r="S237" s="88"/>
      <c r="T237" s="59"/>
      <c r="U237" s="59"/>
      <c r="V237" s="59"/>
      <c r="W237" s="59"/>
      <c r="X237" s="59"/>
      <c r="Y237" s="59"/>
      <c r="Z237" s="59"/>
      <c r="AA237" s="59"/>
      <c r="AB237" s="59"/>
    </row>
    <row r="238">
      <c r="A238" s="59"/>
      <c r="B238" s="59"/>
      <c r="C238" s="7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88"/>
      <c r="P238" s="90"/>
      <c r="Q238" s="88"/>
      <c r="R238" s="88"/>
      <c r="S238" s="88"/>
      <c r="T238" s="59"/>
      <c r="U238" s="59"/>
      <c r="V238" s="59"/>
      <c r="W238" s="59"/>
      <c r="X238" s="59"/>
      <c r="Y238" s="59"/>
      <c r="Z238" s="59"/>
      <c r="AA238" s="59"/>
      <c r="AB238" s="59"/>
    </row>
    <row r="239">
      <c r="A239" s="59"/>
      <c r="B239" s="59"/>
      <c r="C239" s="7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88"/>
      <c r="P239" s="90"/>
      <c r="Q239" s="88"/>
      <c r="R239" s="88"/>
      <c r="S239" s="88"/>
      <c r="T239" s="59"/>
      <c r="U239" s="59"/>
      <c r="V239" s="59"/>
      <c r="W239" s="59"/>
      <c r="X239" s="59"/>
      <c r="Y239" s="59"/>
      <c r="Z239" s="59"/>
      <c r="AA239" s="59"/>
      <c r="AB239" s="59"/>
    </row>
    <row r="240">
      <c r="A240" s="59"/>
      <c r="B240" s="59"/>
      <c r="C240" s="7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88"/>
      <c r="P240" s="90"/>
      <c r="Q240" s="88"/>
      <c r="R240" s="88"/>
      <c r="S240" s="88"/>
      <c r="T240" s="59"/>
      <c r="U240" s="59"/>
      <c r="V240" s="59"/>
      <c r="W240" s="59"/>
      <c r="X240" s="59"/>
      <c r="Y240" s="59"/>
      <c r="Z240" s="59"/>
      <c r="AA240" s="59"/>
      <c r="AB240" s="59"/>
    </row>
    <row r="241">
      <c r="A241" s="59"/>
      <c r="B241" s="59"/>
      <c r="C241" s="7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88"/>
      <c r="P241" s="90"/>
      <c r="Q241" s="88"/>
      <c r="R241" s="88"/>
      <c r="S241" s="88"/>
      <c r="T241" s="59"/>
      <c r="U241" s="59"/>
      <c r="V241" s="59"/>
      <c r="W241" s="59"/>
      <c r="X241" s="59"/>
      <c r="Y241" s="59"/>
      <c r="Z241" s="59"/>
      <c r="AA241" s="59"/>
      <c r="AB241" s="59"/>
    </row>
    <row r="242">
      <c r="A242" s="59"/>
      <c r="B242" s="59"/>
      <c r="C242" s="7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88"/>
      <c r="P242" s="90"/>
      <c r="Q242" s="88"/>
      <c r="R242" s="88"/>
      <c r="S242" s="88"/>
      <c r="T242" s="59"/>
      <c r="U242" s="59"/>
      <c r="V242" s="59"/>
      <c r="W242" s="59"/>
      <c r="X242" s="59"/>
      <c r="Y242" s="59"/>
      <c r="Z242" s="59"/>
      <c r="AA242" s="59"/>
      <c r="AB242" s="59"/>
    </row>
    <row r="243">
      <c r="A243" s="59"/>
      <c r="B243" s="59"/>
      <c r="C243" s="7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88"/>
      <c r="P243" s="90"/>
      <c r="Q243" s="88"/>
      <c r="R243" s="88"/>
      <c r="S243" s="88"/>
      <c r="T243" s="59"/>
      <c r="U243" s="59"/>
      <c r="V243" s="59"/>
      <c r="W243" s="59"/>
      <c r="X243" s="59"/>
      <c r="Y243" s="59"/>
      <c r="Z243" s="59"/>
      <c r="AA243" s="59"/>
      <c r="AB243" s="59"/>
    </row>
    <row r="244">
      <c r="A244" s="59"/>
      <c r="B244" s="59"/>
      <c r="C244" s="7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88"/>
      <c r="P244" s="90"/>
      <c r="Q244" s="88"/>
      <c r="R244" s="88"/>
      <c r="S244" s="88"/>
      <c r="T244" s="59"/>
      <c r="U244" s="59"/>
      <c r="V244" s="59"/>
      <c r="W244" s="59"/>
      <c r="X244" s="59"/>
      <c r="Y244" s="59"/>
      <c r="Z244" s="59"/>
      <c r="AA244" s="59"/>
      <c r="AB244" s="59"/>
    </row>
    <row r="245">
      <c r="A245" s="59"/>
      <c r="B245" s="59"/>
      <c r="C245" s="7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88"/>
      <c r="P245" s="90"/>
      <c r="Q245" s="88"/>
      <c r="R245" s="88"/>
      <c r="S245" s="88"/>
      <c r="T245" s="59"/>
      <c r="U245" s="59"/>
      <c r="V245" s="59"/>
      <c r="W245" s="59"/>
      <c r="X245" s="59"/>
      <c r="Y245" s="59"/>
      <c r="Z245" s="59"/>
      <c r="AA245" s="59"/>
      <c r="AB245" s="59"/>
    </row>
    <row r="246">
      <c r="A246" s="59"/>
      <c r="B246" s="59"/>
      <c r="C246" s="7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88"/>
      <c r="P246" s="90"/>
      <c r="Q246" s="88"/>
      <c r="R246" s="88"/>
      <c r="S246" s="88"/>
      <c r="T246" s="59"/>
      <c r="U246" s="59"/>
      <c r="V246" s="59"/>
      <c r="W246" s="59"/>
      <c r="X246" s="59"/>
      <c r="Y246" s="59"/>
      <c r="Z246" s="59"/>
      <c r="AA246" s="59"/>
      <c r="AB246" s="59"/>
    </row>
    <row r="247">
      <c r="A247" s="59"/>
      <c r="B247" s="59"/>
      <c r="C247" s="7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88"/>
      <c r="P247" s="90"/>
      <c r="Q247" s="88"/>
      <c r="R247" s="88"/>
      <c r="S247" s="88"/>
      <c r="T247" s="59"/>
      <c r="U247" s="59"/>
      <c r="V247" s="59"/>
      <c r="W247" s="59"/>
      <c r="X247" s="59"/>
      <c r="Y247" s="59"/>
      <c r="Z247" s="59"/>
      <c r="AA247" s="59"/>
      <c r="AB247" s="59"/>
    </row>
    <row r="248">
      <c r="A248" s="59"/>
      <c r="B248" s="59"/>
      <c r="C248" s="7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88"/>
      <c r="P248" s="90"/>
      <c r="Q248" s="88"/>
      <c r="R248" s="88"/>
      <c r="S248" s="88"/>
      <c r="T248" s="59"/>
      <c r="U248" s="59"/>
      <c r="V248" s="59"/>
      <c r="W248" s="59"/>
      <c r="X248" s="59"/>
      <c r="Y248" s="59"/>
      <c r="Z248" s="59"/>
      <c r="AA248" s="59"/>
      <c r="AB248" s="59"/>
    </row>
    <row r="249">
      <c r="A249" s="59"/>
      <c r="B249" s="59"/>
      <c r="C249" s="7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88"/>
      <c r="P249" s="90"/>
      <c r="Q249" s="88"/>
      <c r="R249" s="88"/>
      <c r="S249" s="88"/>
      <c r="T249" s="59"/>
      <c r="U249" s="59"/>
      <c r="V249" s="59"/>
      <c r="W249" s="59"/>
      <c r="X249" s="59"/>
      <c r="Y249" s="59"/>
      <c r="Z249" s="59"/>
      <c r="AA249" s="59"/>
      <c r="AB249" s="59"/>
    </row>
    <row r="250">
      <c r="A250" s="59"/>
      <c r="B250" s="59"/>
      <c r="C250" s="7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88"/>
      <c r="P250" s="90"/>
      <c r="Q250" s="88"/>
      <c r="R250" s="88"/>
      <c r="S250" s="88"/>
      <c r="T250" s="59"/>
      <c r="U250" s="59"/>
      <c r="V250" s="59"/>
      <c r="W250" s="59"/>
      <c r="X250" s="59"/>
      <c r="Y250" s="59"/>
      <c r="Z250" s="59"/>
      <c r="AA250" s="59"/>
      <c r="AB250" s="59"/>
    </row>
    <row r="251">
      <c r="A251" s="59"/>
      <c r="B251" s="59"/>
      <c r="C251" s="7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88"/>
      <c r="P251" s="90"/>
      <c r="Q251" s="88"/>
      <c r="R251" s="88"/>
      <c r="S251" s="88"/>
      <c r="T251" s="59"/>
      <c r="U251" s="59"/>
      <c r="V251" s="59"/>
      <c r="W251" s="59"/>
      <c r="X251" s="59"/>
      <c r="Y251" s="59"/>
      <c r="Z251" s="59"/>
      <c r="AA251" s="59"/>
      <c r="AB251" s="59"/>
    </row>
    <row r="252">
      <c r="A252" s="59"/>
      <c r="B252" s="59"/>
      <c r="C252" s="7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88"/>
      <c r="P252" s="90"/>
      <c r="Q252" s="88"/>
      <c r="R252" s="88"/>
      <c r="S252" s="88"/>
      <c r="T252" s="59"/>
      <c r="U252" s="59"/>
      <c r="V252" s="59"/>
      <c r="W252" s="59"/>
      <c r="X252" s="59"/>
      <c r="Y252" s="59"/>
      <c r="Z252" s="59"/>
      <c r="AA252" s="59"/>
      <c r="AB252" s="59"/>
    </row>
    <row r="253">
      <c r="A253" s="59"/>
      <c r="B253" s="59"/>
      <c r="C253" s="7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88"/>
      <c r="P253" s="90"/>
      <c r="Q253" s="88"/>
      <c r="R253" s="88"/>
      <c r="S253" s="88"/>
      <c r="T253" s="59"/>
      <c r="U253" s="59"/>
      <c r="V253" s="59"/>
      <c r="W253" s="59"/>
      <c r="X253" s="59"/>
      <c r="Y253" s="59"/>
      <c r="Z253" s="59"/>
      <c r="AA253" s="59"/>
      <c r="AB253" s="59"/>
    </row>
    <row r="254">
      <c r="A254" s="59"/>
      <c r="B254" s="59"/>
      <c r="C254" s="7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88"/>
      <c r="P254" s="90"/>
      <c r="Q254" s="88"/>
      <c r="R254" s="88"/>
      <c r="S254" s="88"/>
      <c r="T254" s="59"/>
      <c r="U254" s="59"/>
      <c r="V254" s="59"/>
      <c r="W254" s="59"/>
      <c r="X254" s="59"/>
      <c r="Y254" s="59"/>
      <c r="Z254" s="59"/>
      <c r="AA254" s="59"/>
      <c r="AB254" s="59"/>
    </row>
    <row r="255">
      <c r="A255" s="59"/>
      <c r="B255" s="59"/>
      <c r="C255" s="7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88"/>
      <c r="P255" s="90"/>
      <c r="Q255" s="88"/>
      <c r="R255" s="88"/>
      <c r="S255" s="88"/>
      <c r="T255" s="59"/>
      <c r="U255" s="59"/>
      <c r="V255" s="59"/>
      <c r="W255" s="59"/>
      <c r="X255" s="59"/>
      <c r="Y255" s="59"/>
      <c r="Z255" s="59"/>
      <c r="AA255" s="59"/>
      <c r="AB255" s="59"/>
    </row>
    <row r="256">
      <c r="A256" s="59"/>
      <c r="B256" s="59"/>
      <c r="C256" s="7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88"/>
      <c r="P256" s="90"/>
      <c r="Q256" s="88"/>
      <c r="R256" s="88"/>
      <c r="S256" s="88"/>
      <c r="T256" s="59"/>
      <c r="U256" s="59"/>
      <c r="V256" s="59"/>
      <c r="W256" s="59"/>
      <c r="X256" s="59"/>
      <c r="Y256" s="59"/>
      <c r="Z256" s="59"/>
      <c r="AA256" s="59"/>
      <c r="AB256" s="59"/>
    </row>
    <row r="257">
      <c r="A257" s="59"/>
      <c r="B257" s="59"/>
      <c r="C257" s="7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88"/>
      <c r="P257" s="90"/>
      <c r="Q257" s="88"/>
      <c r="R257" s="88"/>
      <c r="S257" s="88"/>
      <c r="T257" s="59"/>
      <c r="U257" s="59"/>
      <c r="V257" s="59"/>
      <c r="W257" s="59"/>
      <c r="X257" s="59"/>
      <c r="Y257" s="59"/>
      <c r="Z257" s="59"/>
      <c r="AA257" s="59"/>
      <c r="AB257" s="59"/>
    </row>
    <row r="258">
      <c r="A258" s="59"/>
      <c r="B258" s="59"/>
      <c r="C258" s="7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88"/>
      <c r="P258" s="90"/>
      <c r="Q258" s="88"/>
      <c r="R258" s="88"/>
      <c r="S258" s="88"/>
      <c r="T258" s="59"/>
      <c r="U258" s="59"/>
      <c r="V258" s="59"/>
      <c r="W258" s="59"/>
      <c r="X258" s="59"/>
      <c r="Y258" s="59"/>
      <c r="Z258" s="59"/>
      <c r="AA258" s="59"/>
      <c r="AB258" s="59"/>
    </row>
    <row r="259">
      <c r="A259" s="59"/>
      <c r="B259" s="59"/>
      <c r="C259" s="7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88"/>
      <c r="P259" s="90"/>
      <c r="Q259" s="88"/>
      <c r="R259" s="88"/>
      <c r="S259" s="88"/>
      <c r="T259" s="59"/>
      <c r="U259" s="59"/>
      <c r="V259" s="59"/>
      <c r="W259" s="59"/>
      <c r="X259" s="59"/>
      <c r="Y259" s="59"/>
      <c r="Z259" s="59"/>
      <c r="AA259" s="59"/>
      <c r="AB259" s="59"/>
    </row>
    <row r="260">
      <c r="A260" s="59"/>
      <c r="B260" s="59"/>
      <c r="C260" s="7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88"/>
      <c r="P260" s="90"/>
      <c r="Q260" s="88"/>
      <c r="R260" s="88"/>
      <c r="S260" s="88"/>
      <c r="T260" s="59"/>
      <c r="U260" s="59"/>
      <c r="V260" s="59"/>
      <c r="W260" s="59"/>
      <c r="X260" s="59"/>
      <c r="Y260" s="59"/>
      <c r="Z260" s="59"/>
      <c r="AA260" s="59"/>
      <c r="AB260" s="59"/>
    </row>
    <row r="261">
      <c r="A261" s="59"/>
      <c r="B261" s="59"/>
      <c r="C261" s="7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88"/>
      <c r="P261" s="90"/>
      <c r="Q261" s="88"/>
      <c r="R261" s="88"/>
      <c r="S261" s="88"/>
      <c r="T261" s="59"/>
      <c r="U261" s="59"/>
      <c r="V261" s="59"/>
      <c r="W261" s="59"/>
      <c r="X261" s="59"/>
      <c r="Y261" s="59"/>
      <c r="Z261" s="59"/>
      <c r="AA261" s="59"/>
      <c r="AB261" s="59"/>
    </row>
    <row r="262">
      <c r="A262" s="59"/>
      <c r="B262" s="59"/>
      <c r="C262" s="7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88"/>
      <c r="P262" s="90"/>
      <c r="Q262" s="88"/>
      <c r="R262" s="88"/>
      <c r="S262" s="88"/>
      <c r="T262" s="59"/>
      <c r="U262" s="59"/>
      <c r="V262" s="59"/>
      <c r="W262" s="59"/>
      <c r="X262" s="59"/>
      <c r="Y262" s="59"/>
      <c r="Z262" s="59"/>
      <c r="AA262" s="59"/>
      <c r="AB262" s="59"/>
    </row>
    <row r="263">
      <c r="A263" s="59"/>
      <c r="B263" s="59"/>
      <c r="C263" s="7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88"/>
      <c r="P263" s="90"/>
      <c r="Q263" s="88"/>
      <c r="R263" s="88"/>
      <c r="S263" s="88"/>
      <c r="T263" s="59"/>
      <c r="U263" s="59"/>
      <c r="V263" s="59"/>
      <c r="W263" s="59"/>
      <c r="X263" s="59"/>
      <c r="Y263" s="59"/>
      <c r="Z263" s="59"/>
      <c r="AA263" s="59"/>
      <c r="AB263" s="59"/>
    </row>
    <row r="264">
      <c r="A264" s="59"/>
      <c r="B264" s="59"/>
      <c r="C264" s="7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88"/>
      <c r="P264" s="90"/>
      <c r="Q264" s="88"/>
      <c r="R264" s="88"/>
      <c r="S264" s="88"/>
      <c r="T264" s="59"/>
      <c r="U264" s="59"/>
      <c r="V264" s="59"/>
      <c r="W264" s="59"/>
      <c r="X264" s="59"/>
      <c r="Y264" s="59"/>
      <c r="Z264" s="59"/>
      <c r="AA264" s="59"/>
      <c r="AB264" s="59"/>
    </row>
    <row r="265">
      <c r="A265" s="59"/>
      <c r="B265" s="59"/>
      <c r="C265" s="7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88"/>
      <c r="P265" s="90"/>
      <c r="Q265" s="88"/>
      <c r="R265" s="88"/>
      <c r="S265" s="88"/>
      <c r="T265" s="59"/>
      <c r="U265" s="59"/>
      <c r="V265" s="59"/>
      <c r="W265" s="59"/>
      <c r="X265" s="59"/>
      <c r="Y265" s="59"/>
      <c r="Z265" s="59"/>
      <c r="AA265" s="59"/>
      <c r="AB265" s="59"/>
    </row>
    <row r="266">
      <c r="A266" s="59"/>
      <c r="B266" s="59"/>
      <c r="C266" s="7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88"/>
      <c r="P266" s="90"/>
      <c r="Q266" s="88"/>
      <c r="R266" s="88"/>
      <c r="S266" s="88"/>
      <c r="T266" s="59"/>
      <c r="U266" s="59"/>
      <c r="V266" s="59"/>
      <c r="W266" s="59"/>
      <c r="X266" s="59"/>
      <c r="Y266" s="59"/>
      <c r="Z266" s="59"/>
      <c r="AA266" s="59"/>
      <c r="AB266" s="59"/>
    </row>
    <row r="267">
      <c r="A267" s="59"/>
      <c r="B267" s="59"/>
      <c r="C267" s="7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88"/>
      <c r="P267" s="90"/>
      <c r="Q267" s="88"/>
      <c r="R267" s="88"/>
      <c r="S267" s="88"/>
      <c r="T267" s="59"/>
      <c r="U267" s="59"/>
      <c r="V267" s="59"/>
      <c r="W267" s="59"/>
      <c r="X267" s="59"/>
      <c r="Y267" s="59"/>
      <c r="Z267" s="59"/>
      <c r="AA267" s="59"/>
      <c r="AB267" s="59"/>
    </row>
    <row r="268">
      <c r="A268" s="59"/>
      <c r="B268" s="59"/>
      <c r="C268" s="7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88"/>
      <c r="P268" s="90"/>
      <c r="Q268" s="88"/>
      <c r="R268" s="88"/>
      <c r="S268" s="88"/>
      <c r="T268" s="59"/>
      <c r="U268" s="59"/>
      <c r="V268" s="59"/>
      <c r="W268" s="59"/>
      <c r="X268" s="59"/>
      <c r="Y268" s="59"/>
      <c r="Z268" s="59"/>
      <c r="AA268" s="59"/>
      <c r="AB268" s="59"/>
    </row>
    <row r="269">
      <c r="A269" s="59"/>
      <c r="B269" s="59"/>
      <c r="C269" s="7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88"/>
      <c r="P269" s="90"/>
      <c r="Q269" s="88"/>
      <c r="R269" s="88"/>
      <c r="S269" s="88"/>
      <c r="T269" s="59"/>
      <c r="U269" s="59"/>
      <c r="V269" s="59"/>
      <c r="W269" s="59"/>
      <c r="X269" s="59"/>
      <c r="Y269" s="59"/>
      <c r="Z269" s="59"/>
      <c r="AA269" s="59"/>
      <c r="AB269" s="59"/>
    </row>
    <row r="270">
      <c r="A270" s="59"/>
      <c r="B270" s="59"/>
      <c r="C270" s="7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88"/>
      <c r="P270" s="90"/>
      <c r="Q270" s="88"/>
      <c r="R270" s="88"/>
      <c r="S270" s="88"/>
      <c r="T270" s="59"/>
      <c r="U270" s="59"/>
      <c r="V270" s="59"/>
      <c r="W270" s="59"/>
      <c r="X270" s="59"/>
      <c r="Y270" s="59"/>
      <c r="Z270" s="59"/>
      <c r="AA270" s="59"/>
      <c r="AB270" s="59"/>
    </row>
    <row r="271">
      <c r="A271" s="59"/>
      <c r="B271" s="59"/>
      <c r="C271" s="7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88"/>
      <c r="P271" s="90"/>
      <c r="Q271" s="88"/>
      <c r="R271" s="88"/>
      <c r="S271" s="88"/>
      <c r="T271" s="59"/>
      <c r="U271" s="59"/>
      <c r="V271" s="59"/>
      <c r="W271" s="59"/>
      <c r="X271" s="59"/>
      <c r="Y271" s="59"/>
      <c r="Z271" s="59"/>
      <c r="AA271" s="59"/>
      <c r="AB271" s="59"/>
    </row>
    <row r="272">
      <c r="A272" s="59"/>
      <c r="B272" s="59"/>
      <c r="C272" s="7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88"/>
      <c r="P272" s="90"/>
      <c r="Q272" s="88"/>
      <c r="R272" s="88"/>
      <c r="S272" s="88"/>
      <c r="T272" s="59"/>
      <c r="U272" s="59"/>
      <c r="V272" s="59"/>
      <c r="W272" s="59"/>
      <c r="X272" s="59"/>
      <c r="Y272" s="59"/>
      <c r="Z272" s="59"/>
      <c r="AA272" s="59"/>
      <c r="AB272" s="59"/>
    </row>
    <row r="273">
      <c r="A273" s="59"/>
      <c r="B273" s="59"/>
      <c r="C273" s="7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88"/>
      <c r="P273" s="90"/>
      <c r="Q273" s="88"/>
      <c r="R273" s="88"/>
      <c r="S273" s="88"/>
      <c r="T273" s="59"/>
      <c r="U273" s="59"/>
      <c r="V273" s="59"/>
      <c r="W273" s="59"/>
      <c r="X273" s="59"/>
      <c r="Y273" s="59"/>
      <c r="Z273" s="59"/>
      <c r="AA273" s="59"/>
      <c r="AB273" s="59"/>
    </row>
    <row r="274">
      <c r="A274" s="59"/>
      <c r="B274" s="59"/>
      <c r="C274" s="7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88"/>
      <c r="P274" s="90"/>
      <c r="Q274" s="88"/>
      <c r="R274" s="88"/>
      <c r="S274" s="88"/>
      <c r="T274" s="59"/>
      <c r="U274" s="59"/>
      <c r="V274" s="59"/>
      <c r="W274" s="59"/>
      <c r="X274" s="59"/>
      <c r="Y274" s="59"/>
      <c r="Z274" s="59"/>
      <c r="AA274" s="59"/>
      <c r="AB274" s="59"/>
    </row>
    <row r="275">
      <c r="A275" s="59"/>
      <c r="B275" s="59"/>
      <c r="C275" s="7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88"/>
      <c r="P275" s="90"/>
      <c r="Q275" s="88"/>
      <c r="R275" s="88"/>
      <c r="S275" s="88"/>
      <c r="T275" s="59"/>
      <c r="U275" s="59"/>
      <c r="V275" s="59"/>
      <c r="W275" s="59"/>
      <c r="X275" s="59"/>
      <c r="Y275" s="59"/>
      <c r="Z275" s="59"/>
      <c r="AA275" s="59"/>
      <c r="AB275" s="59"/>
    </row>
    <row r="276">
      <c r="A276" s="59"/>
      <c r="B276" s="59"/>
      <c r="C276" s="7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88"/>
      <c r="P276" s="90"/>
      <c r="Q276" s="88"/>
      <c r="R276" s="88"/>
      <c r="S276" s="88"/>
      <c r="T276" s="59"/>
      <c r="U276" s="59"/>
      <c r="V276" s="59"/>
      <c r="W276" s="59"/>
      <c r="X276" s="59"/>
      <c r="Y276" s="59"/>
      <c r="Z276" s="59"/>
      <c r="AA276" s="59"/>
      <c r="AB276" s="59"/>
    </row>
    <row r="277">
      <c r="A277" s="59"/>
      <c r="B277" s="59"/>
      <c r="C277" s="7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88"/>
      <c r="P277" s="90"/>
      <c r="Q277" s="88"/>
      <c r="R277" s="88"/>
      <c r="S277" s="88"/>
      <c r="T277" s="59"/>
      <c r="U277" s="59"/>
      <c r="V277" s="59"/>
      <c r="W277" s="59"/>
      <c r="X277" s="59"/>
      <c r="Y277" s="59"/>
      <c r="Z277" s="59"/>
      <c r="AA277" s="59"/>
      <c r="AB277" s="59"/>
    </row>
    <row r="278">
      <c r="A278" s="59"/>
      <c r="B278" s="59"/>
      <c r="C278" s="7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88"/>
      <c r="P278" s="90"/>
      <c r="Q278" s="88"/>
      <c r="R278" s="88"/>
      <c r="S278" s="88"/>
      <c r="T278" s="59"/>
      <c r="U278" s="59"/>
      <c r="V278" s="59"/>
      <c r="W278" s="59"/>
      <c r="X278" s="59"/>
      <c r="Y278" s="59"/>
      <c r="Z278" s="59"/>
      <c r="AA278" s="59"/>
      <c r="AB278" s="59"/>
    </row>
    <row r="279">
      <c r="A279" s="59"/>
      <c r="B279" s="59"/>
      <c r="C279" s="7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88"/>
      <c r="P279" s="90"/>
      <c r="Q279" s="88"/>
      <c r="R279" s="88"/>
      <c r="S279" s="88"/>
      <c r="T279" s="59"/>
      <c r="U279" s="59"/>
      <c r="V279" s="59"/>
      <c r="W279" s="59"/>
      <c r="X279" s="59"/>
      <c r="Y279" s="59"/>
      <c r="Z279" s="59"/>
      <c r="AA279" s="59"/>
      <c r="AB279" s="59"/>
    </row>
    <row r="280">
      <c r="A280" s="59"/>
      <c r="B280" s="59"/>
      <c r="C280" s="7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88"/>
      <c r="P280" s="90"/>
      <c r="Q280" s="88"/>
      <c r="R280" s="88"/>
      <c r="S280" s="88"/>
      <c r="T280" s="59"/>
      <c r="U280" s="59"/>
      <c r="V280" s="59"/>
      <c r="W280" s="59"/>
      <c r="X280" s="59"/>
      <c r="Y280" s="59"/>
      <c r="Z280" s="59"/>
      <c r="AA280" s="59"/>
      <c r="AB280" s="59"/>
    </row>
    <row r="281">
      <c r="A281" s="59"/>
      <c r="B281" s="59"/>
      <c r="C281" s="7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88"/>
      <c r="P281" s="90"/>
      <c r="Q281" s="88"/>
      <c r="R281" s="88"/>
      <c r="S281" s="88"/>
      <c r="T281" s="59"/>
      <c r="U281" s="59"/>
      <c r="V281" s="59"/>
      <c r="W281" s="59"/>
      <c r="X281" s="59"/>
      <c r="Y281" s="59"/>
      <c r="Z281" s="59"/>
      <c r="AA281" s="59"/>
      <c r="AB281" s="59"/>
    </row>
    <row r="282">
      <c r="A282" s="59"/>
      <c r="B282" s="59"/>
      <c r="C282" s="7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88"/>
      <c r="P282" s="90"/>
      <c r="Q282" s="88"/>
      <c r="R282" s="88"/>
      <c r="S282" s="88"/>
      <c r="T282" s="59"/>
      <c r="U282" s="59"/>
      <c r="V282" s="59"/>
      <c r="W282" s="59"/>
      <c r="X282" s="59"/>
      <c r="Y282" s="59"/>
      <c r="Z282" s="59"/>
      <c r="AA282" s="59"/>
      <c r="AB282" s="59"/>
    </row>
    <row r="283">
      <c r="A283" s="59"/>
      <c r="B283" s="59"/>
      <c r="C283" s="7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88"/>
      <c r="P283" s="90"/>
      <c r="Q283" s="88"/>
      <c r="R283" s="88"/>
      <c r="S283" s="88"/>
      <c r="T283" s="59"/>
      <c r="U283" s="59"/>
      <c r="V283" s="59"/>
      <c r="W283" s="59"/>
      <c r="X283" s="59"/>
      <c r="Y283" s="59"/>
      <c r="Z283" s="59"/>
      <c r="AA283" s="59"/>
      <c r="AB283" s="59"/>
    </row>
    <row r="284">
      <c r="A284" s="59"/>
      <c r="B284" s="59"/>
      <c r="C284" s="7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88"/>
      <c r="P284" s="90"/>
      <c r="Q284" s="88"/>
      <c r="R284" s="88"/>
      <c r="S284" s="88"/>
      <c r="T284" s="59"/>
      <c r="U284" s="59"/>
      <c r="V284" s="59"/>
      <c r="W284" s="59"/>
      <c r="X284" s="59"/>
      <c r="Y284" s="59"/>
      <c r="Z284" s="59"/>
      <c r="AA284" s="59"/>
      <c r="AB284" s="59"/>
    </row>
    <row r="285">
      <c r="A285" s="59"/>
      <c r="B285" s="59"/>
      <c r="C285" s="7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88"/>
      <c r="P285" s="90"/>
      <c r="Q285" s="88"/>
      <c r="R285" s="88"/>
      <c r="S285" s="88"/>
      <c r="T285" s="59"/>
      <c r="U285" s="59"/>
      <c r="V285" s="59"/>
      <c r="W285" s="59"/>
      <c r="X285" s="59"/>
      <c r="Y285" s="59"/>
      <c r="Z285" s="59"/>
      <c r="AA285" s="59"/>
      <c r="AB285" s="59"/>
    </row>
    <row r="286">
      <c r="A286" s="59"/>
      <c r="B286" s="59"/>
      <c r="C286" s="7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88"/>
      <c r="P286" s="90"/>
      <c r="Q286" s="88"/>
      <c r="R286" s="88"/>
      <c r="S286" s="88"/>
      <c r="T286" s="59"/>
      <c r="U286" s="59"/>
      <c r="V286" s="59"/>
      <c r="W286" s="59"/>
      <c r="X286" s="59"/>
      <c r="Y286" s="59"/>
      <c r="Z286" s="59"/>
      <c r="AA286" s="59"/>
      <c r="AB286" s="59"/>
    </row>
    <row r="287">
      <c r="A287" s="59"/>
      <c r="B287" s="59"/>
      <c r="C287" s="7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88"/>
      <c r="P287" s="90"/>
      <c r="Q287" s="88"/>
      <c r="R287" s="88"/>
      <c r="S287" s="88"/>
      <c r="T287" s="59"/>
      <c r="U287" s="59"/>
      <c r="V287" s="59"/>
      <c r="W287" s="59"/>
      <c r="X287" s="59"/>
      <c r="Y287" s="59"/>
      <c r="Z287" s="59"/>
      <c r="AA287" s="59"/>
      <c r="AB287" s="59"/>
    </row>
    <row r="288">
      <c r="A288" s="59"/>
      <c r="B288" s="59"/>
      <c r="C288" s="7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88"/>
      <c r="P288" s="90"/>
      <c r="Q288" s="88"/>
      <c r="R288" s="88"/>
      <c r="S288" s="88"/>
      <c r="T288" s="59"/>
      <c r="U288" s="59"/>
      <c r="V288" s="59"/>
      <c r="W288" s="59"/>
      <c r="X288" s="59"/>
      <c r="Y288" s="59"/>
      <c r="Z288" s="59"/>
      <c r="AA288" s="59"/>
      <c r="AB288" s="59"/>
    </row>
    <row r="289">
      <c r="A289" s="59"/>
      <c r="B289" s="59"/>
      <c r="C289" s="7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88"/>
      <c r="P289" s="90"/>
      <c r="Q289" s="88"/>
      <c r="R289" s="88"/>
      <c r="S289" s="88"/>
      <c r="T289" s="59"/>
      <c r="U289" s="59"/>
      <c r="V289" s="59"/>
      <c r="W289" s="59"/>
      <c r="X289" s="59"/>
      <c r="Y289" s="59"/>
      <c r="Z289" s="59"/>
      <c r="AA289" s="59"/>
      <c r="AB289" s="59"/>
    </row>
    <row r="290">
      <c r="A290" s="59"/>
      <c r="B290" s="59"/>
      <c r="C290" s="7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88"/>
      <c r="P290" s="90"/>
      <c r="Q290" s="88"/>
      <c r="R290" s="88"/>
      <c r="S290" s="88"/>
      <c r="T290" s="59"/>
      <c r="U290" s="59"/>
      <c r="V290" s="59"/>
      <c r="W290" s="59"/>
      <c r="X290" s="59"/>
      <c r="Y290" s="59"/>
      <c r="Z290" s="59"/>
      <c r="AA290" s="59"/>
      <c r="AB290" s="59"/>
    </row>
    <row r="291">
      <c r="A291" s="59"/>
      <c r="B291" s="59"/>
      <c r="C291" s="7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88"/>
      <c r="P291" s="90"/>
      <c r="Q291" s="88"/>
      <c r="R291" s="88"/>
      <c r="S291" s="88"/>
      <c r="T291" s="59"/>
      <c r="U291" s="59"/>
      <c r="V291" s="59"/>
      <c r="W291" s="59"/>
      <c r="X291" s="59"/>
      <c r="Y291" s="59"/>
      <c r="Z291" s="59"/>
      <c r="AA291" s="59"/>
      <c r="AB291" s="59"/>
    </row>
    <row r="292">
      <c r="A292" s="59"/>
      <c r="B292" s="59"/>
      <c r="C292" s="7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88"/>
      <c r="P292" s="90"/>
      <c r="Q292" s="88"/>
      <c r="R292" s="88"/>
      <c r="S292" s="88"/>
      <c r="T292" s="59"/>
      <c r="U292" s="59"/>
      <c r="V292" s="59"/>
      <c r="W292" s="59"/>
      <c r="X292" s="59"/>
      <c r="Y292" s="59"/>
      <c r="Z292" s="59"/>
      <c r="AA292" s="59"/>
      <c r="AB292" s="59"/>
    </row>
    <row r="293">
      <c r="A293" s="59"/>
      <c r="B293" s="59"/>
      <c r="C293" s="7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88"/>
      <c r="P293" s="90"/>
      <c r="Q293" s="88"/>
      <c r="R293" s="88"/>
      <c r="S293" s="88"/>
      <c r="T293" s="59"/>
      <c r="U293" s="59"/>
      <c r="V293" s="59"/>
      <c r="W293" s="59"/>
      <c r="X293" s="59"/>
      <c r="Y293" s="59"/>
      <c r="Z293" s="59"/>
      <c r="AA293" s="59"/>
      <c r="AB293" s="59"/>
    </row>
    <row r="294">
      <c r="A294" s="59"/>
      <c r="B294" s="59"/>
      <c r="C294" s="7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88"/>
      <c r="P294" s="90"/>
      <c r="Q294" s="88"/>
      <c r="R294" s="88"/>
      <c r="S294" s="88"/>
      <c r="T294" s="59"/>
      <c r="U294" s="59"/>
      <c r="V294" s="59"/>
      <c r="W294" s="59"/>
      <c r="X294" s="59"/>
      <c r="Y294" s="59"/>
      <c r="Z294" s="59"/>
      <c r="AA294" s="59"/>
      <c r="AB294" s="59"/>
    </row>
    <row r="295">
      <c r="A295" s="59"/>
      <c r="B295" s="59"/>
      <c r="C295" s="7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88"/>
      <c r="P295" s="90"/>
      <c r="Q295" s="88"/>
      <c r="R295" s="88"/>
      <c r="S295" s="88"/>
      <c r="T295" s="59"/>
      <c r="U295" s="59"/>
      <c r="V295" s="59"/>
      <c r="W295" s="59"/>
      <c r="X295" s="59"/>
      <c r="Y295" s="59"/>
      <c r="Z295" s="59"/>
      <c r="AA295" s="59"/>
      <c r="AB295" s="59"/>
    </row>
    <row r="296">
      <c r="A296" s="59"/>
      <c r="B296" s="59"/>
      <c r="C296" s="7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88"/>
      <c r="P296" s="90"/>
      <c r="Q296" s="88"/>
      <c r="R296" s="88"/>
      <c r="S296" s="88"/>
      <c r="T296" s="59"/>
      <c r="U296" s="59"/>
      <c r="V296" s="59"/>
      <c r="W296" s="59"/>
      <c r="X296" s="59"/>
      <c r="Y296" s="59"/>
      <c r="Z296" s="59"/>
      <c r="AA296" s="59"/>
      <c r="AB296" s="59"/>
    </row>
    <row r="297">
      <c r="A297" s="59"/>
      <c r="B297" s="59"/>
      <c r="C297" s="7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88"/>
      <c r="P297" s="90"/>
      <c r="Q297" s="88"/>
      <c r="R297" s="88"/>
      <c r="S297" s="88"/>
      <c r="T297" s="59"/>
      <c r="U297" s="59"/>
      <c r="V297" s="59"/>
      <c r="W297" s="59"/>
      <c r="X297" s="59"/>
      <c r="Y297" s="59"/>
      <c r="Z297" s="59"/>
      <c r="AA297" s="59"/>
      <c r="AB297" s="59"/>
    </row>
    <row r="298">
      <c r="A298" s="59"/>
      <c r="B298" s="59"/>
      <c r="C298" s="7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88"/>
      <c r="P298" s="90"/>
      <c r="Q298" s="88"/>
      <c r="R298" s="88"/>
      <c r="S298" s="88"/>
      <c r="T298" s="59"/>
      <c r="U298" s="59"/>
      <c r="V298" s="59"/>
      <c r="W298" s="59"/>
      <c r="X298" s="59"/>
      <c r="Y298" s="59"/>
      <c r="Z298" s="59"/>
      <c r="AA298" s="59"/>
      <c r="AB298" s="59"/>
    </row>
    <row r="299">
      <c r="A299" s="59"/>
      <c r="B299" s="59"/>
      <c r="C299" s="7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88"/>
      <c r="P299" s="90"/>
      <c r="Q299" s="88"/>
      <c r="R299" s="88"/>
      <c r="S299" s="88"/>
      <c r="T299" s="59"/>
      <c r="U299" s="59"/>
      <c r="V299" s="59"/>
      <c r="W299" s="59"/>
      <c r="X299" s="59"/>
      <c r="Y299" s="59"/>
      <c r="Z299" s="59"/>
      <c r="AA299" s="59"/>
      <c r="AB299" s="59"/>
    </row>
    <row r="300">
      <c r="A300" s="59"/>
      <c r="B300" s="59"/>
      <c r="C300" s="7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88"/>
      <c r="P300" s="90"/>
      <c r="Q300" s="88"/>
      <c r="R300" s="88"/>
      <c r="S300" s="88"/>
      <c r="T300" s="59"/>
      <c r="U300" s="59"/>
      <c r="V300" s="59"/>
      <c r="W300" s="59"/>
      <c r="X300" s="59"/>
      <c r="Y300" s="59"/>
      <c r="Z300" s="59"/>
      <c r="AA300" s="59"/>
      <c r="AB300" s="59"/>
    </row>
    <row r="301">
      <c r="A301" s="59"/>
      <c r="B301" s="59"/>
      <c r="C301" s="7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88"/>
      <c r="P301" s="90"/>
      <c r="Q301" s="88"/>
      <c r="R301" s="88"/>
      <c r="S301" s="88"/>
      <c r="T301" s="59"/>
      <c r="U301" s="59"/>
      <c r="V301" s="59"/>
      <c r="W301" s="59"/>
      <c r="X301" s="59"/>
      <c r="Y301" s="59"/>
      <c r="Z301" s="59"/>
      <c r="AA301" s="59"/>
      <c r="AB301" s="59"/>
    </row>
    <row r="302">
      <c r="A302" s="59"/>
      <c r="B302" s="59"/>
      <c r="C302" s="7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88"/>
      <c r="P302" s="90"/>
      <c r="Q302" s="88"/>
      <c r="R302" s="88"/>
      <c r="S302" s="88"/>
      <c r="T302" s="59"/>
      <c r="U302" s="59"/>
      <c r="V302" s="59"/>
      <c r="W302" s="59"/>
      <c r="X302" s="59"/>
      <c r="Y302" s="59"/>
      <c r="Z302" s="59"/>
      <c r="AA302" s="59"/>
      <c r="AB302" s="59"/>
    </row>
    <row r="303">
      <c r="A303" s="59"/>
      <c r="B303" s="59"/>
      <c r="C303" s="7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88"/>
      <c r="P303" s="90"/>
      <c r="Q303" s="88"/>
      <c r="R303" s="88"/>
      <c r="S303" s="88"/>
      <c r="T303" s="59"/>
      <c r="U303" s="59"/>
      <c r="V303" s="59"/>
      <c r="W303" s="59"/>
      <c r="X303" s="59"/>
      <c r="Y303" s="59"/>
      <c r="Z303" s="59"/>
      <c r="AA303" s="59"/>
      <c r="AB303" s="59"/>
    </row>
    <row r="304">
      <c r="A304" s="59"/>
      <c r="B304" s="59"/>
      <c r="C304" s="7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88"/>
      <c r="P304" s="90"/>
      <c r="Q304" s="88"/>
      <c r="R304" s="88"/>
      <c r="S304" s="88"/>
      <c r="T304" s="59"/>
      <c r="U304" s="59"/>
      <c r="V304" s="59"/>
      <c r="W304" s="59"/>
      <c r="X304" s="59"/>
      <c r="Y304" s="59"/>
      <c r="Z304" s="59"/>
      <c r="AA304" s="59"/>
      <c r="AB304" s="59"/>
    </row>
    <row r="305">
      <c r="A305" s="59"/>
      <c r="B305" s="59"/>
      <c r="C305" s="7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88"/>
      <c r="P305" s="90"/>
      <c r="Q305" s="88"/>
      <c r="R305" s="88"/>
      <c r="S305" s="88"/>
      <c r="T305" s="59"/>
      <c r="U305" s="59"/>
      <c r="V305" s="59"/>
      <c r="W305" s="59"/>
      <c r="X305" s="59"/>
      <c r="Y305" s="59"/>
      <c r="Z305" s="59"/>
      <c r="AA305" s="59"/>
      <c r="AB305" s="59"/>
    </row>
    <row r="306">
      <c r="A306" s="59"/>
      <c r="B306" s="59"/>
      <c r="C306" s="7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88"/>
      <c r="P306" s="90"/>
      <c r="Q306" s="88"/>
      <c r="R306" s="88"/>
      <c r="S306" s="88"/>
      <c r="T306" s="59"/>
      <c r="U306" s="59"/>
      <c r="V306" s="59"/>
      <c r="W306" s="59"/>
      <c r="X306" s="59"/>
      <c r="Y306" s="59"/>
      <c r="Z306" s="59"/>
      <c r="AA306" s="59"/>
      <c r="AB306" s="59"/>
    </row>
    <row r="307">
      <c r="A307" s="59"/>
      <c r="B307" s="59"/>
      <c r="C307" s="7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88"/>
      <c r="P307" s="90"/>
      <c r="Q307" s="88"/>
      <c r="R307" s="88"/>
      <c r="S307" s="88"/>
      <c r="T307" s="59"/>
      <c r="U307" s="59"/>
      <c r="V307" s="59"/>
      <c r="W307" s="59"/>
      <c r="X307" s="59"/>
      <c r="Y307" s="59"/>
      <c r="Z307" s="59"/>
      <c r="AA307" s="59"/>
      <c r="AB307" s="59"/>
    </row>
    <row r="308">
      <c r="A308" s="59"/>
      <c r="B308" s="59"/>
      <c r="C308" s="7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88"/>
      <c r="P308" s="90"/>
      <c r="Q308" s="88"/>
      <c r="R308" s="88"/>
      <c r="S308" s="88"/>
      <c r="T308" s="59"/>
      <c r="U308" s="59"/>
      <c r="V308" s="59"/>
      <c r="W308" s="59"/>
      <c r="X308" s="59"/>
      <c r="Y308" s="59"/>
      <c r="Z308" s="59"/>
      <c r="AA308" s="59"/>
      <c r="AB308" s="59"/>
    </row>
    <row r="309">
      <c r="A309" s="59"/>
      <c r="B309" s="59"/>
      <c r="C309" s="7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88"/>
      <c r="P309" s="90"/>
      <c r="Q309" s="88"/>
      <c r="R309" s="88"/>
      <c r="S309" s="88"/>
      <c r="T309" s="59"/>
      <c r="U309" s="59"/>
      <c r="V309" s="59"/>
      <c r="W309" s="59"/>
      <c r="X309" s="59"/>
      <c r="Y309" s="59"/>
      <c r="Z309" s="59"/>
      <c r="AA309" s="59"/>
      <c r="AB309" s="59"/>
    </row>
    <row r="310">
      <c r="A310" s="59"/>
      <c r="B310" s="59"/>
      <c r="C310" s="7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88"/>
      <c r="P310" s="90"/>
      <c r="Q310" s="88"/>
      <c r="R310" s="88"/>
      <c r="S310" s="88"/>
      <c r="T310" s="59"/>
      <c r="U310" s="59"/>
      <c r="V310" s="59"/>
      <c r="W310" s="59"/>
      <c r="X310" s="59"/>
      <c r="Y310" s="59"/>
      <c r="Z310" s="59"/>
      <c r="AA310" s="59"/>
      <c r="AB310" s="59"/>
    </row>
    <row r="311">
      <c r="A311" s="59"/>
      <c r="B311" s="59"/>
      <c r="C311" s="7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88"/>
      <c r="P311" s="90"/>
      <c r="Q311" s="88"/>
      <c r="R311" s="88"/>
      <c r="S311" s="88"/>
      <c r="T311" s="59"/>
      <c r="U311" s="59"/>
      <c r="V311" s="59"/>
      <c r="W311" s="59"/>
      <c r="X311" s="59"/>
      <c r="Y311" s="59"/>
      <c r="Z311" s="59"/>
      <c r="AA311" s="59"/>
      <c r="AB311" s="59"/>
    </row>
    <row r="312">
      <c r="A312" s="59"/>
      <c r="B312" s="59"/>
      <c r="C312" s="7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88"/>
      <c r="P312" s="90"/>
      <c r="Q312" s="88"/>
      <c r="R312" s="88"/>
      <c r="S312" s="88"/>
      <c r="T312" s="59"/>
      <c r="U312" s="59"/>
      <c r="V312" s="59"/>
      <c r="W312" s="59"/>
      <c r="X312" s="59"/>
      <c r="Y312" s="59"/>
      <c r="Z312" s="59"/>
      <c r="AA312" s="59"/>
      <c r="AB312" s="59"/>
    </row>
    <row r="313">
      <c r="A313" s="59"/>
      <c r="B313" s="59"/>
      <c r="C313" s="7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88"/>
      <c r="P313" s="90"/>
      <c r="Q313" s="88"/>
      <c r="R313" s="88"/>
      <c r="S313" s="88"/>
      <c r="T313" s="59"/>
      <c r="U313" s="59"/>
      <c r="V313" s="59"/>
      <c r="W313" s="59"/>
      <c r="X313" s="59"/>
      <c r="Y313" s="59"/>
      <c r="Z313" s="59"/>
      <c r="AA313" s="59"/>
      <c r="AB313" s="59"/>
    </row>
    <row r="314">
      <c r="A314" s="59"/>
      <c r="B314" s="59"/>
      <c r="C314" s="7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88"/>
      <c r="P314" s="90"/>
      <c r="Q314" s="88"/>
      <c r="R314" s="88"/>
      <c r="S314" s="88"/>
      <c r="T314" s="59"/>
      <c r="U314" s="59"/>
      <c r="V314" s="59"/>
      <c r="W314" s="59"/>
      <c r="X314" s="59"/>
      <c r="Y314" s="59"/>
      <c r="Z314" s="59"/>
      <c r="AA314" s="59"/>
      <c r="AB314" s="59"/>
    </row>
    <row r="315">
      <c r="A315" s="59"/>
      <c r="B315" s="59"/>
      <c r="C315" s="7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88"/>
      <c r="P315" s="90"/>
      <c r="Q315" s="88"/>
      <c r="R315" s="88"/>
      <c r="S315" s="88"/>
      <c r="T315" s="59"/>
      <c r="U315" s="59"/>
      <c r="V315" s="59"/>
      <c r="W315" s="59"/>
      <c r="X315" s="59"/>
      <c r="Y315" s="59"/>
      <c r="Z315" s="59"/>
      <c r="AA315" s="59"/>
      <c r="AB315" s="59"/>
    </row>
    <row r="316">
      <c r="A316" s="59"/>
      <c r="B316" s="59"/>
      <c r="C316" s="7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88"/>
      <c r="P316" s="90"/>
      <c r="Q316" s="88"/>
      <c r="R316" s="88"/>
      <c r="S316" s="88"/>
      <c r="T316" s="59"/>
      <c r="U316" s="59"/>
      <c r="V316" s="59"/>
      <c r="W316" s="59"/>
      <c r="X316" s="59"/>
      <c r="Y316" s="59"/>
      <c r="Z316" s="59"/>
      <c r="AA316" s="59"/>
      <c r="AB316" s="59"/>
    </row>
    <row r="317">
      <c r="A317" s="59"/>
      <c r="B317" s="59"/>
      <c r="C317" s="7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88"/>
      <c r="P317" s="90"/>
      <c r="Q317" s="88"/>
      <c r="R317" s="88"/>
      <c r="S317" s="88"/>
      <c r="T317" s="59"/>
      <c r="U317" s="59"/>
      <c r="V317" s="59"/>
      <c r="W317" s="59"/>
      <c r="X317" s="59"/>
      <c r="Y317" s="59"/>
      <c r="Z317" s="59"/>
      <c r="AA317" s="59"/>
      <c r="AB317" s="59"/>
    </row>
    <row r="318">
      <c r="A318" s="59"/>
      <c r="B318" s="59"/>
      <c r="C318" s="7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88"/>
      <c r="P318" s="90"/>
      <c r="Q318" s="88"/>
      <c r="R318" s="88"/>
      <c r="S318" s="88"/>
      <c r="T318" s="59"/>
      <c r="U318" s="59"/>
      <c r="V318" s="59"/>
      <c r="W318" s="59"/>
      <c r="X318" s="59"/>
      <c r="Y318" s="59"/>
      <c r="Z318" s="59"/>
      <c r="AA318" s="59"/>
      <c r="AB318" s="59"/>
    </row>
    <row r="319">
      <c r="A319" s="59"/>
      <c r="B319" s="59"/>
      <c r="C319" s="7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88"/>
      <c r="P319" s="90"/>
      <c r="Q319" s="88"/>
      <c r="R319" s="88"/>
      <c r="S319" s="88"/>
      <c r="T319" s="59"/>
      <c r="U319" s="59"/>
      <c r="V319" s="59"/>
      <c r="W319" s="59"/>
      <c r="X319" s="59"/>
      <c r="Y319" s="59"/>
      <c r="Z319" s="59"/>
      <c r="AA319" s="59"/>
      <c r="AB319" s="59"/>
    </row>
    <row r="320">
      <c r="A320" s="59"/>
      <c r="B320" s="59"/>
      <c r="C320" s="7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88"/>
      <c r="P320" s="90"/>
      <c r="Q320" s="88"/>
      <c r="R320" s="88"/>
      <c r="S320" s="88"/>
      <c r="T320" s="59"/>
      <c r="U320" s="59"/>
      <c r="V320" s="59"/>
      <c r="W320" s="59"/>
      <c r="X320" s="59"/>
      <c r="Y320" s="59"/>
      <c r="Z320" s="59"/>
      <c r="AA320" s="59"/>
      <c r="AB320" s="59"/>
    </row>
    <row r="321">
      <c r="A321" s="59"/>
      <c r="B321" s="59"/>
      <c r="C321" s="7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88"/>
      <c r="P321" s="90"/>
      <c r="Q321" s="88"/>
      <c r="R321" s="88"/>
      <c r="S321" s="88"/>
      <c r="T321" s="59"/>
      <c r="U321" s="59"/>
      <c r="V321" s="59"/>
      <c r="W321" s="59"/>
      <c r="X321" s="59"/>
      <c r="Y321" s="59"/>
      <c r="Z321" s="59"/>
      <c r="AA321" s="59"/>
      <c r="AB321" s="59"/>
    </row>
    <row r="322">
      <c r="A322" s="59"/>
      <c r="B322" s="59"/>
      <c r="C322" s="7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88"/>
      <c r="P322" s="90"/>
      <c r="Q322" s="88"/>
      <c r="R322" s="88"/>
      <c r="S322" s="88"/>
      <c r="T322" s="59"/>
      <c r="U322" s="59"/>
      <c r="V322" s="59"/>
      <c r="W322" s="59"/>
      <c r="X322" s="59"/>
      <c r="Y322" s="59"/>
      <c r="Z322" s="59"/>
      <c r="AA322" s="59"/>
      <c r="AB322" s="59"/>
    </row>
    <row r="323">
      <c r="A323" s="59"/>
      <c r="B323" s="59"/>
      <c r="C323" s="7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88"/>
      <c r="P323" s="90"/>
      <c r="Q323" s="88"/>
      <c r="R323" s="88"/>
      <c r="S323" s="88"/>
      <c r="T323" s="59"/>
      <c r="U323" s="59"/>
      <c r="V323" s="59"/>
      <c r="W323" s="59"/>
      <c r="X323" s="59"/>
      <c r="Y323" s="59"/>
      <c r="Z323" s="59"/>
      <c r="AA323" s="59"/>
      <c r="AB323" s="59"/>
    </row>
    <row r="324">
      <c r="A324" s="59"/>
      <c r="B324" s="59"/>
      <c r="C324" s="7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88"/>
      <c r="P324" s="90"/>
      <c r="Q324" s="88"/>
      <c r="R324" s="88"/>
      <c r="S324" s="88"/>
      <c r="T324" s="59"/>
      <c r="U324" s="59"/>
      <c r="V324" s="59"/>
      <c r="W324" s="59"/>
      <c r="X324" s="59"/>
      <c r="Y324" s="59"/>
      <c r="Z324" s="59"/>
      <c r="AA324" s="59"/>
      <c r="AB324" s="59"/>
    </row>
    <row r="325">
      <c r="A325" s="59"/>
      <c r="B325" s="59"/>
      <c r="C325" s="7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88"/>
      <c r="P325" s="90"/>
      <c r="Q325" s="88"/>
      <c r="R325" s="88"/>
      <c r="S325" s="88"/>
      <c r="T325" s="59"/>
      <c r="U325" s="59"/>
      <c r="V325" s="59"/>
      <c r="W325" s="59"/>
      <c r="X325" s="59"/>
      <c r="Y325" s="59"/>
      <c r="Z325" s="59"/>
      <c r="AA325" s="59"/>
      <c r="AB325" s="59"/>
    </row>
    <row r="326">
      <c r="A326" s="59"/>
      <c r="B326" s="59"/>
      <c r="C326" s="7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88"/>
      <c r="P326" s="90"/>
      <c r="Q326" s="88"/>
      <c r="R326" s="88"/>
      <c r="S326" s="88"/>
      <c r="T326" s="59"/>
      <c r="U326" s="59"/>
      <c r="V326" s="59"/>
      <c r="W326" s="59"/>
      <c r="X326" s="59"/>
      <c r="Y326" s="59"/>
      <c r="Z326" s="59"/>
      <c r="AA326" s="59"/>
      <c r="AB326" s="59"/>
    </row>
    <row r="327">
      <c r="A327" s="59"/>
      <c r="B327" s="59"/>
      <c r="C327" s="7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88"/>
      <c r="P327" s="90"/>
      <c r="Q327" s="88"/>
      <c r="R327" s="88"/>
      <c r="S327" s="88"/>
      <c r="T327" s="59"/>
      <c r="U327" s="59"/>
      <c r="V327" s="59"/>
      <c r="W327" s="59"/>
      <c r="X327" s="59"/>
      <c r="Y327" s="59"/>
      <c r="Z327" s="59"/>
      <c r="AA327" s="59"/>
      <c r="AB327" s="59"/>
    </row>
    <row r="328">
      <c r="A328" s="59"/>
      <c r="B328" s="59"/>
      <c r="C328" s="7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88"/>
      <c r="P328" s="90"/>
      <c r="Q328" s="88"/>
      <c r="R328" s="88"/>
      <c r="S328" s="88"/>
      <c r="T328" s="59"/>
      <c r="U328" s="59"/>
      <c r="V328" s="59"/>
      <c r="W328" s="59"/>
      <c r="X328" s="59"/>
      <c r="Y328" s="59"/>
      <c r="Z328" s="59"/>
      <c r="AA328" s="59"/>
      <c r="AB328" s="59"/>
    </row>
    <row r="329">
      <c r="A329" s="59"/>
      <c r="B329" s="59"/>
      <c r="C329" s="7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88"/>
      <c r="P329" s="90"/>
      <c r="Q329" s="88"/>
      <c r="R329" s="88"/>
      <c r="S329" s="88"/>
      <c r="T329" s="59"/>
      <c r="U329" s="59"/>
      <c r="V329" s="59"/>
      <c r="W329" s="59"/>
      <c r="X329" s="59"/>
      <c r="Y329" s="59"/>
      <c r="Z329" s="59"/>
      <c r="AA329" s="59"/>
      <c r="AB329" s="59"/>
    </row>
    <row r="330">
      <c r="A330" s="59"/>
      <c r="B330" s="59"/>
      <c r="C330" s="7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88"/>
      <c r="P330" s="90"/>
      <c r="Q330" s="88"/>
      <c r="R330" s="88"/>
      <c r="S330" s="88"/>
      <c r="T330" s="59"/>
      <c r="U330" s="59"/>
      <c r="V330" s="59"/>
      <c r="W330" s="59"/>
      <c r="X330" s="59"/>
      <c r="Y330" s="59"/>
      <c r="Z330" s="59"/>
      <c r="AA330" s="59"/>
      <c r="AB330" s="59"/>
    </row>
    <row r="331">
      <c r="A331" s="59"/>
      <c r="B331" s="59"/>
      <c r="C331" s="7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88"/>
      <c r="P331" s="90"/>
      <c r="Q331" s="88"/>
      <c r="R331" s="88"/>
      <c r="S331" s="88"/>
      <c r="T331" s="59"/>
      <c r="U331" s="59"/>
      <c r="V331" s="59"/>
      <c r="W331" s="59"/>
      <c r="X331" s="59"/>
      <c r="Y331" s="59"/>
      <c r="Z331" s="59"/>
      <c r="AA331" s="59"/>
      <c r="AB331" s="59"/>
    </row>
    <row r="332">
      <c r="A332" s="59"/>
      <c r="B332" s="59"/>
      <c r="C332" s="7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88"/>
      <c r="P332" s="90"/>
      <c r="Q332" s="88"/>
      <c r="R332" s="88"/>
      <c r="S332" s="88"/>
      <c r="T332" s="59"/>
      <c r="U332" s="59"/>
      <c r="V332" s="59"/>
      <c r="W332" s="59"/>
      <c r="X332" s="59"/>
      <c r="Y332" s="59"/>
      <c r="Z332" s="59"/>
      <c r="AA332" s="59"/>
      <c r="AB332" s="59"/>
    </row>
    <row r="333">
      <c r="A333" s="59"/>
      <c r="B333" s="59"/>
      <c r="C333" s="7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88"/>
      <c r="P333" s="90"/>
      <c r="Q333" s="88"/>
      <c r="R333" s="88"/>
      <c r="S333" s="88"/>
      <c r="T333" s="59"/>
      <c r="U333" s="59"/>
      <c r="V333" s="59"/>
      <c r="W333" s="59"/>
      <c r="X333" s="59"/>
      <c r="Y333" s="59"/>
      <c r="Z333" s="59"/>
      <c r="AA333" s="59"/>
      <c r="AB333" s="59"/>
    </row>
    <row r="334">
      <c r="A334" s="59"/>
      <c r="B334" s="59"/>
      <c r="C334" s="7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88"/>
      <c r="P334" s="90"/>
      <c r="Q334" s="88"/>
      <c r="R334" s="88"/>
      <c r="S334" s="88"/>
      <c r="T334" s="59"/>
      <c r="U334" s="59"/>
      <c r="V334" s="59"/>
      <c r="W334" s="59"/>
      <c r="X334" s="59"/>
      <c r="Y334" s="59"/>
      <c r="Z334" s="59"/>
      <c r="AA334" s="59"/>
      <c r="AB334" s="59"/>
    </row>
    <row r="335">
      <c r="A335" s="59"/>
      <c r="B335" s="59"/>
      <c r="C335" s="7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88"/>
      <c r="P335" s="90"/>
      <c r="Q335" s="88"/>
      <c r="R335" s="88"/>
      <c r="S335" s="88"/>
      <c r="T335" s="59"/>
      <c r="U335" s="59"/>
      <c r="V335" s="59"/>
      <c r="W335" s="59"/>
      <c r="X335" s="59"/>
      <c r="Y335" s="59"/>
      <c r="Z335" s="59"/>
      <c r="AA335" s="59"/>
      <c r="AB335" s="59"/>
    </row>
    <row r="336">
      <c r="A336" s="59"/>
      <c r="B336" s="59"/>
      <c r="C336" s="7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88"/>
      <c r="P336" s="90"/>
      <c r="Q336" s="88"/>
      <c r="R336" s="88"/>
      <c r="S336" s="88"/>
      <c r="T336" s="59"/>
      <c r="U336" s="59"/>
      <c r="V336" s="59"/>
      <c r="W336" s="59"/>
      <c r="X336" s="59"/>
      <c r="Y336" s="59"/>
      <c r="Z336" s="59"/>
      <c r="AA336" s="59"/>
      <c r="AB336" s="59"/>
    </row>
    <row r="337">
      <c r="A337" s="59"/>
      <c r="B337" s="59"/>
      <c r="C337" s="7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88"/>
      <c r="P337" s="90"/>
      <c r="Q337" s="88"/>
      <c r="R337" s="88"/>
      <c r="S337" s="88"/>
      <c r="T337" s="59"/>
      <c r="U337" s="59"/>
      <c r="V337" s="59"/>
      <c r="W337" s="59"/>
      <c r="X337" s="59"/>
      <c r="Y337" s="59"/>
      <c r="Z337" s="59"/>
      <c r="AA337" s="59"/>
      <c r="AB337" s="59"/>
    </row>
    <row r="338">
      <c r="A338" s="59"/>
      <c r="B338" s="59"/>
      <c r="C338" s="7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88"/>
      <c r="P338" s="90"/>
      <c r="Q338" s="88"/>
      <c r="R338" s="88"/>
      <c r="S338" s="88"/>
      <c r="T338" s="59"/>
      <c r="U338" s="59"/>
      <c r="V338" s="59"/>
      <c r="W338" s="59"/>
      <c r="X338" s="59"/>
      <c r="Y338" s="59"/>
      <c r="Z338" s="59"/>
      <c r="AA338" s="59"/>
      <c r="AB338" s="59"/>
    </row>
    <row r="339">
      <c r="A339" s="59"/>
      <c r="B339" s="59"/>
      <c r="C339" s="7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88"/>
      <c r="P339" s="90"/>
      <c r="Q339" s="88"/>
      <c r="R339" s="88"/>
      <c r="S339" s="88"/>
      <c r="T339" s="59"/>
      <c r="U339" s="59"/>
      <c r="V339" s="59"/>
      <c r="W339" s="59"/>
      <c r="X339" s="59"/>
      <c r="Y339" s="59"/>
      <c r="Z339" s="59"/>
      <c r="AA339" s="59"/>
      <c r="AB339" s="59"/>
    </row>
    <row r="340">
      <c r="A340" s="59"/>
      <c r="B340" s="59"/>
      <c r="C340" s="7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88"/>
      <c r="P340" s="90"/>
      <c r="Q340" s="88"/>
      <c r="R340" s="88"/>
      <c r="S340" s="88"/>
      <c r="T340" s="59"/>
      <c r="U340" s="59"/>
      <c r="V340" s="59"/>
      <c r="W340" s="59"/>
      <c r="X340" s="59"/>
      <c r="Y340" s="59"/>
      <c r="Z340" s="59"/>
      <c r="AA340" s="59"/>
      <c r="AB340" s="59"/>
    </row>
    <row r="341">
      <c r="A341" s="59"/>
      <c r="B341" s="59"/>
      <c r="C341" s="7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88"/>
      <c r="P341" s="90"/>
      <c r="Q341" s="88"/>
      <c r="R341" s="88"/>
      <c r="S341" s="88"/>
      <c r="T341" s="59"/>
      <c r="U341" s="59"/>
      <c r="V341" s="59"/>
      <c r="W341" s="59"/>
      <c r="X341" s="59"/>
      <c r="Y341" s="59"/>
      <c r="Z341" s="59"/>
      <c r="AA341" s="59"/>
      <c r="AB341" s="59"/>
    </row>
    <row r="342">
      <c r="A342" s="59"/>
      <c r="B342" s="59"/>
      <c r="C342" s="7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88"/>
      <c r="P342" s="90"/>
      <c r="Q342" s="88"/>
      <c r="R342" s="88"/>
      <c r="S342" s="88"/>
      <c r="T342" s="59"/>
      <c r="U342" s="59"/>
      <c r="V342" s="59"/>
      <c r="W342" s="59"/>
      <c r="X342" s="59"/>
      <c r="Y342" s="59"/>
      <c r="Z342" s="59"/>
      <c r="AA342" s="59"/>
      <c r="AB342" s="59"/>
    </row>
    <row r="343">
      <c r="A343" s="59"/>
      <c r="B343" s="59"/>
      <c r="C343" s="7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88"/>
      <c r="P343" s="90"/>
      <c r="Q343" s="88"/>
      <c r="R343" s="88"/>
      <c r="S343" s="88"/>
      <c r="T343" s="59"/>
      <c r="U343" s="59"/>
      <c r="V343" s="59"/>
      <c r="W343" s="59"/>
      <c r="X343" s="59"/>
      <c r="Y343" s="59"/>
      <c r="Z343" s="59"/>
      <c r="AA343" s="59"/>
      <c r="AB343" s="59"/>
    </row>
    <row r="344">
      <c r="A344" s="59"/>
      <c r="B344" s="59"/>
      <c r="C344" s="7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88"/>
      <c r="P344" s="90"/>
      <c r="Q344" s="88"/>
      <c r="R344" s="88"/>
      <c r="S344" s="88"/>
      <c r="T344" s="59"/>
      <c r="U344" s="59"/>
      <c r="V344" s="59"/>
      <c r="W344" s="59"/>
      <c r="X344" s="59"/>
      <c r="Y344" s="59"/>
      <c r="Z344" s="59"/>
      <c r="AA344" s="59"/>
      <c r="AB344" s="59"/>
    </row>
    <row r="345">
      <c r="A345" s="59"/>
      <c r="B345" s="59"/>
      <c r="C345" s="7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88"/>
      <c r="P345" s="90"/>
      <c r="Q345" s="88"/>
      <c r="R345" s="88"/>
      <c r="S345" s="88"/>
      <c r="T345" s="59"/>
      <c r="U345" s="59"/>
      <c r="V345" s="59"/>
      <c r="W345" s="59"/>
      <c r="X345" s="59"/>
      <c r="Y345" s="59"/>
      <c r="Z345" s="59"/>
      <c r="AA345" s="59"/>
      <c r="AB345" s="59"/>
    </row>
    <row r="346">
      <c r="A346" s="59"/>
      <c r="B346" s="59"/>
      <c r="C346" s="7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88"/>
      <c r="P346" s="90"/>
      <c r="Q346" s="88"/>
      <c r="R346" s="88"/>
      <c r="S346" s="88"/>
      <c r="T346" s="59"/>
      <c r="U346" s="59"/>
      <c r="V346" s="59"/>
      <c r="W346" s="59"/>
      <c r="X346" s="59"/>
      <c r="Y346" s="59"/>
      <c r="Z346" s="59"/>
      <c r="AA346" s="59"/>
      <c r="AB346" s="59"/>
    </row>
    <row r="347">
      <c r="A347" s="59"/>
      <c r="B347" s="59"/>
      <c r="C347" s="7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88"/>
      <c r="P347" s="90"/>
      <c r="Q347" s="88"/>
      <c r="R347" s="88"/>
      <c r="S347" s="88"/>
      <c r="T347" s="59"/>
      <c r="U347" s="59"/>
      <c r="V347" s="59"/>
      <c r="W347" s="59"/>
      <c r="X347" s="59"/>
      <c r="Y347" s="59"/>
      <c r="Z347" s="59"/>
      <c r="AA347" s="59"/>
      <c r="AB347" s="59"/>
    </row>
    <row r="348">
      <c r="A348" s="59"/>
      <c r="B348" s="59"/>
      <c r="C348" s="7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88"/>
      <c r="P348" s="90"/>
      <c r="Q348" s="88"/>
      <c r="R348" s="88"/>
      <c r="S348" s="88"/>
      <c r="T348" s="59"/>
      <c r="U348" s="59"/>
      <c r="V348" s="59"/>
      <c r="W348" s="59"/>
      <c r="X348" s="59"/>
      <c r="Y348" s="59"/>
      <c r="Z348" s="59"/>
      <c r="AA348" s="59"/>
      <c r="AB348" s="59"/>
    </row>
    <row r="349">
      <c r="A349" s="59"/>
      <c r="B349" s="59"/>
      <c r="C349" s="7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88"/>
      <c r="P349" s="90"/>
      <c r="Q349" s="88"/>
      <c r="R349" s="88"/>
      <c r="S349" s="88"/>
      <c r="T349" s="59"/>
      <c r="U349" s="59"/>
      <c r="V349" s="59"/>
      <c r="W349" s="59"/>
      <c r="X349" s="59"/>
      <c r="Y349" s="59"/>
      <c r="Z349" s="59"/>
      <c r="AA349" s="59"/>
      <c r="AB349" s="59"/>
    </row>
    <row r="350">
      <c r="A350" s="59"/>
      <c r="B350" s="59"/>
      <c r="C350" s="7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88"/>
      <c r="P350" s="90"/>
      <c r="Q350" s="88"/>
      <c r="R350" s="88"/>
      <c r="S350" s="88"/>
      <c r="T350" s="59"/>
      <c r="U350" s="59"/>
      <c r="V350" s="59"/>
      <c r="W350" s="59"/>
      <c r="X350" s="59"/>
      <c r="Y350" s="59"/>
      <c r="Z350" s="59"/>
      <c r="AA350" s="59"/>
      <c r="AB350" s="59"/>
    </row>
    <row r="351">
      <c r="A351" s="59"/>
      <c r="B351" s="59"/>
      <c r="C351" s="7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88"/>
      <c r="P351" s="90"/>
      <c r="Q351" s="88"/>
      <c r="R351" s="88"/>
      <c r="S351" s="88"/>
      <c r="T351" s="59"/>
      <c r="U351" s="59"/>
      <c r="V351" s="59"/>
      <c r="W351" s="59"/>
      <c r="X351" s="59"/>
      <c r="Y351" s="59"/>
      <c r="Z351" s="59"/>
      <c r="AA351" s="59"/>
      <c r="AB351" s="59"/>
    </row>
    <row r="352">
      <c r="A352" s="59"/>
      <c r="B352" s="59"/>
      <c r="C352" s="7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88"/>
      <c r="P352" s="90"/>
      <c r="Q352" s="88"/>
      <c r="R352" s="88"/>
      <c r="S352" s="88"/>
      <c r="T352" s="59"/>
      <c r="U352" s="59"/>
      <c r="V352" s="59"/>
      <c r="W352" s="59"/>
      <c r="X352" s="59"/>
      <c r="Y352" s="59"/>
      <c r="Z352" s="59"/>
      <c r="AA352" s="59"/>
      <c r="AB352" s="59"/>
    </row>
    <row r="353">
      <c r="A353" s="59"/>
      <c r="B353" s="59"/>
      <c r="C353" s="7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88"/>
      <c r="P353" s="90"/>
      <c r="Q353" s="88"/>
      <c r="R353" s="88"/>
      <c r="S353" s="88"/>
      <c r="T353" s="59"/>
      <c r="U353" s="59"/>
      <c r="V353" s="59"/>
      <c r="W353" s="59"/>
      <c r="X353" s="59"/>
      <c r="Y353" s="59"/>
      <c r="Z353" s="59"/>
      <c r="AA353" s="59"/>
      <c r="AB353" s="59"/>
    </row>
    <row r="354">
      <c r="A354" s="59"/>
      <c r="B354" s="59"/>
      <c r="C354" s="7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88"/>
      <c r="P354" s="90"/>
      <c r="Q354" s="88"/>
      <c r="R354" s="88"/>
      <c r="S354" s="88"/>
      <c r="T354" s="59"/>
      <c r="U354" s="59"/>
      <c r="V354" s="59"/>
      <c r="W354" s="59"/>
      <c r="X354" s="59"/>
      <c r="Y354" s="59"/>
      <c r="Z354" s="59"/>
      <c r="AA354" s="59"/>
      <c r="AB354" s="59"/>
    </row>
    <row r="355">
      <c r="A355" s="59"/>
      <c r="B355" s="59"/>
      <c r="C355" s="7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88"/>
      <c r="P355" s="90"/>
      <c r="Q355" s="88"/>
      <c r="R355" s="88"/>
      <c r="S355" s="88"/>
      <c r="T355" s="59"/>
      <c r="U355" s="59"/>
      <c r="V355" s="59"/>
      <c r="W355" s="59"/>
      <c r="X355" s="59"/>
      <c r="Y355" s="59"/>
      <c r="Z355" s="59"/>
      <c r="AA355" s="59"/>
      <c r="AB355" s="59"/>
    </row>
    <row r="356">
      <c r="A356" s="59"/>
      <c r="B356" s="59"/>
      <c r="C356" s="7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88"/>
      <c r="P356" s="90"/>
      <c r="Q356" s="88"/>
      <c r="R356" s="88"/>
      <c r="S356" s="88"/>
      <c r="T356" s="59"/>
      <c r="U356" s="59"/>
      <c r="V356" s="59"/>
      <c r="W356" s="59"/>
      <c r="X356" s="59"/>
      <c r="Y356" s="59"/>
      <c r="Z356" s="59"/>
      <c r="AA356" s="59"/>
      <c r="AB356" s="59"/>
    </row>
    <row r="357">
      <c r="A357" s="59"/>
      <c r="B357" s="59"/>
      <c r="C357" s="7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88"/>
      <c r="P357" s="90"/>
      <c r="Q357" s="88"/>
      <c r="R357" s="88"/>
      <c r="S357" s="88"/>
      <c r="T357" s="59"/>
      <c r="U357" s="59"/>
      <c r="V357" s="59"/>
      <c r="W357" s="59"/>
      <c r="X357" s="59"/>
      <c r="Y357" s="59"/>
      <c r="Z357" s="59"/>
      <c r="AA357" s="59"/>
      <c r="AB357" s="59"/>
    </row>
    <row r="358">
      <c r="A358" s="59"/>
      <c r="B358" s="59"/>
      <c r="C358" s="7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88"/>
      <c r="P358" s="90"/>
      <c r="Q358" s="88"/>
      <c r="R358" s="88"/>
      <c r="S358" s="88"/>
      <c r="T358" s="59"/>
      <c r="U358" s="59"/>
      <c r="V358" s="59"/>
      <c r="W358" s="59"/>
      <c r="X358" s="59"/>
      <c r="Y358" s="59"/>
      <c r="Z358" s="59"/>
      <c r="AA358" s="59"/>
      <c r="AB358" s="59"/>
    </row>
    <row r="359">
      <c r="A359" s="59"/>
      <c r="B359" s="59"/>
      <c r="C359" s="7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88"/>
      <c r="P359" s="90"/>
      <c r="Q359" s="88"/>
      <c r="R359" s="88"/>
      <c r="S359" s="88"/>
      <c r="T359" s="59"/>
      <c r="U359" s="59"/>
      <c r="V359" s="59"/>
      <c r="W359" s="59"/>
      <c r="X359" s="59"/>
      <c r="Y359" s="59"/>
      <c r="Z359" s="59"/>
      <c r="AA359" s="59"/>
      <c r="AB359" s="59"/>
    </row>
    <row r="360">
      <c r="A360" s="59"/>
      <c r="B360" s="59"/>
      <c r="C360" s="7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88"/>
      <c r="P360" s="90"/>
      <c r="Q360" s="88"/>
      <c r="R360" s="88"/>
      <c r="S360" s="88"/>
      <c r="T360" s="59"/>
      <c r="U360" s="59"/>
      <c r="V360" s="59"/>
      <c r="W360" s="59"/>
      <c r="X360" s="59"/>
      <c r="Y360" s="59"/>
      <c r="Z360" s="59"/>
      <c r="AA360" s="59"/>
      <c r="AB360" s="59"/>
    </row>
    <row r="361">
      <c r="A361" s="59"/>
      <c r="B361" s="59"/>
      <c r="C361" s="7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88"/>
      <c r="P361" s="90"/>
      <c r="Q361" s="88"/>
      <c r="R361" s="88"/>
      <c r="S361" s="88"/>
      <c r="T361" s="59"/>
      <c r="U361" s="59"/>
      <c r="V361" s="59"/>
      <c r="W361" s="59"/>
      <c r="X361" s="59"/>
      <c r="Y361" s="59"/>
      <c r="Z361" s="59"/>
      <c r="AA361" s="59"/>
      <c r="AB361" s="59"/>
    </row>
    <row r="362">
      <c r="A362" s="59"/>
      <c r="B362" s="59"/>
      <c r="C362" s="7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88"/>
      <c r="P362" s="90"/>
      <c r="Q362" s="88"/>
      <c r="R362" s="88"/>
      <c r="S362" s="88"/>
      <c r="T362" s="59"/>
      <c r="U362" s="59"/>
      <c r="V362" s="59"/>
      <c r="W362" s="59"/>
      <c r="X362" s="59"/>
      <c r="Y362" s="59"/>
      <c r="Z362" s="59"/>
      <c r="AA362" s="59"/>
      <c r="AB362" s="59"/>
    </row>
    <row r="363">
      <c r="A363" s="59"/>
      <c r="B363" s="59"/>
      <c r="C363" s="7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88"/>
      <c r="P363" s="90"/>
      <c r="Q363" s="88"/>
      <c r="R363" s="88"/>
      <c r="S363" s="88"/>
      <c r="T363" s="59"/>
      <c r="U363" s="59"/>
      <c r="V363" s="59"/>
      <c r="W363" s="59"/>
      <c r="X363" s="59"/>
      <c r="Y363" s="59"/>
      <c r="Z363" s="59"/>
      <c r="AA363" s="59"/>
      <c r="AB363" s="59"/>
    </row>
    <row r="364">
      <c r="A364" s="59"/>
      <c r="B364" s="59"/>
      <c r="C364" s="7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88"/>
      <c r="P364" s="90"/>
      <c r="Q364" s="88"/>
      <c r="R364" s="88"/>
      <c r="S364" s="88"/>
      <c r="T364" s="59"/>
      <c r="U364" s="59"/>
      <c r="V364" s="59"/>
      <c r="W364" s="59"/>
      <c r="X364" s="59"/>
      <c r="Y364" s="59"/>
      <c r="Z364" s="59"/>
      <c r="AA364" s="59"/>
      <c r="AB364" s="59"/>
    </row>
    <row r="365">
      <c r="A365" s="59"/>
      <c r="B365" s="59"/>
      <c r="C365" s="7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88"/>
      <c r="P365" s="90"/>
      <c r="Q365" s="88"/>
      <c r="R365" s="88"/>
      <c r="S365" s="88"/>
      <c r="T365" s="59"/>
      <c r="U365" s="59"/>
      <c r="V365" s="59"/>
      <c r="W365" s="59"/>
      <c r="X365" s="59"/>
      <c r="Y365" s="59"/>
      <c r="Z365" s="59"/>
      <c r="AA365" s="59"/>
      <c r="AB365" s="59"/>
    </row>
    <row r="366">
      <c r="A366" s="59"/>
      <c r="B366" s="59"/>
      <c r="C366" s="7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88"/>
      <c r="P366" s="90"/>
      <c r="Q366" s="88"/>
      <c r="R366" s="88"/>
      <c r="S366" s="88"/>
      <c r="T366" s="59"/>
      <c r="U366" s="59"/>
      <c r="V366" s="59"/>
      <c r="W366" s="59"/>
      <c r="X366" s="59"/>
      <c r="Y366" s="59"/>
      <c r="Z366" s="59"/>
      <c r="AA366" s="59"/>
      <c r="AB366" s="59"/>
    </row>
    <row r="367">
      <c r="A367" s="59"/>
      <c r="B367" s="59"/>
      <c r="C367" s="7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88"/>
      <c r="P367" s="90"/>
      <c r="Q367" s="88"/>
      <c r="R367" s="88"/>
      <c r="S367" s="88"/>
      <c r="T367" s="59"/>
      <c r="U367" s="59"/>
      <c r="V367" s="59"/>
      <c r="W367" s="59"/>
      <c r="X367" s="59"/>
      <c r="Y367" s="59"/>
      <c r="Z367" s="59"/>
      <c r="AA367" s="59"/>
      <c r="AB367" s="59"/>
    </row>
    <row r="368">
      <c r="A368" s="59"/>
      <c r="B368" s="59"/>
      <c r="C368" s="7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88"/>
      <c r="P368" s="90"/>
      <c r="Q368" s="88"/>
      <c r="R368" s="88"/>
      <c r="S368" s="88"/>
      <c r="T368" s="59"/>
      <c r="U368" s="59"/>
      <c r="V368" s="59"/>
      <c r="W368" s="59"/>
      <c r="X368" s="59"/>
      <c r="Y368" s="59"/>
      <c r="Z368" s="59"/>
      <c r="AA368" s="59"/>
      <c r="AB368" s="59"/>
    </row>
    <row r="369">
      <c r="A369" s="59"/>
      <c r="B369" s="59"/>
      <c r="C369" s="7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88"/>
      <c r="P369" s="90"/>
      <c r="Q369" s="88"/>
      <c r="R369" s="88"/>
      <c r="S369" s="88"/>
      <c r="T369" s="59"/>
      <c r="U369" s="59"/>
      <c r="V369" s="59"/>
      <c r="W369" s="59"/>
      <c r="X369" s="59"/>
      <c r="Y369" s="59"/>
      <c r="Z369" s="59"/>
      <c r="AA369" s="59"/>
      <c r="AB369" s="59"/>
    </row>
    <row r="370">
      <c r="A370" s="59"/>
      <c r="B370" s="59"/>
      <c r="C370" s="7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88"/>
      <c r="P370" s="90"/>
      <c r="Q370" s="88"/>
      <c r="R370" s="88"/>
      <c r="S370" s="88"/>
      <c r="T370" s="59"/>
      <c r="U370" s="59"/>
      <c r="V370" s="59"/>
      <c r="W370" s="59"/>
      <c r="X370" s="59"/>
      <c r="Y370" s="59"/>
      <c r="Z370" s="59"/>
      <c r="AA370" s="59"/>
      <c r="AB370" s="59"/>
    </row>
    <row r="371">
      <c r="A371" s="59"/>
      <c r="B371" s="59"/>
      <c r="C371" s="7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88"/>
      <c r="P371" s="90"/>
      <c r="Q371" s="88"/>
      <c r="R371" s="88"/>
      <c r="S371" s="88"/>
      <c r="T371" s="59"/>
      <c r="U371" s="59"/>
      <c r="V371" s="59"/>
      <c r="W371" s="59"/>
      <c r="X371" s="59"/>
      <c r="Y371" s="59"/>
      <c r="Z371" s="59"/>
      <c r="AA371" s="59"/>
      <c r="AB371" s="59"/>
    </row>
    <row r="372">
      <c r="A372" s="59"/>
      <c r="B372" s="59"/>
      <c r="C372" s="7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88"/>
      <c r="P372" s="90"/>
      <c r="Q372" s="88"/>
      <c r="R372" s="88"/>
      <c r="S372" s="88"/>
      <c r="T372" s="59"/>
      <c r="U372" s="59"/>
      <c r="V372" s="59"/>
      <c r="W372" s="59"/>
      <c r="X372" s="59"/>
      <c r="Y372" s="59"/>
      <c r="Z372" s="59"/>
      <c r="AA372" s="59"/>
      <c r="AB372" s="59"/>
    </row>
    <row r="373">
      <c r="A373" s="59"/>
      <c r="B373" s="59"/>
      <c r="C373" s="7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88"/>
      <c r="P373" s="90"/>
      <c r="Q373" s="88"/>
      <c r="R373" s="88"/>
      <c r="S373" s="88"/>
      <c r="T373" s="59"/>
      <c r="U373" s="59"/>
      <c r="V373" s="59"/>
      <c r="W373" s="59"/>
      <c r="X373" s="59"/>
      <c r="Y373" s="59"/>
      <c r="Z373" s="59"/>
      <c r="AA373" s="59"/>
      <c r="AB373" s="59"/>
    </row>
    <row r="374">
      <c r="A374" s="59"/>
      <c r="B374" s="59"/>
      <c r="C374" s="7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88"/>
      <c r="P374" s="90"/>
      <c r="Q374" s="88"/>
      <c r="R374" s="88"/>
      <c r="S374" s="88"/>
      <c r="T374" s="59"/>
      <c r="U374" s="59"/>
      <c r="V374" s="59"/>
      <c r="W374" s="59"/>
      <c r="X374" s="59"/>
      <c r="Y374" s="59"/>
      <c r="Z374" s="59"/>
      <c r="AA374" s="59"/>
      <c r="AB374" s="59"/>
    </row>
    <row r="375">
      <c r="A375" s="59"/>
      <c r="B375" s="59"/>
      <c r="C375" s="7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88"/>
      <c r="P375" s="90"/>
      <c r="Q375" s="88"/>
      <c r="R375" s="88"/>
      <c r="S375" s="88"/>
      <c r="T375" s="59"/>
      <c r="U375" s="59"/>
      <c r="V375" s="59"/>
      <c r="W375" s="59"/>
      <c r="X375" s="59"/>
      <c r="Y375" s="59"/>
      <c r="Z375" s="59"/>
      <c r="AA375" s="59"/>
      <c r="AB375" s="59"/>
    </row>
    <row r="376">
      <c r="A376" s="59"/>
      <c r="B376" s="59"/>
      <c r="C376" s="7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88"/>
      <c r="P376" s="90"/>
      <c r="Q376" s="88"/>
      <c r="R376" s="88"/>
      <c r="S376" s="88"/>
      <c r="T376" s="59"/>
      <c r="U376" s="59"/>
      <c r="V376" s="59"/>
      <c r="W376" s="59"/>
      <c r="X376" s="59"/>
      <c r="Y376" s="59"/>
      <c r="Z376" s="59"/>
      <c r="AA376" s="59"/>
      <c r="AB376" s="59"/>
    </row>
    <row r="377">
      <c r="A377" s="59"/>
      <c r="B377" s="59"/>
      <c r="C377" s="7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88"/>
      <c r="P377" s="90"/>
      <c r="Q377" s="88"/>
      <c r="R377" s="88"/>
      <c r="S377" s="88"/>
      <c r="T377" s="59"/>
      <c r="U377" s="59"/>
      <c r="V377" s="59"/>
      <c r="W377" s="59"/>
      <c r="X377" s="59"/>
      <c r="Y377" s="59"/>
      <c r="Z377" s="59"/>
      <c r="AA377" s="59"/>
      <c r="AB377" s="59"/>
    </row>
    <row r="378">
      <c r="A378" s="59"/>
      <c r="B378" s="59"/>
      <c r="C378" s="7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88"/>
      <c r="P378" s="90"/>
      <c r="Q378" s="88"/>
      <c r="R378" s="88"/>
      <c r="S378" s="88"/>
      <c r="T378" s="59"/>
      <c r="U378" s="59"/>
      <c r="V378" s="59"/>
      <c r="W378" s="59"/>
      <c r="X378" s="59"/>
      <c r="Y378" s="59"/>
      <c r="Z378" s="59"/>
      <c r="AA378" s="59"/>
      <c r="AB378" s="59"/>
    </row>
    <row r="379">
      <c r="A379" s="59"/>
      <c r="B379" s="59"/>
      <c r="C379" s="7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88"/>
      <c r="P379" s="90"/>
      <c r="Q379" s="88"/>
      <c r="R379" s="88"/>
      <c r="S379" s="88"/>
      <c r="T379" s="59"/>
      <c r="U379" s="59"/>
      <c r="V379" s="59"/>
      <c r="W379" s="59"/>
      <c r="X379" s="59"/>
      <c r="Y379" s="59"/>
      <c r="Z379" s="59"/>
      <c r="AA379" s="59"/>
      <c r="AB379" s="59"/>
    </row>
    <row r="380">
      <c r="A380" s="59"/>
      <c r="B380" s="59"/>
      <c r="C380" s="7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88"/>
      <c r="P380" s="90"/>
      <c r="Q380" s="88"/>
      <c r="R380" s="88"/>
      <c r="S380" s="88"/>
      <c r="T380" s="59"/>
      <c r="U380" s="59"/>
      <c r="V380" s="59"/>
      <c r="W380" s="59"/>
      <c r="X380" s="59"/>
      <c r="Y380" s="59"/>
      <c r="Z380" s="59"/>
      <c r="AA380" s="59"/>
      <c r="AB380" s="59"/>
    </row>
    <row r="381">
      <c r="A381" s="59"/>
      <c r="B381" s="59"/>
      <c r="C381" s="7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88"/>
      <c r="P381" s="90"/>
      <c r="Q381" s="88"/>
      <c r="R381" s="88"/>
      <c r="S381" s="88"/>
      <c r="T381" s="59"/>
      <c r="U381" s="59"/>
      <c r="V381" s="59"/>
      <c r="W381" s="59"/>
      <c r="X381" s="59"/>
      <c r="Y381" s="59"/>
      <c r="Z381" s="59"/>
      <c r="AA381" s="59"/>
      <c r="AB381" s="59"/>
    </row>
    <row r="382">
      <c r="A382" s="59"/>
      <c r="B382" s="59"/>
      <c r="C382" s="7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88"/>
      <c r="P382" s="90"/>
      <c r="Q382" s="88"/>
      <c r="R382" s="88"/>
      <c r="S382" s="88"/>
      <c r="T382" s="59"/>
      <c r="U382" s="59"/>
      <c r="V382" s="59"/>
      <c r="W382" s="59"/>
      <c r="X382" s="59"/>
      <c r="Y382" s="59"/>
      <c r="Z382" s="59"/>
      <c r="AA382" s="59"/>
      <c r="AB382" s="59"/>
    </row>
    <row r="383">
      <c r="A383" s="59"/>
      <c r="B383" s="59"/>
      <c r="C383" s="7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88"/>
      <c r="P383" s="90"/>
      <c r="Q383" s="88"/>
      <c r="R383" s="88"/>
      <c r="S383" s="88"/>
      <c r="T383" s="59"/>
      <c r="U383" s="59"/>
      <c r="V383" s="59"/>
      <c r="W383" s="59"/>
      <c r="X383" s="59"/>
      <c r="Y383" s="59"/>
      <c r="Z383" s="59"/>
      <c r="AA383" s="59"/>
      <c r="AB383" s="59"/>
    </row>
    <row r="384">
      <c r="A384" s="59"/>
      <c r="B384" s="59"/>
      <c r="C384" s="7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88"/>
      <c r="P384" s="90"/>
      <c r="Q384" s="88"/>
      <c r="R384" s="88"/>
      <c r="S384" s="88"/>
      <c r="T384" s="59"/>
      <c r="U384" s="59"/>
      <c r="V384" s="59"/>
      <c r="W384" s="59"/>
      <c r="X384" s="59"/>
      <c r="Y384" s="59"/>
      <c r="Z384" s="59"/>
      <c r="AA384" s="59"/>
      <c r="AB384" s="59"/>
    </row>
    <row r="385">
      <c r="A385" s="59"/>
      <c r="B385" s="59"/>
      <c r="C385" s="7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88"/>
      <c r="P385" s="90"/>
      <c r="Q385" s="88"/>
      <c r="R385" s="88"/>
      <c r="S385" s="88"/>
      <c r="T385" s="59"/>
      <c r="U385" s="59"/>
      <c r="V385" s="59"/>
      <c r="W385" s="59"/>
      <c r="X385" s="59"/>
      <c r="Y385" s="59"/>
      <c r="Z385" s="59"/>
      <c r="AA385" s="59"/>
      <c r="AB385" s="59"/>
    </row>
    <row r="386">
      <c r="A386" s="59"/>
      <c r="B386" s="59"/>
      <c r="C386" s="7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88"/>
      <c r="P386" s="90"/>
      <c r="Q386" s="88"/>
      <c r="R386" s="88"/>
      <c r="S386" s="88"/>
      <c r="T386" s="59"/>
      <c r="U386" s="59"/>
      <c r="V386" s="59"/>
      <c r="W386" s="59"/>
      <c r="X386" s="59"/>
      <c r="Y386" s="59"/>
      <c r="Z386" s="59"/>
      <c r="AA386" s="59"/>
      <c r="AB386" s="59"/>
    </row>
    <row r="387">
      <c r="A387" s="59"/>
      <c r="B387" s="59"/>
      <c r="C387" s="7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88"/>
      <c r="P387" s="90"/>
      <c r="Q387" s="88"/>
      <c r="R387" s="88"/>
      <c r="S387" s="88"/>
      <c r="T387" s="59"/>
      <c r="U387" s="59"/>
      <c r="V387" s="59"/>
      <c r="W387" s="59"/>
      <c r="X387" s="59"/>
      <c r="Y387" s="59"/>
      <c r="Z387" s="59"/>
      <c r="AA387" s="59"/>
      <c r="AB387" s="59"/>
    </row>
    <row r="388">
      <c r="A388" s="59"/>
      <c r="B388" s="59"/>
      <c r="C388" s="7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88"/>
      <c r="P388" s="90"/>
      <c r="Q388" s="88"/>
      <c r="R388" s="88"/>
      <c r="S388" s="88"/>
      <c r="T388" s="59"/>
      <c r="U388" s="59"/>
      <c r="V388" s="59"/>
      <c r="W388" s="59"/>
      <c r="X388" s="59"/>
      <c r="Y388" s="59"/>
      <c r="Z388" s="59"/>
      <c r="AA388" s="59"/>
      <c r="AB388" s="59"/>
    </row>
    <row r="389">
      <c r="A389" s="59"/>
      <c r="B389" s="59"/>
      <c r="C389" s="7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88"/>
      <c r="P389" s="90"/>
      <c r="Q389" s="88"/>
      <c r="R389" s="88"/>
      <c r="S389" s="88"/>
      <c r="T389" s="59"/>
      <c r="U389" s="59"/>
      <c r="V389" s="59"/>
      <c r="W389" s="59"/>
      <c r="X389" s="59"/>
      <c r="Y389" s="59"/>
      <c r="Z389" s="59"/>
      <c r="AA389" s="59"/>
      <c r="AB389" s="59"/>
    </row>
    <row r="390">
      <c r="A390" s="59"/>
      <c r="B390" s="59"/>
      <c r="C390" s="7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88"/>
      <c r="P390" s="90"/>
      <c r="Q390" s="88"/>
      <c r="R390" s="88"/>
      <c r="S390" s="88"/>
      <c r="T390" s="59"/>
      <c r="U390" s="59"/>
      <c r="V390" s="59"/>
      <c r="W390" s="59"/>
      <c r="X390" s="59"/>
      <c r="Y390" s="59"/>
      <c r="Z390" s="59"/>
      <c r="AA390" s="59"/>
      <c r="AB390" s="59"/>
    </row>
    <row r="391">
      <c r="A391" s="59"/>
      <c r="B391" s="59"/>
      <c r="C391" s="7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88"/>
      <c r="P391" s="90"/>
      <c r="Q391" s="88"/>
      <c r="R391" s="88"/>
      <c r="S391" s="88"/>
      <c r="T391" s="59"/>
      <c r="U391" s="59"/>
      <c r="V391" s="59"/>
      <c r="W391" s="59"/>
      <c r="X391" s="59"/>
      <c r="Y391" s="59"/>
      <c r="Z391" s="59"/>
      <c r="AA391" s="59"/>
      <c r="AB391" s="59"/>
    </row>
    <row r="392">
      <c r="A392" s="59"/>
      <c r="B392" s="59"/>
      <c r="C392" s="7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88"/>
      <c r="P392" s="90"/>
      <c r="Q392" s="88"/>
      <c r="R392" s="88"/>
      <c r="S392" s="88"/>
      <c r="T392" s="59"/>
      <c r="U392" s="59"/>
      <c r="V392" s="59"/>
      <c r="W392" s="59"/>
      <c r="X392" s="59"/>
      <c r="Y392" s="59"/>
      <c r="Z392" s="59"/>
      <c r="AA392" s="59"/>
      <c r="AB392" s="59"/>
    </row>
    <row r="393">
      <c r="A393" s="59"/>
      <c r="B393" s="59"/>
      <c r="C393" s="7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88"/>
      <c r="P393" s="90"/>
      <c r="Q393" s="88"/>
      <c r="R393" s="88"/>
      <c r="S393" s="88"/>
      <c r="T393" s="59"/>
      <c r="U393" s="59"/>
      <c r="V393" s="59"/>
      <c r="W393" s="59"/>
      <c r="X393" s="59"/>
      <c r="Y393" s="59"/>
      <c r="Z393" s="59"/>
      <c r="AA393" s="59"/>
      <c r="AB393" s="59"/>
    </row>
    <row r="394">
      <c r="A394" s="59"/>
      <c r="B394" s="59"/>
      <c r="C394" s="7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88"/>
      <c r="P394" s="90"/>
      <c r="Q394" s="88"/>
      <c r="R394" s="88"/>
      <c r="S394" s="88"/>
      <c r="T394" s="59"/>
      <c r="U394" s="59"/>
      <c r="V394" s="59"/>
      <c r="W394" s="59"/>
      <c r="X394" s="59"/>
      <c r="Y394" s="59"/>
      <c r="Z394" s="59"/>
      <c r="AA394" s="59"/>
      <c r="AB394" s="59"/>
    </row>
    <row r="395">
      <c r="A395" s="59"/>
      <c r="B395" s="59"/>
      <c r="C395" s="7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88"/>
      <c r="P395" s="90"/>
      <c r="Q395" s="88"/>
      <c r="R395" s="88"/>
      <c r="S395" s="88"/>
      <c r="T395" s="59"/>
      <c r="U395" s="59"/>
      <c r="V395" s="59"/>
      <c r="W395" s="59"/>
      <c r="X395" s="59"/>
      <c r="Y395" s="59"/>
      <c r="Z395" s="59"/>
      <c r="AA395" s="59"/>
      <c r="AB395" s="59"/>
    </row>
    <row r="396">
      <c r="A396" s="59"/>
      <c r="B396" s="59"/>
      <c r="C396" s="7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88"/>
      <c r="P396" s="90"/>
      <c r="Q396" s="88"/>
      <c r="R396" s="88"/>
      <c r="S396" s="88"/>
      <c r="T396" s="59"/>
      <c r="U396" s="59"/>
      <c r="V396" s="59"/>
      <c r="W396" s="59"/>
      <c r="X396" s="59"/>
      <c r="Y396" s="59"/>
      <c r="Z396" s="59"/>
      <c r="AA396" s="59"/>
      <c r="AB396" s="59"/>
    </row>
    <row r="397">
      <c r="A397" s="59"/>
      <c r="B397" s="59"/>
      <c r="C397" s="7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88"/>
      <c r="P397" s="90"/>
      <c r="Q397" s="88"/>
      <c r="R397" s="88"/>
      <c r="S397" s="88"/>
      <c r="T397" s="59"/>
      <c r="U397" s="59"/>
      <c r="V397" s="59"/>
      <c r="W397" s="59"/>
      <c r="X397" s="59"/>
      <c r="Y397" s="59"/>
      <c r="Z397" s="59"/>
      <c r="AA397" s="59"/>
      <c r="AB397" s="59"/>
    </row>
    <row r="398">
      <c r="A398" s="59"/>
      <c r="B398" s="59"/>
      <c r="C398" s="7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88"/>
      <c r="P398" s="90"/>
      <c r="Q398" s="88"/>
      <c r="R398" s="88"/>
      <c r="S398" s="88"/>
      <c r="T398" s="59"/>
      <c r="U398" s="59"/>
      <c r="V398" s="59"/>
      <c r="W398" s="59"/>
      <c r="X398" s="59"/>
      <c r="Y398" s="59"/>
      <c r="Z398" s="59"/>
      <c r="AA398" s="59"/>
      <c r="AB398" s="59"/>
    </row>
    <row r="399">
      <c r="A399" s="59"/>
      <c r="B399" s="59"/>
      <c r="C399" s="7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88"/>
      <c r="P399" s="90"/>
      <c r="Q399" s="88"/>
      <c r="R399" s="88"/>
      <c r="S399" s="88"/>
      <c r="T399" s="59"/>
      <c r="U399" s="59"/>
      <c r="V399" s="59"/>
      <c r="W399" s="59"/>
      <c r="X399" s="59"/>
      <c r="Y399" s="59"/>
      <c r="Z399" s="59"/>
      <c r="AA399" s="59"/>
      <c r="AB399" s="59"/>
    </row>
    <row r="400">
      <c r="A400" s="59"/>
      <c r="B400" s="59"/>
      <c r="C400" s="7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88"/>
      <c r="P400" s="90"/>
      <c r="Q400" s="88"/>
      <c r="R400" s="88"/>
      <c r="S400" s="88"/>
      <c r="T400" s="59"/>
      <c r="U400" s="59"/>
      <c r="V400" s="59"/>
      <c r="W400" s="59"/>
      <c r="X400" s="59"/>
      <c r="Y400" s="59"/>
      <c r="Z400" s="59"/>
      <c r="AA400" s="59"/>
      <c r="AB400" s="59"/>
    </row>
    <row r="401">
      <c r="A401" s="59"/>
      <c r="B401" s="59"/>
      <c r="C401" s="7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88"/>
      <c r="P401" s="90"/>
      <c r="Q401" s="88"/>
      <c r="R401" s="88"/>
      <c r="S401" s="88"/>
      <c r="T401" s="59"/>
      <c r="U401" s="59"/>
      <c r="V401" s="59"/>
      <c r="W401" s="59"/>
      <c r="X401" s="59"/>
      <c r="Y401" s="59"/>
      <c r="Z401" s="59"/>
      <c r="AA401" s="59"/>
      <c r="AB401" s="59"/>
    </row>
    <row r="402">
      <c r="A402" s="59"/>
      <c r="B402" s="59"/>
      <c r="C402" s="7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88"/>
      <c r="P402" s="90"/>
      <c r="Q402" s="88"/>
      <c r="R402" s="88"/>
      <c r="S402" s="88"/>
      <c r="T402" s="59"/>
      <c r="U402" s="59"/>
      <c r="V402" s="59"/>
      <c r="W402" s="59"/>
      <c r="X402" s="59"/>
      <c r="Y402" s="59"/>
      <c r="Z402" s="59"/>
      <c r="AA402" s="59"/>
      <c r="AB402" s="59"/>
    </row>
    <row r="403">
      <c r="A403" s="59"/>
      <c r="B403" s="59"/>
      <c r="C403" s="7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88"/>
      <c r="P403" s="90"/>
      <c r="Q403" s="88"/>
      <c r="R403" s="88"/>
      <c r="S403" s="88"/>
      <c r="T403" s="59"/>
      <c r="U403" s="59"/>
      <c r="V403" s="59"/>
      <c r="W403" s="59"/>
      <c r="X403" s="59"/>
      <c r="Y403" s="59"/>
      <c r="Z403" s="59"/>
      <c r="AA403" s="59"/>
      <c r="AB403" s="59"/>
    </row>
    <row r="404">
      <c r="A404" s="59"/>
      <c r="B404" s="59"/>
      <c r="C404" s="7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88"/>
      <c r="P404" s="90"/>
      <c r="Q404" s="88"/>
      <c r="R404" s="88"/>
      <c r="S404" s="88"/>
      <c r="T404" s="59"/>
      <c r="U404" s="59"/>
      <c r="V404" s="59"/>
      <c r="W404" s="59"/>
      <c r="X404" s="59"/>
      <c r="Y404" s="59"/>
      <c r="Z404" s="59"/>
      <c r="AA404" s="59"/>
      <c r="AB404" s="59"/>
    </row>
    <row r="405">
      <c r="A405" s="59"/>
      <c r="B405" s="59"/>
      <c r="C405" s="7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88"/>
      <c r="P405" s="90"/>
      <c r="Q405" s="88"/>
      <c r="R405" s="88"/>
      <c r="S405" s="88"/>
      <c r="T405" s="59"/>
      <c r="U405" s="59"/>
      <c r="V405" s="59"/>
      <c r="W405" s="59"/>
      <c r="X405" s="59"/>
      <c r="Y405" s="59"/>
      <c r="Z405" s="59"/>
      <c r="AA405" s="59"/>
      <c r="AB405" s="59"/>
    </row>
    <row r="406">
      <c r="A406" s="59"/>
      <c r="B406" s="59"/>
      <c r="C406" s="70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88"/>
      <c r="P406" s="90"/>
      <c r="Q406" s="88"/>
      <c r="R406" s="88"/>
      <c r="S406" s="88"/>
      <c r="T406" s="59"/>
      <c r="U406" s="59"/>
      <c r="V406" s="59"/>
      <c r="W406" s="59"/>
      <c r="X406" s="59"/>
      <c r="Y406" s="59"/>
      <c r="Z406" s="59"/>
      <c r="AA406" s="59"/>
      <c r="AB406" s="59"/>
    </row>
    <row r="407">
      <c r="A407" s="59"/>
      <c r="B407" s="59"/>
      <c r="C407" s="70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88"/>
      <c r="P407" s="90"/>
      <c r="Q407" s="88"/>
      <c r="R407" s="88"/>
      <c r="S407" s="88"/>
      <c r="T407" s="59"/>
      <c r="U407" s="59"/>
      <c r="V407" s="59"/>
      <c r="W407" s="59"/>
      <c r="X407" s="59"/>
      <c r="Y407" s="59"/>
      <c r="Z407" s="59"/>
      <c r="AA407" s="59"/>
      <c r="AB407" s="59"/>
    </row>
    <row r="408">
      <c r="A408" s="59"/>
      <c r="B408" s="59"/>
      <c r="C408" s="70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88"/>
      <c r="P408" s="90"/>
      <c r="Q408" s="88"/>
      <c r="R408" s="88"/>
      <c r="S408" s="88"/>
      <c r="T408" s="59"/>
      <c r="U408" s="59"/>
      <c r="V408" s="59"/>
      <c r="W408" s="59"/>
      <c r="X408" s="59"/>
      <c r="Y408" s="59"/>
      <c r="Z408" s="59"/>
      <c r="AA408" s="59"/>
      <c r="AB408" s="59"/>
    </row>
    <row r="409">
      <c r="A409" s="59"/>
      <c r="B409" s="59"/>
      <c r="C409" s="70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88"/>
      <c r="P409" s="90"/>
      <c r="Q409" s="88"/>
      <c r="R409" s="88"/>
      <c r="S409" s="88"/>
      <c r="T409" s="59"/>
      <c r="U409" s="59"/>
      <c r="V409" s="59"/>
      <c r="W409" s="59"/>
      <c r="X409" s="59"/>
      <c r="Y409" s="59"/>
      <c r="Z409" s="59"/>
      <c r="AA409" s="59"/>
      <c r="AB409" s="59"/>
    </row>
    <row r="410">
      <c r="A410" s="59"/>
      <c r="B410" s="59"/>
      <c r="C410" s="70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88"/>
      <c r="P410" s="90"/>
      <c r="Q410" s="88"/>
      <c r="R410" s="88"/>
      <c r="S410" s="88"/>
      <c r="T410" s="59"/>
      <c r="U410" s="59"/>
      <c r="V410" s="59"/>
      <c r="W410" s="59"/>
      <c r="X410" s="59"/>
      <c r="Y410" s="59"/>
      <c r="Z410" s="59"/>
      <c r="AA410" s="59"/>
      <c r="AB410" s="59"/>
    </row>
    <row r="411">
      <c r="A411" s="59"/>
      <c r="B411" s="59"/>
      <c r="C411" s="70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88"/>
      <c r="P411" s="90"/>
      <c r="Q411" s="88"/>
      <c r="R411" s="88"/>
      <c r="S411" s="88"/>
      <c r="T411" s="59"/>
      <c r="U411" s="59"/>
      <c r="V411" s="59"/>
      <c r="W411" s="59"/>
      <c r="X411" s="59"/>
      <c r="Y411" s="59"/>
      <c r="Z411" s="59"/>
      <c r="AA411" s="59"/>
      <c r="AB411" s="59"/>
    </row>
    <row r="412">
      <c r="A412" s="59"/>
      <c r="B412" s="59"/>
      <c r="C412" s="70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88"/>
      <c r="P412" s="90"/>
      <c r="Q412" s="88"/>
      <c r="R412" s="88"/>
      <c r="S412" s="88"/>
      <c r="T412" s="59"/>
      <c r="U412" s="59"/>
      <c r="V412" s="59"/>
      <c r="W412" s="59"/>
      <c r="X412" s="59"/>
      <c r="Y412" s="59"/>
      <c r="Z412" s="59"/>
      <c r="AA412" s="59"/>
      <c r="AB412" s="59"/>
    </row>
    <row r="413">
      <c r="A413" s="59"/>
      <c r="B413" s="59"/>
      <c r="C413" s="70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88"/>
      <c r="P413" s="90"/>
      <c r="Q413" s="88"/>
      <c r="R413" s="88"/>
      <c r="S413" s="88"/>
      <c r="T413" s="59"/>
      <c r="U413" s="59"/>
      <c r="V413" s="59"/>
      <c r="W413" s="59"/>
      <c r="X413" s="59"/>
      <c r="Y413" s="59"/>
      <c r="Z413" s="59"/>
      <c r="AA413" s="59"/>
      <c r="AB413" s="59"/>
    </row>
    <row r="414">
      <c r="A414" s="59"/>
      <c r="B414" s="59"/>
      <c r="C414" s="70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88"/>
      <c r="P414" s="90"/>
      <c r="Q414" s="88"/>
      <c r="R414" s="88"/>
      <c r="S414" s="88"/>
      <c r="T414" s="59"/>
      <c r="U414" s="59"/>
      <c r="V414" s="59"/>
      <c r="W414" s="59"/>
      <c r="X414" s="59"/>
      <c r="Y414" s="59"/>
      <c r="Z414" s="59"/>
      <c r="AA414" s="59"/>
      <c r="AB414" s="59"/>
    </row>
    <row r="415">
      <c r="A415" s="59"/>
      <c r="B415" s="59"/>
      <c r="C415" s="70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88"/>
      <c r="P415" s="90"/>
      <c r="Q415" s="88"/>
      <c r="R415" s="88"/>
      <c r="S415" s="88"/>
      <c r="T415" s="59"/>
      <c r="U415" s="59"/>
      <c r="V415" s="59"/>
      <c r="W415" s="59"/>
      <c r="X415" s="59"/>
      <c r="Y415" s="59"/>
      <c r="Z415" s="59"/>
      <c r="AA415" s="59"/>
      <c r="AB415" s="59"/>
    </row>
    <row r="416">
      <c r="A416" s="59"/>
      <c r="B416" s="59"/>
      <c r="C416" s="70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88"/>
      <c r="P416" s="90"/>
      <c r="Q416" s="88"/>
      <c r="R416" s="88"/>
      <c r="S416" s="88"/>
      <c r="T416" s="59"/>
      <c r="U416" s="59"/>
      <c r="V416" s="59"/>
      <c r="W416" s="59"/>
      <c r="X416" s="59"/>
      <c r="Y416" s="59"/>
      <c r="Z416" s="59"/>
      <c r="AA416" s="59"/>
      <c r="AB416" s="59"/>
    </row>
    <row r="417">
      <c r="A417" s="59"/>
      <c r="B417" s="59"/>
      <c r="C417" s="70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88"/>
      <c r="P417" s="90"/>
      <c r="Q417" s="88"/>
      <c r="R417" s="88"/>
      <c r="S417" s="88"/>
      <c r="T417" s="59"/>
      <c r="U417" s="59"/>
      <c r="V417" s="59"/>
      <c r="W417" s="59"/>
      <c r="X417" s="59"/>
      <c r="Y417" s="59"/>
      <c r="Z417" s="59"/>
      <c r="AA417" s="59"/>
      <c r="AB417" s="59"/>
    </row>
    <row r="418">
      <c r="A418" s="59"/>
      <c r="B418" s="59"/>
      <c r="C418" s="70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88"/>
      <c r="P418" s="90"/>
      <c r="Q418" s="88"/>
      <c r="R418" s="88"/>
      <c r="S418" s="88"/>
      <c r="T418" s="59"/>
      <c r="U418" s="59"/>
      <c r="V418" s="59"/>
      <c r="W418" s="59"/>
      <c r="X418" s="59"/>
      <c r="Y418" s="59"/>
      <c r="Z418" s="59"/>
      <c r="AA418" s="59"/>
      <c r="AB418" s="59"/>
    </row>
    <row r="419">
      <c r="A419" s="59"/>
      <c r="B419" s="59"/>
      <c r="C419" s="70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88"/>
      <c r="P419" s="90"/>
      <c r="Q419" s="88"/>
      <c r="R419" s="88"/>
      <c r="S419" s="88"/>
      <c r="T419" s="59"/>
      <c r="U419" s="59"/>
      <c r="V419" s="59"/>
      <c r="W419" s="59"/>
      <c r="X419" s="59"/>
      <c r="Y419" s="59"/>
      <c r="Z419" s="59"/>
      <c r="AA419" s="59"/>
      <c r="AB419" s="59"/>
    </row>
    <row r="420">
      <c r="A420" s="59"/>
      <c r="B420" s="59"/>
      <c r="C420" s="70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88"/>
      <c r="P420" s="90"/>
      <c r="Q420" s="88"/>
      <c r="R420" s="88"/>
      <c r="S420" s="88"/>
      <c r="T420" s="59"/>
      <c r="U420" s="59"/>
      <c r="V420" s="59"/>
      <c r="W420" s="59"/>
      <c r="X420" s="59"/>
      <c r="Y420" s="59"/>
      <c r="Z420" s="59"/>
      <c r="AA420" s="59"/>
      <c r="AB420" s="59"/>
    </row>
    <row r="421">
      <c r="A421" s="59"/>
      <c r="B421" s="59"/>
      <c r="C421" s="70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88"/>
      <c r="P421" s="90"/>
      <c r="Q421" s="88"/>
      <c r="R421" s="88"/>
      <c r="S421" s="88"/>
      <c r="T421" s="59"/>
      <c r="U421" s="59"/>
      <c r="V421" s="59"/>
      <c r="W421" s="59"/>
      <c r="X421" s="59"/>
      <c r="Y421" s="59"/>
      <c r="Z421" s="59"/>
      <c r="AA421" s="59"/>
      <c r="AB421" s="59"/>
    </row>
    <row r="422">
      <c r="A422" s="59"/>
      <c r="B422" s="59"/>
      <c r="C422" s="70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88"/>
      <c r="P422" s="90"/>
      <c r="Q422" s="88"/>
      <c r="R422" s="88"/>
      <c r="S422" s="88"/>
      <c r="T422" s="59"/>
      <c r="U422" s="59"/>
      <c r="V422" s="59"/>
      <c r="W422" s="59"/>
      <c r="X422" s="59"/>
      <c r="Y422" s="59"/>
      <c r="Z422" s="59"/>
      <c r="AA422" s="59"/>
      <c r="AB422" s="59"/>
    </row>
    <row r="423">
      <c r="A423" s="59"/>
      <c r="B423" s="59"/>
      <c r="C423" s="70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88"/>
      <c r="P423" s="90"/>
      <c r="Q423" s="88"/>
      <c r="R423" s="88"/>
      <c r="S423" s="88"/>
      <c r="T423" s="59"/>
      <c r="U423" s="59"/>
      <c r="V423" s="59"/>
      <c r="W423" s="59"/>
      <c r="X423" s="59"/>
      <c r="Y423" s="59"/>
      <c r="Z423" s="59"/>
      <c r="AA423" s="59"/>
      <c r="AB423" s="59"/>
    </row>
    <row r="424">
      <c r="A424" s="59"/>
      <c r="B424" s="59"/>
      <c r="C424" s="70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88"/>
      <c r="P424" s="90"/>
      <c r="Q424" s="88"/>
      <c r="R424" s="88"/>
      <c r="S424" s="88"/>
      <c r="T424" s="59"/>
      <c r="U424" s="59"/>
      <c r="V424" s="59"/>
      <c r="W424" s="59"/>
      <c r="X424" s="59"/>
      <c r="Y424" s="59"/>
      <c r="Z424" s="59"/>
      <c r="AA424" s="59"/>
      <c r="AB424" s="59"/>
    </row>
    <row r="425">
      <c r="A425" s="59"/>
      <c r="B425" s="59"/>
      <c r="C425" s="70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88"/>
      <c r="P425" s="90"/>
      <c r="Q425" s="88"/>
      <c r="R425" s="88"/>
      <c r="S425" s="88"/>
      <c r="T425" s="59"/>
      <c r="U425" s="59"/>
      <c r="V425" s="59"/>
      <c r="W425" s="59"/>
      <c r="X425" s="59"/>
      <c r="Y425" s="59"/>
      <c r="Z425" s="59"/>
      <c r="AA425" s="59"/>
      <c r="AB425" s="59"/>
    </row>
    <row r="426">
      <c r="A426" s="59"/>
      <c r="B426" s="59"/>
      <c r="C426" s="70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88"/>
      <c r="P426" s="90"/>
      <c r="Q426" s="88"/>
      <c r="R426" s="88"/>
      <c r="S426" s="88"/>
      <c r="T426" s="59"/>
      <c r="U426" s="59"/>
      <c r="V426" s="59"/>
      <c r="W426" s="59"/>
      <c r="X426" s="59"/>
      <c r="Y426" s="59"/>
      <c r="Z426" s="59"/>
      <c r="AA426" s="59"/>
      <c r="AB426" s="59"/>
    </row>
    <row r="427">
      <c r="A427" s="59"/>
      <c r="B427" s="59"/>
      <c r="C427" s="70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88"/>
      <c r="P427" s="90"/>
      <c r="Q427" s="88"/>
      <c r="R427" s="88"/>
      <c r="S427" s="88"/>
      <c r="T427" s="59"/>
      <c r="U427" s="59"/>
      <c r="V427" s="59"/>
      <c r="W427" s="59"/>
      <c r="X427" s="59"/>
      <c r="Y427" s="59"/>
      <c r="Z427" s="59"/>
      <c r="AA427" s="59"/>
      <c r="AB427" s="59"/>
    </row>
    <row r="428">
      <c r="A428" s="59"/>
      <c r="B428" s="59"/>
      <c r="C428" s="70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88"/>
      <c r="P428" s="90"/>
      <c r="Q428" s="88"/>
      <c r="R428" s="88"/>
      <c r="S428" s="88"/>
      <c r="T428" s="59"/>
      <c r="U428" s="59"/>
      <c r="V428" s="59"/>
      <c r="W428" s="59"/>
      <c r="X428" s="59"/>
      <c r="Y428" s="59"/>
      <c r="Z428" s="59"/>
      <c r="AA428" s="59"/>
      <c r="AB428" s="59"/>
    </row>
    <row r="429">
      <c r="A429" s="59"/>
      <c r="B429" s="59"/>
      <c r="C429" s="70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88"/>
      <c r="P429" s="90"/>
      <c r="Q429" s="88"/>
      <c r="R429" s="88"/>
      <c r="S429" s="88"/>
      <c r="T429" s="59"/>
      <c r="U429" s="59"/>
      <c r="V429" s="59"/>
      <c r="W429" s="59"/>
      <c r="X429" s="59"/>
      <c r="Y429" s="59"/>
      <c r="Z429" s="59"/>
      <c r="AA429" s="59"/>
      <c r="AB429" s="59"/>
    </row>
    <row r="430">
      <c r="A430" s="59"/>
      <c r="B430" s="59"/>
      <c r="C430" s="70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88"/>
      <c r="P430" s="90"/>
      <c r="Q430" s="88"/>
      <c r="R430" s="88"/>
      <c r="S430" s="88"/>
      <c r="T430" s="59"/>
      <c r="U430" s="59"/>
      <c r="V430" s="59"/>
      <c r="W430" s="59"/>
      <c r="X430" s="59"/>
      <c r="Y430" s="59"/>
      <c r="Z430" s="59"/>
      <c r="AA430" s="59"/>
      <c r="AB430" s="59"/>
    </row>
    <row r="431">
      <c r="A431" s="59"/>
      <c r="B431" s="59"/>
      <c r="C431" s="70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88"/>
      <c r="P431" s="90"/>
      <c r="Q431" s="88"/>
      <c r="R431" s="88"/>
      <c r="S431" s="88"/>
      <c r="T431" s="59"/>
      <c r="U431" s="59"/>
      <c r="V431" s="59"/>
      <c r="W431" s="59"/>
      <c r="X431" s="59"/>
      <c r="Y431" s="59"/>
      <c r="Z431" s="59"/>
      <c r="AA431" s="59"/>
      <c r="AB431" s="59"/>
    </row>
    <row r="432">
      <c r="A432" s="59"/>
      <c r="B432" s="59"/>
      <c r="C432" s="70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88"/>
      <c r="P432" s="90"/>
      <c r="Q432" s="88"/>
      <c r="R432" s="88"/>
      <c r="S432" s="88"/>
      <c r="T432" s="59"/>
      <c r="U432" s="59"/>
      <c r="V432" s="59"/>
      <c r="W432" s="59"/>
      <c r="X432" s="59"/>
      <c r="Y432" s="59"/>
      <c r="Z432" s="59"/>
      <c r="AA432" s="59"/>
      <c r="AB432" s="59"/>
    </row>
    <row r="433">
      <c r="A433" s="59"/>
      <c r="B433" s="59"/>
      <c r="C433" s="70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88"/>
      <c r="P433" s="90"/>
      <c r="Q433" s="88"/>
      <c r="R433" s="88"/>
      <c r="S433" s="88"/>
      <c r="T433" s="59"/>
      <c r="U433" s="59"/>
      <c r="V433" s="59"/>
      <c r="W433" s="59"/>
      <c r="X433" s="59"/>
      <c r="Y433" s="59"/>
      <c r="Z433" s="59"/>
      <c r="AA433" s="59"/>
      <c r="AB433" s="59"/>
    </row>
    <row r="434">
      <c r="A434" s="59"/>
      <c r="B434" s="59"/>
      <c r="C434" s="70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88"/>
      <c r="P434" s="90"/>
      <c r="Q434" s="88"/>
      <c r="R434" s="88"/>
      <c r="S434" s="88"/>
      <c r="T434" s="59"/>
      <c r="U434" s="59"/>
      <c r="V434" s="59"/>
      <c r="W434" s="59"/>
      <c r="X434" s="59"/>
      <c r="Y434" s="59"/>
      <c r="Z434" s="59"/>
      <c r="AA434" s="59"/>
      <c r="AB434" s="59"/>
    </row>
    <row r="435">
      <c r="A435" s="59"/>
      <c r="B435" s="59"/>
      <c r="C435" s="70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88"/>
      <c r="P435" s="90"/>
      <c r="Q435" s="88"/>
      <c r="R435" s="88"/>
      <c r="S435" s="88"/>
      <c r="T435" s="59"/>
      <c r="U435" s="59"/>
      <c r="V435" s="59"/>
      <c r="W435" s="59"/>
      <c r="X435" s="59"/>
      <c r="Y435" s="59"/>
      <c r="Z435" s="59"/>
      <c r="AA435" s="59"/>
      <c r="AB435" s="59"/>
    </row>
    <row r="436">
      <c r="A436" s="59"/>
      <c r="B436" s="59"/>
      <c r="C436" s="70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88"/>
      <c r="P436" s="90"/>
      <c r="Q436" s="88"/>
      <c r="R436" s="88"/>
      <c r="S436" s="88"/>
      <c r="T436" s="59"/>
      <c r="U436" s="59"/>
      <c r="V436" s="59"/>
      <c r="W436" s="59"/>
      <c r="X436" s="59"/>
      <c r="Y436" s="59"/>
      <c r="Z436" s="59"/>
      <c r="AA436" s="59"/>
      <c r="AB436" s="59"/>
    </row>
    <row r="437">
      <c r="A437" s="59"/>
      <c r="B437" s="59"/>
      <c r="C437" s="70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88"/>
      <c r="P437" s="90"/>
      <c r="Q437" s="88"/>
      <c r="R437" s="88"/>
      <c r="S437" s="88"/>
      <c r="T437" s="59"/>
      <c r="U437" s="59"/>
      <c r="V437" s="59"/>
      <c r="W437" s="59"/>
      <c r="X437" s="59"/>
      <c r="Y437" s="59"/>
      <c r="Z437" s="59"/>
      <c r="AA437" s="59"/>
      <c r="AB437" s="59"/>
    </row>
    <row r="438">
      <c r="A438" s="59"/>
      <c r="B438" s="59"/>
      <c r="C438" s="70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88"/>
      <c r="P438" s="90"/>
      <c r="Q438" s="88"/>
      <c r="R438" s="88"/>
      <c r="S438" s="88"/>
      <c r="T438" s="59"/>
      <c r="U438" s="59"/>
      <c r="V438" s="59"/>
      <c r="W438" s="59"/>
      <c r="X438" s="59"/>
      <c r="Y438" s="59"/>
      <c r="Z438" s="59"/>
      <c r="AA438" s="59"/>
      <c r="AB438" s="59"/>
    </row>
    <row r="439">
      <c r="A439" s="59"/>
      <c r="B439" s="59"/>
      <c r="C439" s="70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88"/>
      <c r="P439" s="90"/>
      <c r="Q439" s="88"/>
      <c r="R439" s="88"/>
      <c r="S439" s="88"/>
      <c r="T439" s="59"/>
      <c r="U439" s="59"/>
      <c r="V439" s="59"/>
      <c r="W439" s="59"/>
      <c r="X439" s="59"/>
      <c r="Y439" s="59"/>
      <c r="Z439" s="59"/>
      <c r="AA439" s="59"/>
      <c r="AB439" s="59"/>
    </row>
    <row r="440">
      <c r="A440" s="59"/>
      <c r="B440" s="59"/>
      <c r="C440" s="70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88"/>
      <c r="P440" s="90"/>
      <c r="Q440" s="88"/>
      <c r="R440" s="88"/>
      <c r="S440" s="88"/>
      <c r="T440" s="59"/>
      <c r="U440" s="59"/>
      <c r="V440" s="59"/>
      <c r="W440" s="59"/>
      <c r="X440" s="59"/>
      <c r="Y440" s="59"/>
      <c r="Z440" s="59"/>
      <c r="AA440" s="59"/>
      <c r="AB440" s="59"/>
    </row>
    <row r="441">
      <c r="A441" s="59"/>
      <c r="B441" s="59"/>
      <c r="C441" s="70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88"/>
      <c r="P441" s="90"/>
      <c r="Q441" s="88"/>
      <c r="R441" s="88"/>
      <c r="S441" s="88"/>
      <c r="T441" s="59"/>
      <c r="U441" s="59"/>
      <c r="V441" s="59"/>
      <c r="W441" s="59"/>
      <c r="X441" s="59"/>
      <c r="Y441" s="59"/>
      <c r="Z441" s="59"/>
      <c r="AA441" s="59"/>
      <c r="AB441" s="59"/>
    </row>
    <row r="442">
      <c r="A442" s="59"/>
      <c r="B442" s="59"/>
      <c r="C442" s="70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88"/>
      <c r="P442" s="90"/>
      <c r="Q442" s="88"/>
      <c r="R442" s="88"/>
      <c r="S442" s="88"/>
      <c r="T442" s="59"/>
      <c r="U442" s="59"/>
      <c r="V442" s="59"/>
      <c r="W442" s="59"/>
      <c r="X442" s="59"/>
      <c r="Y442" s="59"/>
      <c r="Z442" s="59"/>
      <c r="AA442" s="59"/>
      <c r="AB442" s="59"/>
    </row>
    <row r="443">
      <c r="A443" s="59"/>
      <c r="B443" s="59"/>
      <c r="C443" s="70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88"/>
      <c r="P443" s="90"/>
      <c r="Q443" s="88"/>
      <c r="R443" s="88"/>
      <c r="S443" s="88"/>
      <c r="T443" s="59"/>
      <c r="U443" s="59"/>
      <c r="V443" s="59"/>
      <c r="W443" s="59"/>
      <c r="X443" s="59"/>
      <c r="Y443" s="59"/>
      <c r="Z443" s="59"/>
      <c r="AA443" s="59"/>
      <c r="AB443" s="59"/>
    </row>
    <row r="444">
      <c r="A444" s="59"/>
      <c r="B444" s="59"/>
      <c r="C444" s="70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88"/>
      <c r="P444" s="90"/>
      <c r="Q444" s="88"/>
      <c r="R444" s="88"/>
      <c r="S444" s="88"/>
      <c r="T444" s="59"/>
      <c r="U444" s="59"/>
      <c r="V444" s="59"/>
      <c r="W444" s="59"/>
      <c r="X444" s="59"/>
      <c r="Y444" s="59"/>
      <c r="Z444" s="59"/>
      <c r="AA444" s="59"/>
      <c r="AB444" s="59"/>
    </row>
    <row r="445">
      <c r="A445" s="59"/>
      <c r="B445" s="59"/>
      <c r="C445" s="70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88"/>
      <c r="P445" s="90"/>
      <c r="Q445" s="88"/>
      <c r="R445" s="88"/>
      <c r="S445" s="88"/>
      <c r="T445" s="59"/>
      <c r="U445" s="59"/>
      <c r="V445" s="59"/>
      <c r="W445" s="59"/>
      <c r="X445" s="59"/>
      <c r="Y445" s="59"/>
      <c r="Z445" s="59"/>
      <c r="AA445" s="59"/>
      <c r="AB445" s="59"/>
    </row>
    <row r="446">
      <c r="A446" s="59"/>
      <c r="B446" s="59"/>
      <c r="C446" s="70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88"/>
      <c r="P446" s="90"/>
      <c r="Q446" s="88"/>
      <c r="R446" s="88"/>
      <c r="S446" s="88"/>
      <c r="T446" s="59"/>
      <c r="U446" s="59"/>
      <c r="V446" s="59"/>
      <c r="W446" s="59"/>
      <c r="X446" s="59"/>
      <c r="Y446" s="59"/>
      <c r="Z446" s="59"/>
      <c r="AA446" s="59"/>
      <c r="AB446" s="59"/>
    </row>
    <row r="447">
      <c r="A447" s="59"/>
      <c r="B447" s="59"/>
      <c r="C447" s="70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88"/>
      <c r="P447" s="90"/>
      <c r="Q447" s="88"/>
      <c r="R447" s="88"/>
      <c r="S447" s="88"/>
      <c r="T447" s="59"/>
      <c r="U447" s="59"/>
      <c r="V447" s="59"/>
      <c r="W447" s="59"/>
      <c r="X447" s="59"/>
      <c r="Y447" s="59"/>
      <c r="Z447" s="59"/>
      <c r="AA447" s="59"/>
      <c r="AB447" s="59"/>
    </row>
    <row r="448">
      <c r="A448" s="59"/>
      <c r="B448" s="59"/>
      <c r="C448" s="70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88"/>
      <c r="P448" s="90"/>
      <c r="Q448" s="88"/>
      <c r="R448" s="88"/>
      <c r="S448" s="88"/>
      <c r="T448" s="59"/>
      <c r="U448" s="59"/>
      <c r="V448" s="59"/>
      <c r="W448" s="59"/>
      <c r="X448" s="59"/>
      <c r="Y448" s="59"/>
      <c r="Z448" s="59"/>
      <c r="AA448" s="59"/>
      <c r="AB448" s="59"/>
    </row>
    <row r="449">
      <c r="A449" s="59"/>
      <c r="B449" s="59"/>
      <c r="C449" s="70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88"/>
      <c r="P449" s="90"/>
      <c r="Q449" s="88"/>
      <c r="R449" s="88"/>
      <c r="S449" s="88"/>
      <c r="T449" s="59"/>
      <c r="U449" s="59"/>
      <c r="V449" s="59"/>
      <c r="W449" s="59"/>
      <c r="X449" s="59"/>
      <c r="Y449" s="59"/>
      <c r="Z449" s="59"/>
      <c r="AA449" s="59"/>
      <c r="AB449" s="59"/>
    </row>
    <row r="450">
      <c r="A450" s="59"/>
      <c r="B450" s="59"/>
      <c r="C450" s="70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88"/>
      <c r="P450" s="90"/>
      <c r="Q450" s="88"/>
      <c r="R450" s="88"/>
      <c r="S450" s="88"/>
      <c r="T450" s="59"/>
      <c r="U450" s="59"/>
      <c r="V450" s="59"/>
      <c r="W450" s="59"/>
      <c r="X450" s="59"/>
      <c r="Y450" s="59"/>
      <c r="Z450" s="59"/>
      <c r="AA450" s="59"/>
      <c r="AB450" s="59"/>
    </row>
    <row r="451">
      <c r="A451" s="59"/>
      <c r="B451" s="59"/>
      <c r="C451" s="70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88"/>
      <c r="P451" s="90"/>
      <c r="Q451" s="88"/>
      <c r="R451" s="88"/>
      <c r="S451" s="88"/>
      <c r="T451" s="59"/>
      <c r="U451" s="59"/>
      <c r="V451" s="59"/>
      <c r="W451" s="59"/>
      <c r="X451" s="59"/>
      <c r="Y451" s="59"/>
      <c r="Z451" s="59"/>
      <c r="AA451" s="59"/>
      <c r="AB451" s="59"/>
    </row>
    <row r="452">
      <c r="A452" s="59"/>
      <c r="B452" s="59"/>
      <c r="C452" s="70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88"/>
      <c r="P452" s="90"/>
      <c r="Q452" s="88"/>
      <c r="R452" s="88"/>
      <c r="S452" s="88"/>
      <c r="T452" s="59"/>
      <c r="U452" s="59"/>
      <c r="V452" s="59"/>
      <c r="W452" s="59"/>
      <c r="X452" s="59"/>
      <c r="Y452" s="59"/>
      <c r="Z452" s="59"/>
      <c r="AA452" s="59"/>
      <c r="AB452" s="59"/>
    </row>
    <row r="453">
      <c r="A453" s="59"/>
      <c r="B453" s="59"/>
      <c r="C453" s="70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88"/>
      <c r="P453" s="90"/>
      <c r="Q453" s="88"/>
      <c r="R453" s="88"/>
      <c r="S453" s="88"/>
      <c r="T453" s="59"/>
      <c r="U453" s="59"/>
      <c r="V453" s="59"/>
      <c r="W453" s="59"/>
      <c r="X453" s="59"/>
      <c r="Y453" s="59"/>
      <c r="Z453" s="59"/>
      <c r="AA453" s="59"/>
      <c r="AB453" s="59"/>
    </row>
    <row r="454">
      <c r="A454" s="59"/>
      <c r="B454" s="59"/>
      <c r="C454" s="70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88"/>
      <c r="P454" s="90"/>
      <c r="Q454" s="88"/>
      <c r="R454" s="88"/>
      <c r="S454" s="88"/>
      <c r="T454" s="59"/>
      <c r="U454" s="59"/>
      <c r="V454" s="59"/>
      <c r="W454" s="59"/>
      <c r="X454" s="59"/>
      <c r="Y454" s="59"/>
      <c r="Z454" s="59"/>
      <c r="AA454" s="59"/>
      <c r="AB454" s="59"/>
    </row>
    <row r="455">
      <c r="A455" s="59"/>
      <c r="B455" s="59"/>
      <c r="C455" s="70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88"/>
      <c r="P455" s="90"/>
      <c r="Q455" s="88"/>
      <c r="R455" s="88"/>
      <c r="S455" s="88"/>
      <c r="T455" s="59"/>
      <c r="U455" s="59"/>
      <c r="V455" s="59"/>
      <c r="W455" s="59"/>
      <c r="X455" s="59"/>
      <c r="Y455" s="59"/>
      <c r="Z455" s="59"/>
      <c r="AA455" s="59"/>
      <c r="AB455" s="59"/>
    </row>
    <row r="456">
      <c r="A456" s="59"/>
      <c r="B456" s="59"/>
      <c r="C456" s="70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88"/>
      <c r="P456" s="90"/>
      <c r="Q456" s="88"/>
      <c r="R456" s="88"/>
      <c r="S456" s="88"/>
      <c r="T456" s="59"/>
      <c r="U456" s="59"/>
      <c r="V456" s="59"/>
      <c r="W456" s="59"/>
      <c r="X456" s="59"/>
      <c r="Y456" s="59"/>
      <c r="Z456" s="59"/>
      <c r="AA456" s="59"/>
      <c r="AB456" s="59"/>
    </row>
    <row r="457">
      <c r="A457" s="59"/>
      <c r="B457" s="59"/>
      <c r="C457" s="70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88"/>
      <c r="P457" s="90"/>
      <c r="Q457" s="88"/>
      <c r="R457" s="88"/>
      <c r="S457" s="88"/>
      <c r="T457" s="59"/>
      <c r="U457" s="59"/>
      <c r="V457" s="59"/>
      <c r="W457" s="59"/>
      <c r="X457" s="59"/>
      <c r="Y457" s="59"/>
      <c r="Z457" s="59"/>
      <c r="AA457" s="59"/>
      <c r="AB457" s="59"/>
    </row>
    <row r="458">
      <c r="A458" s="59"/>
      <c r="B458" s="59"/>
      <c r="C458" s="70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88"/>
      <c r="P458" s="90"/>
      <c r="Q458" s="88"/>
      <c r="R458" s="88"/>
      <c r="S458" s="88"/>
      <c r="T458" s="59"/>
      <c r="U458" s="59"/>
      <c r="V458" s="59"/>
      <c r="W458" s="59"/>
      <c r="X458" s="59"/>
      <c r="Y458" s="59"/>
      <c r="Z458" s="59"/>
      <c r="AA458" s="59"/>
      <c r="AB458" s="59"/>
    </row>
    <row r="459">
      <c r="A459" s="59"/>
      <c r="B459" s="59"/>
      <c r="C459" s="70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88"/>
      <c r="P459" s="90"/>
      <c r="Q459" s="88"/>
      <c r="R459" s="88"/>
      <c r="S459" s="88"/>
      <c r="T459" s="59"/>
      <c r="U459" s="59"/>
      <c r="V459" s="59"/>
      <c r="W459" s="59"/>
      <c r="X459" s="59"/>
      <c r="Y459" s="59"/>
      <c r="Z459" s="59"/>
      <c r="AA459" s="59"/>
      <c r="AB459" s="59"/>
    </row>
    <row r="460">
      <c r="A460" s="59"/>
      <c r="B460" s="59"/>
      <c r="C460" s="70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88"/>
      <c r="P460" s="90"/>
      <c r="Q460" s="88"/>
      <c r="R460" s="88"/>
      <c r="S460" s="88"/>
      <c r="T460" s="59"/>
      <c r="U460" s="59"/>
      <c r="V460" s="59"/>
      <c r="W460" s="59"/>
      <c r="X460" s="59"/>
      <c r="Y460" s="59"/>
      <c r="Z460" s="59"/>
      <c r="AA460" s="59"/>
      <c r="AB460" s="59"/>
    </row>
    <row r="461">
      <c r="A461" s="59"/>
      <c r="B461" s="59"/>
      <c r="C461" s="70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88"/>
      <c r="P461" s="90"/>
      <c r="Q461" s="88"/>
      <c r="R461" s="88"/>
      <c r="S461" s="88"/>
      <c r="T461" s="59"/>
      <c r="U461" s="59"/>
      <c r="V461" s="59"/>
      <c r="W461" s="59"/>
      <c r="X461" s="59"/>
      <c r="Y461" s="59"/>
      <c r="Z461" s="59"/>
      <c r="AA461" s="59"/>
      <c r="AB461" s="59"/>
    </row>
    <row r="462">
      <c r="A462" s="59"/>
      <c r="B462" s="59"/>
      <c r="C462" s="70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88"/>
      <c r="P462" s="90"/>
      <c r="Q462" s="88"/>
      <c r="R462" s="88"/>
      <c r="S462" s="88"/>
      <c r="T462" s="59"/>
      <c r="U462" s="59"/>
      <c r="V462" s="59"/>
      <c r="W462" s="59"/>
      <c r="X462" s="59"/>
      <c r="Y462" s="59"/>
      <c r="Z462" s="59"/>
      <c r="AA462" s="59"/>
      <c r="AB462" s="59"/>
    </row>
    <row r="463">
      <c r="A463" s="59"/>
      <c r="B463" s="59"/>
      <c r="C463" s="70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88"/>
      <c r="P463" s="90"/>
      <c r="Q463" s="88"/>
      <c r="R463" s="88"/>
      <c r="S463" s="88"/>
      <c r="T463" s="59"/>
      <c r="U463" s="59"/>
      <c r="V463" s="59"/>
      <c r="W463" s="59"/>
      <c r="X463" s="59"/>
      <c r="Y463" s="59"/>
      <c r="Z463" s="59"/>
      <c r="AA463" s="59"/>
      <c r="AB463" s="59"/>
    </row>
    <row r="464">
      <c r="A464" s="59"/>
      <c r="B464" s="59"/>
      <c r="C464" s="70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88"/>
      <c r="P464" s="90"/>
      <c r="Q464" s="88"/>
      <c r="R464" s="88"/>
      <c r="S464" s="88"/>
      <c r="T464" s="59"/>
      <c r="U464" s="59"/>
      <c r="V464" s="59"/>
      <c r="W464" s="59"/>
      <c r="X464" s="59"/>
      <c r="Y464" s="59"/>
      <c r="Z464" s="59"/>
      <c r="AA464" s="59"/>
      <c r="AB464" s="59"/>
    </row>
    <row r="465">
      <c r="A465" s="59"/>
      <c r="B465" s="59"/>
      <c r="C465" s="70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88"/>
      <c r="P465" s="90"/>
      <c r="Q465" s="88"/>
      <c r="R465" s="88"/>
      <c r="S465" s="88"/>
      <c r="T465" s="59"/>
      <c r="U465" s="59"/>
      <c r="V465" s="59"/>
      <c r="W465" s="59"/>
      <c r="X465" s="59"/>
      <c r="Y465" s="59"/>
      <c r="Z465" s="59"/>
      <c r="AA465" s="59"/>
      <c r="AB465" s="59"/>
    </row>
    <row r="466">
      <c r="A466" s="59"/>
      <c r="B466" s="59"/>
      <c r="C466" s="70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88"/>
      <c r="P466" s="90"/>
      <c r="Q466" s="88"/>
      <c r="R466" s="88"/>
      <c r="S466" s="88"/>
      <c r="T466" s="59"/>
      <c r="U466" s="59"/>
      <c r="V466" s="59"/>
      <c r="W466" s="59"/>
      <c r="X466" s="59"/>
      <c r="Y466" s="59"/>
      <c r="Z466" s="59"/>
      <c r="AA466" s="59"/>
      <c r="AB466" s="59"/>
    </row>
    <row r="467">
      <c r="A467" s="59"/>
      <c r="B467" s="59"/>
      <c r="C467" s="70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88"/>
      <c r="P467" s="90"/>
      <c r="Q467" s="88"/>
      <c r="R467" s="88"/>
      <c r="S467" s="88"/>
      <c r="T467" s="59"/>
      <c r="U467" s="59"/>
      <c r="V467" s="59"/>
      <c r="W467" s="59"/>
      <c r="X467" s="59"/>
      <c r="Y467" s="59"/>
      <c r="Z467" s="59"/>
      <c r="AA467" s="59"/>
      <c r="AB467" s="59"/>
    </row>
    <row r="468">
      <c r="A468" s="59"/>
      <c r="B468" s="59"/>
      <c r="C468" s="70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88"/>
      <c r="P468" s="90"/>
      <c r="Q468" s="88"/>
      <c r="R468" s="88"/>
      <c r="S468" s="88"/>
      <c r="T468" s="59"/>
      <c r="U468" s="59"/>
      <c r="V468" s="59"/>
      <c r="W468" s="59"/>
      <c r="X468" s="59"/>
      <c r="Y468" s="59"/>
      <c r="Z468" s="59"/>
      <c r="AA468" s="59"/>
      <c r="AB468" s="59"/>
    </row>
    <row r="469">
      <c r="A469" s="59"/>
      <c r="B469" s="59"/>
      <c r="C469" s="70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88"/>
      <c r="P469" s="90"/>
      <c r="Q469" s="88"/>
      <c r="R469" s="88"/>
      <c r="S469" s="88"/>
      <c r="T469" s="59"/>
      <c r="U469" s="59"/>
      <c r="V469" s="59"/>
      <c r="W469" s="59"/>
      <c r="X469" s="59"/>
      <c r="Y469" s="59"/>
      <c r="Z469" s="59"/>
      <c r="AA469" s="59"/>
      <c r="AB469" s="59"/>
    </row>
    <row r="470">
      <c r="A470" s="59"/>
      <c r="B470" s="59"/>
      <c r="C470" s="70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88"/>
      <c r="P470" s="90"/>
      <c r="Q470" s="88"/>
      <c r="R470" s="88"/>
      <c r="S470" s="88"/>
      <c r="T470" s="59"/>
      <c r="U470" s="59"/>
      <c r="V470" s="59"/>
      <c r="W470" s="59"/>
      <c r="X470" s="59"/>
      <c r="Y470" s="59"/>
      <c r="Z470" s="59"/>
      <c r="AA470" s="59"/>
      <c r="AB470" s="59"/>
    </row>
    <row r="471">
      <c r="A471" s="59"/>
      <c r="B471" s="59"/>
      <c r="C471" s="70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88"/>
      <c r="P471" s="90"/>
      <c r="Q471" s="88"/>
      <c r="R471" s="88"/>
      <c r="S471" s="88"/>
      <c r="T471" s="59"/>
      <c r="U471" s="59"/>
      <c r="V471" s="59"/>
      <c r="W471" s="59"/>
      <c r="X471" s="59"/>
      <c r="Y471" s="59"/>
      <c r="Z471" s="59"/>
      <c r="AA471" s="59"/>
      <c r="AB471" s="59"/>
    </row>
    <row r="472">
      <c r="A472" s="59"/>
      <c r="B472" s="59"/>
      <c r="C472" s="70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88"/>
      <c r="P472" s="90"/>
      <c r="Q472" s="88"/>
      <c r="R472" s="88"/>
      <c r="S472" s="88"/>
      <c r="T472" s="59"/>
      <c r="U472" s="59"/>
      <c r="V472" s="59"/>
      <c r="W472" s="59"/>
      <c r="X472" s="59"/>
      <c r="Y472" s="59"/>
      <c r="Z472" s="59"/>
      <c r="AA472" s="59"/>
      <c r="AB472" s="59"/>
    </row>
    <row r="473">
      <c r="A473" s="59"/>
      <c r="B473" s="59"/>
      <c r="C473" s="70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88"/>
      <c r="P473" s="90"/>
      <c r="Q473" s="88"/>
      <c r="R473" s="88"/>
      <c r="S473" s="88"/>
      <c r="T473" s="59"/>
      <c r="U473" s="59"/>
      <c r="V473" s="59"/>
      <c r="W473" s="59"/>
      <c r="X473" s="59"/>
      <c r="Y473" s="59"/>
      <c r="Z473" s="59"/>
      <c r="AA473" s="59"/>
      <c r="AB473" s="59"/>
    </row>
    <row r="474">
      <c r="A474" s="59"/>
      <c r="B474" s="59"/>
      <c r="C474" s="70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88"/>
      <c r="P474" s="90"/>
      <c r="Q474" s="88"/>
      <c r="R474" s="88"/>
      <c r="S474" s="88"/>
      <c r="T474" s="59"/>
      <c r="U474" s="59"/>
      <c r="V474" s="59"/>
      <c r="W474" s="59"/>
      <c r="X474" s="59"/>
      <c r="Y474" s="59"/>
      <c r="Z474" s="59"/>
      <c r="AA474" s="59"/>
      <c r="AB474" s="59"/>
    </row>
    <row r="475">
      <c r="A475" s="59"/>
      <c r="B475" s="59"/>
      <c r="C475" s="70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88"/>
      <c r="P475" s="90"/>
      <c r="Q475" s="88"/>
      <c r="R475" s="88"/>
      <c r="S475" s="88"/>
      <c r="T475" s="59"/>
      <c r="U475" s="59"/>
      <c r="V475" s="59"/>
      <c r="W475" s="59"/>
      <c r="X475" s="59"/>
      <c r="Y475" s="59"/>
      <c r="Z475" s="59"/>
      <c r="AA475" s="59"/>
      <c r="AB475" s="59"/>
    </row>
    <row r="476">
      <c r="A476" s="59"/>
      <c r="B476" s="59"/>
      <c r="C476" s="70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88"/>
      <c r="P476" s="90"/>
      <c r="Q476" s="88"/>
      <c r="R476" s="88"/>
      <c r="S476" s="88"/>
      <c r="T476" s="59"/>
      <c r="U476" s="59"/>
      <c r="V476" s="59"/>
      <c r="W476" s="59"/>
      <c r="X476" s="59"/>
      <c r="Y476" s="59"/>
      <c r="Z476" s="59"/>
      <c r="AA476" s="59"/>
      <c r="AB476" s="59"/>
    </row>
    <row r="477">
      <c r="A477" s="59"/>
      <c r="B477" s="59"/>
      <c r="C477" s="70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88"/>
      <c r="P477" s="90"/>
      <c r="Q477" s="88"/>
      <c r="R477" s="88"/>
      <c r="S477" s="88"/>
      <c r="T477" s="59"/>
      <c r="U477" s="59"/>
      <c r="V477" s="59"/>
      <c r="W477" s="59"/>
      <c r="X477" s="59"/>
      <c r="Y477" s="59"/>
      <c r="Z477" s="59"/>
      <c r="AA477" s="59"/>
      <c r="AB477" s="59"/>
    </row>
    <row r="478">
      <c r="A478" s="59"/>
      <c r="B478" s="59"/>
      <c r="C478" s="70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88"/>
      <c r="P478" s="90"/>
      <c r="Q478" s="88"/>
      <c r="R478" s="88"/>
      <c r="S478" s="88"/>
      <c r="T478" s="59"/>
      <c r="U478" s="59"/>
      <c r="V478" s="59"/>
      <c r="W478" s="59"/>
      <c r="X478" s="59"/>
      <c r="Y478" s="59"/>
      <c r="Z478" s="59"/>
      <c r="AA478" s="59"/>
      <c r="AB478" s="59"/>
    </row>
    <row r="479">
      <c r="A479" s="59"/>
      <c r="B479" s="59"/>
      <c r="C479" s="70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88"/>
      <c r="P479" s="90"/>
      <c r="Q479" s="88"/>
      <c r="R479" s="88"/>
      <c r="S479" s="88"/>
      <c r="T479" s="59"/>
      <c r="U479" s="59"/>
      <c r="V479" s="59"/>
      <c r="W479" s="59"/>
      <c r="X479" s="59"/>
      <c r="Y479" s="59"/>
      <c r="Z479" s="59"/>
      <c r="AA479" s="59"/>
      <c r="AB479" s="59"/>
    </row>
    <row r="480">
      <c r="A480" s="59"/>
      <c r="B480" s="59"/>
      <c r="C480" s="70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88"/>
      <c r="P480" s="90"/>
      <c r="Q480" s="88"/>
      <c r="R480" s="88"/>
      <c r="S480" s="88"/>
      <c r="T480" s="59"/>
      <c r="U480" s="59"/>
      <c r="V480" s="59"/>
      <c r="W480" s="59"/>
      <c r="X480" s="59"/>
      <c r="Y480" s="59"/>
      <c r="Z480" s="59"/>
      <c r="AA480" s="59"/>
      <c r="AB480" s="59"/>
    </row>
    <row r="481">
      <c r="A481" s="59"/>
      <c r="B481" s="59"/>
      <c r="C481" s="70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88"/>
      <c r="P481" s="90"/>
      <c r="Q481" s="88"/>
      <c r="R481" s="88"/>
      <c r="S481" s="88"/>
      <c r="T481" s="59"/>
      <c r="U481" s="59"/>
      <c r="V481" s="59"/>
      <c r="W481" s="59"/>
      <c r="X481" s="59"/>
      <c r="Y481" s="59"/>
      <c r="Z481" s="59"/>
      <c r="AA481" s="59"/>
      <c r="AB481" s="59"/>
    </row>
    <row r="482">
      <c r="A482" s="59"/>
      <c r="B482" s="59"/>
      <c r="C482" s="70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88"/>
      <c r="P482" s="90"/>
      <c r="Q482" s="88"/>
      <c r="R482" s="88"/>
      <c r="S482" s="88"/>
      <c r="T482" s="59"/>
      <c r="U482" s="59"/>
      <c r="V482" s="59"/>
      <c r="W482" s="59"/>
      <c r="X482" s="59"/>
      <c r="Y482" s="59"/>
      <c r="Z482" s="59"/>
      <c r="AA482" s="59"/>
      <c r="AB482" s="59"/>
    </row>
    <row r="483">
      <c r="A483" s="59"/>
      <c r="B483" s="59"/>
      <c r="C483" s="70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88"/>
      <c r="P483" s="90"/>
      <c r="Q483" s="88"/>
      <c r="R483" s="88"/>
      <c r="S483" s="88"/>
      <c r="T483" s="59"/>
      <c r="U483" s="59"/>
      <c r="V483" s="59"/>
      <c r="W483" s="59"/>
      <c r="X483" s="59"/>
      <c r="Y483" s="59"/>
      <c r="Z483" s="59"/>
      <c r="AA483" s="59"/>
      <c r="AB483" s="59"/>
    </row>
    <row r="484">
      <c r="A484" s="59"/>
      <c r="B484" s="59"/>
      <c r="C484" s="70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88"/>
      <c r="P484" s="90"/>
      <c r="Q484" s="88"/>
      <c r="R484" s="88"/>
      <c r="S484" s="88"/>
      <c r="T484" s="59"/>
      <c r="U484" s="59"/>
      <c r="V484" s="59"/>
      <c r="W484" s="59"/>
      <c r="X484" s="59"/>
      <c r="Y484" s="59"/>
      <c r="Z484" s="59"/>
      <c r="AA484" s="59"/>
      <c r="AB484" s="59"/>
    </row>
    <row r="485">
      <c r="A485" s="59"/>
      <c r="B485" s="59"/>
      <c r="C485" s="70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88"/>
      <c r="P485" s="90"/>
      <c r="Q485" s="88"/>
      <c r="R485" s="88"/>
      <c r="S485" s="88"/>
      <c r="T485" s="59"/>
      <c r="U485" s="59"/>
      <c r="V485" s="59"/>
      <c r="W485" s="59"/>
      <c r="X485" s="59"/>
      <c r="Y485" s="59"/>
      <c r="Z485" s="59"/>
      <c r="AA485" s="59"/>
      <c r="AB485" s="59"/>
    </row>
    <row r="486">
      <c r="A486" s="59"/>
      <c r="B486" s="59"/>
      <c r="C486" s="70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88"/>
      <c r="P486" s="90"/>
      <c r="Q486" s="88"/>
      <c r="R486" s="88"/>
      <c r="S486" s="88"/>
      <c r="T486" s="59"/>
      <c r="U486" s="59"/>
      <c r="V486" s="59"/>
      <c r="W486" s="59"/>
      <c r="X486" s="59"/>
      <c r="Y486" s="59"/>
      <c r="Z486" s="59"/>
      <c r="AA486" s="59"/>
      <c r="AB486" s="59"/>
    </row>
    <row r="487">
      <c r="A487" s="59"/>
      <c r="B487" s="59"/>
      <c r="C487" s="70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88"/>
      <c r="P487" s="90"/>
      <c r="Q487" s="88"/>
      <c r="R487" s="88"/>
      <c r="S487" s="88"/>
      <c r="T487" s="59"/>
      <c r="U487" s="59"/>
      <c r="V487" s="59"/>
      <c r="W487" s="59"/>
      <c r="X487" s="59"/>
      <c r="Y487" s="59"/>
      <c r="Z487" s="59"/>
      <c r="AA487" s="59"/>
      <c r="AB487" s="59"/>
    </row>
    <row r="488">
      <c r="A488" s="59"/>
      <c r="B488" s="59"/>
      <c r="C488" s="70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88"/>
      <c r="P488" s="90"/>
      <c r="Q488" s="88"/>
      <c r="R488" s="88"/>
      <c r="S488" s="88"/>
      <c r="T488" s="59"/>
      <c r="U488" s="59"/>
      <c r="V488" s="59"/>
      <c r="W488" s="59"/>
      <c r="X488" s="59"/>
      <c r="Y488" s="59"/>
      <c r="Z488" s="59"/>
      <c r="AA488" s="59"/>
      <c r="AB488" s="59"/>
    </row>
    <row r="489">
      <c r="A489" s="59"/>
      <c r="B489" s="59"/>
      <c r="C489" s="70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88"/>
      <c r="P489" s="90"/>
      <c r="Q489" s="88"/>
      <c r="R489" s="88"/>
      <c r="S489" s="88"/>
      <c r="T489" s="59"/>
      <c r="U489" s="59"/>
      <c r="V489" s="59"/>
      <c r="W489" s="59"/>
      <c r="X489" s="59"/>
      <c r="Y489" s="59"/>
      <c r="Z489" s="59"/>
      <c r="AA489" s="59"/>
      <c r="AB489" s="59"/>
    </row>
    <row r="490">
      <c r="A490" s="59"/>
      <c r="B490" s="59"/>
      <c r="C490" s="70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88"/>
      <c r="P490" s="90"/>
      <c r="Q490" s="88"/>
      <c r="R490" s="88"/>
      <c r="S490" s="88"/>
      <c r="T490" s="59"/>
      <c r="U490" s="59"/>
      <c r="V490" s="59"/>
      <c r="W490" s="59"/>
      <c r="X490" s="59"/>
      <c r="Y490" s="59"/>
      <c r="Z490" s="59"/>
      <c r="AA490" s="59"/>
      <c r="AB490" s="59"/>
    </row>
    <row r="491">
      <c r="A491" s="59"/>
      <c r="B491" s="59"/>
      <c r="C491" s="70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88"/>
      <c r="P491" s="90"/>
      <c r="Q491" s="88"/>
      <c r="R491" s="88"/>
      <c r="S491" s="88"/>
      <c r="T491" s="59"/>
      <c r="U491" s="59"/>
      <c r="V491" s="59"/>
      <c r="W491" s="59"/>
      <c r="X491" s="59"/>
      <c r="Y491" s="59"/>
      <c r="Z491" s="59"/>
      <c r="AA491" s="59"/>
      <c r="AB491" s="59"/>
    </row>
    <row r="492">
      <c r="A492" s="59"/>
      <c r="B492" s="59"/>
      <c r="C492" s="70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88"/>
      <c r="P492" s="90"/>
      <c r="Q492" s="88"/>
      <c r="R492" s="88"/>
      <c r="S492" s="88"/>
      <c r="T492" s="59"/>
      <c r="U492" s="59"/>
      <c r="V492" s="59"/>
      <c r="W492" s="59"/>
      <c r="X492" s="59"/>
      <c r="Y492" s="59"/>
      <c r="Z492" s="59"/>
      <c r="AA492" s="59"/>
      <c r="AB492" s="59"/>
    </row>
    <row r="493">
      <c r="A493" s="59"/>
      <c r="B493" s="59"/>
      <c r="C493" s="70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88"/>
      <c r="P493" s="90"/>
      <c r="Q493" s="88"/>
      <c r="R493" s="88"/>
      <c r="S493" s="88"/>
      <c r="T493" s="59"/>
      <c r="U493" s="59"/>
      <c r="V493" s="59"/>
      <c r="W493" s="59"/>
      <c r="X493" s="59"/>
      <c r="Y493" s="59"/>
      <c r="Z493" s="59"/>
      <c r="AA493" s="59"/>
      <c r="AB493" s="59"/>
    </row>
    <row r="494">
      <c r="A494" s="59"/>
      <c r="B494" s="59"/>
      <c r="C494" s="70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88"/>
      <c r="P494" s="90"/>
      <c r="Q494" s="88"/>
      <c r="R494" s="88"/>
      <c r="S494" s="88"/>
      <c r="T494" s="59"/>
      <c r="U494" s="59"/>
      <c r="V494" s="59"/>
      <c r="W494" s="59"/>
      <c r="X494" s="59"/>
      <c r="Y494" s="59"/>
      <c r="Z494" s="59"/>
      <c r="AA494" s="59"/>
      <c r="AB494" s="59"/>
    </row>
    <row r="495">
      <c r="A495" s="59"/>
      <c r="B495" s="59"/>
      <c r="C495" s="70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88"/>
      <c r="P495" s="90"/>
      <c r="Q495" s="88"/>
      <c r="R495" s="88"/>
      <c r="S495" s="88"/>
      <c r="T495" s="59"/>
      <c r="U495" s="59"/>
      <c r="V495" s="59"/>
      <c r="W495" s="59"/>
      <c r="X495" s="59"/>
      <c r="Y495" s="59"/>
      <c r="Z495" s="59"/>
      <c r="AA495" s="59"/>
      <c r="AB495" s="59"/>
    </row>
    <row r="496">
      <c r="A496" s="59"/>
      <c r="B496" s="59"/>
      <c r="C496" s="70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88"/>
      <c r="P496" s="90"/>
      <c r="Q496" s="88"/>
      <c r="R496" s="88"/>
      <c r="S496" s="88"/>
      <c r="T496" s="59"/>
      <c r="U496" s="59"/>
      <c r="V496" s="59"/>
      <c r="W496" s="59"/>
      <c r="X496" s="59"/>
      <c r="Y496" s="59"/>
      <c r="Z496" s="59"/>
      <c r="AA496" s="59"/>
      <c r="AB496" s="59"/>
    </row>
    <row r="497">
      <c r="A497" s="59"/>
      <c r="B497" s="59"/>
      <c r="C497" s="70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88"/>
      <c r="P497" s="90"/>
      <c r="Q497" s="88"/>
      <c r="R497" s="88"/>
      <c r="S497" s="88"/>
      <c r="T497" s="59"/>
      <c r="U497" s="59"/>
      <c r="V497" s="59"/>
      <c r="W497" s="59"/>
      <c r="X497" s="59"/>
      <c r="Y497" s="59"/>
      <c r="Z497" s="59"/>
      <c r="AA497" s="59"/>
      <c r="AB497" s="59"/>
    </row>
    <row r="498">
      <c r="A498" s="59"/>
      <c r="B498" s="59"/>
      <c r="C498" s="70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88"/>
      <c r="P498" s="90"/>
      <c r="Q498" s="88"/>
      <c r="R498" s="88"/>
      <c r="S498" s="88"/>
      <c r="T498" s="59"/>
      <c r="U498" s="59"/>
      <c r="V498" s="59"/>
      <c r="W498" s="59"/>
      <c r="X498" s="59"/>
      <c r="Y498" s="59"/>
      <c r="Z498" s="59"/>
      <c r="AA498" s="59"/>
      <c r="AB498" s="59"/>
    </row>
    <row r="499">
      <c r="A499" s="59"/>
      <c r="B499" s="59"/>
      <c r="C499" s="70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88"/>
      <c r="P499" s="90"/>
      <c r="Q499" s="88"/>
      <c r="R499" s="88"/>
      <c r="S499" s="88"/>
      <c r="T499" s="59"/>
      <c r="U499" s="59"/>
      <c r="V499" s="59"/>
      <c r="W499" s="59"/>
      <c r="X499" s="59"/>
      <c r="Y499" s="59"/>
      <c r="Z499" s="59"/>
      <c r="AA499" s="59"/>
      <c r="AB499" s="59"/>
    </row>
    <row r="500">
      <c r="A500" s="59"/>
      <c r="B500" s="59"/>
      <c r="C500" s="70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88"/>
      <c r="P500" s="90"/>
      <c r="Q500" s="88"/>
      <c r="R500" s="88"/>
      <c r="S500" s="88"/>
      <c r="T500" s="59"/>
      <c r="U500" s="59"/>
      <c r="V500" s="59"/>
      <c r="W500" s="59"/>
      <c r="X500" s="59"/>
      <c r="Y500" s="59"/>
      <c r="Z500" s="59"/>
      <c r="AA500" s="59"/>
      <c r="AB500" s="59"/>
    </row>
    <row r="501">
      <c r="A501" s="59"/>
      <c r="B501" s="59"/>
      <c r="C501" s="70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88"/>
      <c r="P501" s="90"/>
      <c r="Q501" s="88"/>
      <c r="R501" s="88"/>
      <c r="S501" s="88"/>
      <c r="T501" s="59"/>
      <c r="U501" s="59"/>
      <c r="V501" s="59"/>
      <c r="W501" s="59"/>
      <c r="X501" s="59"/>
      <c r="Y501" s="59"/>
      <c r="Z501" s="59"/>
      <c r="AA501" s="59"/>
      <c r="AB501" s="59"/>
    </row>
    <row r="502">
      <c r="A502" s="59"/>
      <c r="B502" s="59"/>
      <c r="C502" s="70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88"/>
      <c r="P502" s="90"/>
      <c r="Q502" s="88"/>
      <c r="R502" s="88"/>
      <c r="S502" s="88"/>
      <c r="T502" s="59"/>
      <c r="U502" s="59"/>
      <c r="V502" s="59"/>
      <c r="W502" s="59"/>
      <c r="X502" s="59"/>
      <c r="Y502" s="59"/>
      <c r="Z502" s="59"/>
      <c r="AA502" s="59"/>
      <c r="AB502" s="59"/>
    </row>
    <row r="503">
      <c r="A503" s="59"/>
      <c r="B503" s="59"/>
      <c r="C503" s="70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88"/>
      <c r="P503" s="90"/>
      <c r="Q503" s="88"/>
      <c r="R503" s="88"/>
      <c r="S503" s="88"/>
      <c r="T503" s="59"/>
      <c r="U503" s="59"/>
      <c r="V503" s="59"/>
      <c r="W503" s="59"/>
      <c r="X503" s="59"/>
      <c r="Y503" s="59"/>
      <c r="Z503" s="59"/>
      <c r="AA503" s="59"/>
      <c r="AB503" s="59"/>
    </row>
    <row r="504">
      <c r="A504" s="59"/>
      <c r="B504" s="59"/>
      <c r="C504" s="70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88"/>
      <c r="P504" s="90"/>
      <c r="Q504" s="88"/>
      <c r="R504" s="88"/>
      <c r="S504" s="88"/>
      <c r="T504" s="59"/>
      <c r="U504" s="59"/>
      <c r="V504" s="59"/>
      <c r="W504" s="59"/>
      <c r="X504" s="59"/>
      <c r="Y504" s="59"/>
      <c r="Z504" s="59"/>
      <c r="AA504" s="59"/>
      <c r="AB504" s="59"/>
    </row>
    <row r="505">
      <c r="A505" s="59"/>
      <c r="B505" s="59"/>
      <c r="C505" s="70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88"/>
      <c r="P505" s="90"/>
      <c r="Q505" s="88"/>
      <c r="R505" s="88"/>
      <c r="S505" s="88"/>
      <c r="T505" s="59"/>
      <c r="U505" s="59"/>
      <c r="V505" s="59"/>
      <c r="W505" s="59"/>
      <c r="X505" s="59"/>
      <c r="Y505" s="59"/>
      <c r="Z505" s="59"/>
      <c r="AA505" s="59"/>
      <c r="AB505" s="59"/>
    </row>
    <row r="506">
      <c r="A506" s="59"/>
      <c r="B506" s="59"/>
      <c r="C506" s="70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88"/>
      <c r="P506" s="90"/>
      <c r="Q506" s="88"/>
      <c r="R506" s="88"/>
      <c r="S506" s="88"/>
      <c r="T506" s="59"/>
      <c r="U506" s="59"/>
      <c r="V506" s="59"/>
      <c r="W506" s="59"/>
      <c r="X506" s="59"/>
      <c r="Y506" s="59"/>
      <c r="Z506" s="59"/>
      <c r="AA506" s="59"/>
      <c r="AB506" s="59"/>
    </row>
    <row r="507">
      <c r="A507" s="59"/>
      <c r="B507" s="59"/>
      <c r="C507" s="70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88"/>
      <c r="P507" s="90"/>
      <c r="Q507" s="88"/>
      <c r="R507" s="88"/>
      <c r="S507" s="88"/>
      <c r="T507" s="59"/>
      <c r="U507" s="59"/>
      <c r="V507" s="59"/>
      <c r="W507" s="59"/>
      <c r="X507" s="59"/>
      <c r="Y507" s="59"/>
      <c r="Z507" s="59"/>
      <c r="AA507" s="59"/>
      <c r="AB507" s="59"/>
    </row>
    <row r="508">
      <c r="A508" s="59"/>
      <c r="B508" s="59"/>
      <c r="C508" s="70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88"/>
      <c r="P508" s="90"/>
      <c r="Q508" s="88"/>
      <c r="R508" s="88"/>
      <c r="S508" s="88"/>
      <c r="T508" s="59"/>
      <c r="U508" s="59"/>
      <c r="V508" s="59"/>
      <c r="W508" s="59"/>
      <c r="X508" s="59"/>
      <c r="Y508" s="59"/>
      <c r="Z508" s="59"/>
      <c r="AA508" s="59"/>
      <c r="AB508" s="59"/>
    </row>
    <row r="509">
      <c r="A509" s="59"/>
      <c r="B509" s="59"/>
      <c r="C509" s="70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88"/>
      <c r="P509" s="90"/>
      <c r="Q509" s="88"/>
      <c r="R509" s="88"/>
      <c r="S509" s="88"/>
      <c r="T509" s="59"/>
      <c r="U509" s="59"/>
      <c r="V509" s="59"/>
      <c r="W509" s="59"/>
      <c r="X509" s="59"/>
      <c r="Y509" s="59"/>
      <c r="Z509" s="59"/>
      <c r="AA509" s="59"/>
      <c r="AB509" s="59"/>
    </row>
    <row r="510">
      <c r="A510" s="59"/>
      <c r="B510" s="59"/>
      <c r="C510" s="70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88"/>
      <c r="P510" s="90"/>
      <c r="Q510" s="88"/>
      <c r="R510" s="88"/>
      <c r="S510" s="88"/>
      <c r="T510" s="59"/>
      <c r="U510" s="59"/>
      <c r="V510" s="59"/>
      <c r="W510" s="59"/>
      <c r="X510" s="59"/>
      <c r="Y510" s="59"/>
      <c r="Z510" s="59"/>
      <c r="AA510" s="59"/>
      <c r="AB510" s="59"/>
    </row>
    <row r="511">
      <c r="A511" s="59"/>
      <c r="B511" s="59"/>
      <c r="C511" s="70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88"/>
      <c r="P511" s="90"/>
      <c r="Q511" s="88"/>
      <c r="R511" s="88"/>
      <c r="S511" s="88"/>
      <c r="T511" s="59"/>
      <c r="U511" s="59"/>
      <c r="V511" s="59"/>
      <c r="W511" s="59"/>
      <c r="X511" s="59"/>
      <c r="Y511" s="59"/>
      <c r="Z511" s="59"/>
      <c r="AA511" s="59"/>
      <c r="AB511" s="59"/>
    </row>
    <row r="512">
      <c r="A512" s="59"/>
      <c r="B512" s="59"/>
      <c r="C512" s="70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88"/>
      <c r="P512" s="90"/>
      <c r="Q512" s="88"/>
      <c r="R512" s="88"/>
      <c r="S512" s="88"/>
      <c r="T512" s="59"/>
      <c r="U512" s="59"/>
      <c r="V512" s="59"/>
      <c r="W512" s="59"/>
      <c r="X512" s="59"/>
      <c r="Y512" s="59"/>
      <c r="Z512" s="59"/>
      <c r="AA512" s="59"/>
      <c r="AB512" s="59"/>
    </row>
    <row r="513">
      <c r="A513" s="59"/>
      <c r="B513" s="59"/>
      <c r="C513" s="70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88"/>
      <c r="P513" s="90"/>
      <c r="Q513" s="88"/>
      <c r="R513" s="88"/>
      <c r="S513" s="88"/>
      <c r="T513" s="59"/>
      <c r="U513" s="59"/>
      <c r="V513" s="59"/>
      <c r="W513" s="59"/>
      <c r="X513" s="59"/>
      <c r="Y513" s="59"/>
      <c r="Z513" s="59"/>
      <c r="AA513" s="59"/>
      <c r="AB513" s="59"/>
    </row>
    <row r="514">
      <c r="A514" s="59"/>
      <c r="B514" s="59"/>
      <c r="C514" s="70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88"/>
      <c r="P514" s="90"/>
      <c r="Q514" s="88"/>
      <c r="R514" s="88"/>
      <c r="S514" s="88"/>
      <c r="T514" s="59"/>
      <c r="U514" s="59"/>
      <c r="V514" s="59"/>
      <c r="W514" s="59"/>
      <c r="X514" s="59"/>
      <c r="Y514" s="59"/>
      <c r="Z514" s="59"/>
      <c r="AA514" s="59"/>
      <c r="AB514" s="59"/>
    </row>
    <row r="515">
      <c r="A515" s="59"/>
      <c r="B515" s="59"/>
      <c r="C515" s="70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88"/>
      <c r="P515" s="90"/>
      <c r="Q515" s="88"/>
      <c r="R515" s="88"/>
      <c r="S515" s="88"/>
      <c r="T515" s="59"/>
      <c r="U515" s="59"/>
      <c r="V515" s="59"/>
      <c r="W515" s="59"/>
      <c r="X515" s="59"/>
      <c r="Y515" s="59"/>
      <c r="Z515" s="59"/>
      <c r="AA515" s="59"/>
      <c r="AB515" s="59"/>
    </row>
    <row r="516">
      <c r="A516" s="59"/>
      <c r="B516" s="59"/>
      <c r="C516" s="70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88"/>
      <c r="P516" s="90"/>
      <c r="Q516" s="88"/>
      <c r="R516" s="88"/>
      <c r="S516" s="88"/>
      <c r="T516" s="59"/>
      <c r="U516" s="59"/>
      <c r="V516" s="59"/>
      <c r="W516" s="59"/>
      <c r="X516" s="59"/>
      <c r="Y516" s="59"/>
      <c r="Z516" s="59"/>
      <c r="AA516" s="59"/>
      <c r="AB516" s="59"/>
    </row>
    <row r="517">
      <c r="A517" s="59"/>
      <c r="B517" s="59"/>
      <c r="C517" s="70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88"/>
      <c r="P517" s="90"/>
      <c r="Q517" s="88"/>
      <c r="R517" s="88"/>
      <c r="S517" s="88"/>
      <c r="T517" s="59"/>
      <c r="U517" s="59"/>
      <c r="V517" s="59"/>
      <c r="W517" s="59"/>
      <c r="X517" s="59"/>
      <c r="Y517" s="59"/>
      <c r="Z517" s="59"/>
      <c r="AA517" s="59"/>
      <c r="AB517" s="59"/>
    </row>
    <row r="518">
      <c r="A518" s="59"/>
      <c r="B518" s="59"/>
      <c r="C518" s="70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88"/>
      <c r="P518" s="90"/>
      <c r="Q518" s="88"/>
      <c r="R518" s="88"/>
      <c r="S518" s="88"/>
      <c r="T518" s="59"/>
      <c r="U518" s="59"/>
      <c r="V518" s="59"/>
      <c r="W518" s="59"/>
      <c r="X518" s="59"/>
      <c r="Y518" s="59"/>
      <c r="Z518" s="59"/>
      <c r="AA518" s="59"/>
      <c r="AB518" s="59"/>
    </row>
    <row r="519">
      <c r="A519" s="59"/>
      <c r="B519" s="59"/>
      <c r="C519" s="70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88"/>
      <c r="P519" s="90"/>
      <c r="Q519" s="88"/>
      <c r="R519" s="88"/>
      <c r="S519" s="88"/>
      <c r="T519" s="59"/>
      <c r="U519" s="59"/>
      <c r="V519" s="59"/>
      <c r="W519" s="59"/>
      <c r="X519" s="59"/>
      <c r="Y519" s="59"/>
      <c r="Z519" s="59"/>
      <c r="AA519" s="59"/>
      <c r="AB519" s="59"/>
    </row>
    <row r="520">
      <c r="A520" s="59"/>
      <c r="B520" s="59"/>
      <c r="C520" s="70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88"/>
      <c r="P520" s="90"/>
      <c r="Q520" s="88"/>
      <c r="R520" s="88"/>
      <c r="S520" s="88"/>
      <c r="T520" s="59"/>
      <c r="U520" s="59"/>
      <c r="V520" s="59"/>
      <c r="W520" s="59"/>
      <c r="X520" s="59"/>
      <c r="Y520" s="59"/>
      <c r="Z520" s="59"/>
      <c r="AA520" s="59"/>
      <c r="AB520" s="59"/>
    </row>
    <row r="521">
      <c r="A521" s="59"/>
      <c r="B521" s="59"/>
      <c r="C521" s="70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88"/>
      <c r="P521" s="90"/>
      <c r="Q521" s="88"/>
      <c r="R521" s="88"/>
      <c r="S521" s="88"/>
      <c r="T521" s="59"/>
      <c r="U521" s="59"/>
      <c r="V521" s="59"/>
      <c r="W521" s="59"/>
      <c r="X521" s="59"/>
      <c r="Y521" s="59"/>
      <c r="Z521" s="59"/>
      <c r="AA521" s="59"/>
      <c r="AB521" s="59"/>
    </row>
    <row r="522">
      <c r="A522" s="59"/>
      <c r="B522" s="59"/>
      <c r="C522" s="70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88"/>
      <c r="P522" s="90"/>
      <c r="Q522" s="88"/>
      <c r="R522" s="88"/>
      <c r="S522" s="88"/>
      <c r="T522" s="59"/>
      <c r="U522" s="59"/>
      <c r="V522" s="59"/>
      <c r="W522" s="59"/>
      <c r="X522" s="59"/>
      <c r="Y522" s="59"/>
      <c r="Z522" s="59"/>
      <c r="AA522" s="59"/>
      <c r="AB522" s="59"/>
    </row>
    <row r="523">
      <c r="A523" s="59"/>
      <c r="B523" s="59"/>
      <c r="C523" s="70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88"/>
      <c r="P523" s="90"/>
      <c r="Q523" s="88"/>
      <c r="R523" s="88"/>
      <c r="S523" s="88"/>
      <c r="T523" s="59"/>
      <c r="U523" s="59"/>
      <c r="V523" s="59"/>
      <c r="W523" s="59"/>
      <c r="X523" s="59"/>
      <c r="Y523" s="59"/>
      <c r="Z523" s="59"/>
      <c r="AA523" s="59"/>
      <c r="AB523" s="59"/>
    </row>
    <row r="524">
      <c r="A524" s="59"/>
      <c r="B524" s="59"/>
      <c r="C524" s="70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88"/>
      <c r="P524" s="90"/>
      <c r="Q524" s="88"/>
      <c r="R524" s="88"/>
      <c r="S524" s="88"/>
      <c r="T524" s="59"/>
      <c r="U524" s="59"/>
      <c r="V524" s="59"/>
      <c r="W524" s="59"/>
      <c r="X524" s="59"/>
      <c r="Y524" s="59"/>
      <c r="Z524" s="59"/>
      <c r="AA524" s="59"/>
      <c r="AB524" s="59"/>
    </row>
    <row r="525">
      <c r="A525" s="59"/>
      <c r="B525" s="59"/>
      <c r="C525" s="70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88"/>
      <c r="P525" s="90"/>
      <c r="Q525" s="88"/>
      <c r="R525" s="88"/>
      <c r="S525" s="88"/>
      <c r="T525" s="59"/>
      <c r="U525" s="59"/>
      <c r="V525" s="59"/>
      <c r="W525" s="59"/>
      <c r="X525" s="59"/>
      <c r="Y525" s="59"/>
      <c r="Z525" s="59"/>
      <c r="AA525" s="59"/>
      <c r="AB525" s="59"/>
    </row>
    <row r="526">
      <c r="A526" s="59"/>
      <c r="B526" s="59"/>
      <c r="C526" s="70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88"/>
      <c r="P526" s="90"/>
      <c r="Q526" s="88"/>
      <c r="R526" s="88"/>
      <c r="S526" s="88"/>
      <c r="T526" s="59"/>
      <c r="U526" s="59"/>
      <c r="V526" s="59"/>
      <c r="W526" s="59"/>
      <c r="X526" s="59"/>
      <c r="Y526" s="59"/>
      <c r="Z526" s="59"/>
      <c r="AA526" s="59"/>
      <c r="AB526" s="59"/>
    </row>
    <row r="527">
      <c r="A527" s="59"/>
      <c r="B527" s="59"/>
      <c r="C527" s="70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88"/>
      <c r="P527" s="90"/>
      <c r="Q527" s="88"/>
      <c r="R527" s="88"/>
      <c r="S527" s="88"/>
      <c r="T527" s="59"/>
      <c r="U527" s="59"/>
      <c r="V527" s="59"/>
      <c r="W527" s="59"/>
      <c r="X527" s="59"/>
      <c r="Y527" s="59"/>
      <c r="Z527" s="59"/>
      <c r="AA527" s="59"/>
      <c r="AB527" s="59"/>
    </row>
    <row r="528">
      <c r="A528" s="59"/>
      <c r="B528" s="59"/>
      <c r="C528" s="70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88"/>
      <c r="P528" s="90"/>
      <c r="Q528" s="88"/>
      <c r="R528" s="88"/>
      <c r="S528" s="88"/>
      <c r="T528" s="59"/>
      <c r="U528" s="59"/>
      <c r="V528" s="59"/>
      <c r="W528" s="59"/>
      <c r="X528" s="59"/>
      <c r="Y528" s="59"/>
      <c r="Z528" s="59"/>
      <c r="AA528" s="59"/>
      <c r="AB528" s="59"/>
    </row>
    <row r="529">
      <c r="A529" s="59"/>
      <c r="B529" s="59"/>
      <c r="C529" s="70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88"/>
      <c r="P529" s="90"/>
      <c r="Q529" s="88"/>
      <c r="R529" s="88"/>
      <c r="S529" s="88"/>
      <c r="T529" s="59"/>
      <c r="U529" s="59"/>
      <c r="V529" s="59"/>
      <c r="W529" s="59"/>
      <c r="X529" s="59"/>
      <c r="Y529" s="59"/>
      <c r="Z529" s="59"/>
      <c r="AA529" s="59"/>
      <c r="AB529" s="59"/>
    </row>
    <row r="530">
      <c r="A530" s="59"/>
      <c r="B530" s="59"/>
      <c r="C530" s="70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88"/>
      <c r="P530" s="90"/>
      <c r="Q530" s="88"/>
      <c r="R530" s="88"/>
      <c r="S530" s="88"/>
      <c r="T530" s="59"/>
      <c r="U530" s="59"/>
      <c r="V530" s="59"/>
      <c r="W530" s="59"/>
      <c r="X530" s="59"/>
      <c r="Y530" s="59"/>
      <c r="Z530" s="59"/>
      <c r="AA530" s="59"/>
      <c r="AB530" s="59"/>
    </row>
    <row r="531">
      <c r="A531" s="59"/>
      <c r="B531" s="59"/>
      <c r="C531" s="70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88"/>
      <c r="P531" s="90"/>
      <c r="Q531" s="88"/>
      <c r="R531" s="88"/>
      <c r="S531" s="88"/>
      <c r="T531" s="59"/>
      <c r="U531" s="59"/>
      <c r="V531" s="59"/>
      <c r="W531" s="59"/>
      <c r="X531" s="59"/>
      <c r="Y531" s="59"/>
      <c r="Z531" s="59"/>
      <c r="AA531" s="59"/>
      <c r="AB531" s="59"/>
    </row>
    <row r="532">
      <c r="A532" s="59"/>
      <c r="B532" s="59"/>
      <c r="C532" s="70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88"/>
      <c r="P532" s="90"/>
      <c r="Q532" s="88"/>
      <c r="R532" s="88"/>
      <c r="S532" s="88"/>
      <c r="T532" s="59"/>
      <c r="U532" s="59"/>
      <c r="V532" s="59"/>
      <c r="W532" s="59"/>
      <c r="X532" s="59"/>
      <c r="Y532" s="59"/>
      <c r="Z532" s="59"/>
      <c r="AA532" s="59"/>
      <c r="AB532" s="59"/>
    </row>
    <row r="533">
      <c r="A533" s="59"/>
      <c r="B533" s="59"/>
      <c r="C533" s="70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88"/>
      <c r="P533" s="90"/>
      <c r="Q533" s="88"/>
      <c r="R533" s="88"/>
      <c r="S533" s="88"/>
      <c r="T533" s="59"/>
      <c r="U533" s="59"/>
      <c r="V533" s="59"/>
      <c r="W533" s="59"/>
      <c r="X533" s="59"/>
      <c r="Y533" s="59"/>
      <c r="Z533" s="59"/>
      <c r="AA533" s="59"/>
      <c r="AB533" s="59"/>
    </row>
    <row r="534">
      <c r="A534" s="59"/>
      <c r="B534" s="59"/>
      <c r="C534" s="70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88"/>
      <c r="P534" s="90"/>
      <c r="Q534" s="88"/>
      <c r="R534" s="88"/>
      <c r="S534" s="88"/>
      <c r="T534" s="59"/>
      <c r="U534" s="59"/>
      <c r="V534" s="59"/>
      <c r="W534" s="59"/>
      <c r="X534" s="59"/>
      <c r="Y534" s="59"/>
      <c r="Z534" s="59"/>
      <c r="AA534" s="59"/>
      <c r="AB534" s="59"/>
    </row>
    <row r="535">
      <c r="A535" s="59"/>
      <c r="B535" s="59"/>
      <c r="C535" s="70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88"/>
      <c r="P535" s="90"/>
      <c r="Q535" s="88"/>
      <c r="R535" s="88"/>
      <c r="S535" s="88"/>
      <c r="T535" s="59"/>
      <c r="U535" s="59"/>
      <c r="V535" s="59"/>
      <c r="W535" s="59"/>
      <c r="X535" s="59"/>
      <c r="Y535" s="59"/>
      <c r="Z535" s="59"/>
      <c r="AA535" s="59"/>
      <c r="AB535" s="59"/>
    </row>
    <row r="536">
      <c r="A536" s="59"/>
      <c r="B536" s="59"/>
      <c r="C536" s="70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88"/>
      <c r="P536" s="90"/>
      <c r="Q536" s="88"/>
      <c r="R536" s="88"/>
      <c r="S536" s="88"/>
      <c r="T536" s="59"/>
      <c r="U536" s="59"/>
      <c r="V536" s="59"/>
      <c r="W536" s="59"/>
      <c r="X536" s="59"/>
      <c r="Y536" s="59"/>
      <c r="Z536" s="59"/>
      <c r="AA536" s="59"/>
      <c r="AB536" s="59"/>
    </row>
    <row r="537">
      <c r="A537" s="59"/>
      <c r="B537" s="59"/>
      <c r="C537" s="70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88"/>
      <c r="P537" s="90"/>
      <c r="Q537" s="88"/>
      <c r="R537" s="88"/>
      <c r="S537" s="88"/>
      <c r="T537" s="59"/>
      <c r="U537" s="59"/>
      <c r="V537" s="59"/>
      <c r="W537" s="59"/>
      <c r="X537" s="59"/>
      <c r="Y537" s="59"/>
      <c r="Z537" s="59"/>
      <c r="AA537" s="59"/>
      <c r="AB537" s="59"/>
    </row>
    <row r="538">
      <c r="A538" s="59"/>
      <c r="B538" s="59"/>
      <c r="C538" s="70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88"/>
      <c r="P538" s="90"/>
      <c r="Q538" s="88"/>
      <c r="R538" s="88"/>
      <c r="S538" s="88"/>
      <c r="T538" s="59"/>
      <c r="U538" s="59"/>
      <c r="V538" s="59"/>
      <c r="W538" s="59"/>
      <c r="X538" s="59"/>
      <c r="Y538" s="59"/>
      <c r="Z538" s="59"/>
      <c r="AA538" s="59"/>
      <c r="AB538" s="59"/>
    </row>
    <row r="539">
      <c r="A539" s="59"/>
      <c r="B539" s="59"/>
      <c r="C539" s="70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88"/>
      <c r="P539" s="90"/>
      <c r="Q539" s="88"/>
      <c r="R539" s="88"/>
      <c r="S539" s="88"/>
      <c r="T539" s="59"/>
      <c r="U539" s="59"/>
      <c r="V539" s="59"/>
      <c r="W539" s="59"/>
      <c r="X539" s="59"/>
      <c r="Y539" s="59"/>
      <c r="Z539" s="59"/>
      <c r="AA539" s="59"/>
      <c r="AB539" s="59"/>
    </row>
    <row r="540">
      <c r="A540" s="59"/>
      <c r="B540" s="59"/>
      <c r="C540" s="70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88"/>
      <c r="P540" s="90"/>
      <c r="Q540" s="88"/>
      <c r="R540" s="88"/>
      <c r="S540" s="88"/>
      <c r="T540" s="59"/>
      <c r="U540" s="59"/>
      <c r="V540" s="59"/>
      <c r="W540" s="59"/>
      <c r="X540" s="59"/>
      <c r="Y540" s="59"/>
      <c r="Z540" s="59"/>
      <c r="AA540" s="59"/>
      <c r="AB540" s="59"/>
    </row>
    <row r="541">
      <c r="A541" s="59"/>
      <c r="B541" s="59"/>
      <c r="C541" s="70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88"/>
      <c r="P541" s="90"/>
      <c r="Q541" s="88"/>
      <c r="R541" s="88"/>
      <c r="S541" s="88"/>
      <c r="T541" s="59"/>
      <c r="U541" s="59"/>
      <c r="V541" s="59"/>
      <c r="W541" s="59"/>
      <c r="X541" s="59"/>
      <c r="Y541" s="59"/>
      <c r="Z541" s="59"/>
      <c r="AA541" s="59"/>
      <c r="AB541" s="59"/>
    </row>
    <row r="542">
      <c r="A542" s="59"/>
      <c r="B542" s="59"/>
      <c r="C542" s="70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88"/>
      <c r="P542" s="90"/>
      <c r="Q542" s="88"/>
      <c r="R542" s="88"/>
      <c r="S542" s="88"/>
      <c r="T542" s="59"/>
      <c r="U542" s="59"/>
      <c r="V542" s="59"/>
      <c r="W542" s="59"/>
      <c r="X542" s="59"/>
      <c r="Y542" s="59"/>
      <c r="Z542" s="59"/>
      <c r="AA542" s="59"/>
      <c r="AB542" s="59"/>
    </row>
    <row r="543">
      <c r="A543" s="59"/>
      <c r="B543" s="59"/>
      <c r="C543" s="70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88"/>
      <c r="P543" s="90"/>
      <c r="Q543" s="88"/>
      <c r="R543" s="88"/>
      <c r="S543" s="88"/>
      <c r="T543" s="59"/>
      <c r="U543" s="59"/>
      <c r="V543" s="59"/>
      <c r="W543" s="59"/>
      <c r="X543" s="59"/>
      <c r="Y543" s="59"/>
      <c r="Z543" s="59"/>
      <c r="AA543" s="59"/>
      <c r="AB543" s="59"/>
    </row>
    <row r="544">
      <c r="A544" s="59"/>
      <c r="B544" s="59"/>
      <c r="C544" s="70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88"/>
      <c r="P544" s="90"/>
      <c r="Q544" s="88"/>
      <c r="R544" s="88"/>
      <c r="S544" s="88"/>
      <c r="T544" s="59"/>
      <c r="U544" s="59"/>
      <c r="V544" s="59"/>
      <c r="W544" s="59"/>
      <c r="X544" s="59"/>
      <c r="Y544" s="59"/>
      <c r="Z544" s="59"/>
      <c r="AA544" s="59"/>
      <c r="AB544" s="59"/>
    </row>
    <row r="545">
      <c r="A545" s="59"/>
      <c r="B545" s="59"/>
      <c r="C545" s="70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88"/>
      <c r="P545" s="90"/>
      <c r="Q545" s="88"/>
      <c r="R545" s="88"/>
      <c r="S545" s="88"/>
      <c r="T545" s="59"/>
      <c r="U545" s="59"/>
      <c r="V545" s="59"/>
      <c r="W545" s="59"/>
      <c r="X545" s="59"/>
      <c r="Y545" s="59"/>
      <c r="Z545" s="59"/>
      <c r="AA545" s="59"/>
      <c r="AB545" s="59"/>
    </row>
    <row r="546">
      <c r="A546" s="59"/>
      <c r="B546" s="59"/>
      <c r="C546" s="70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88"/>
      <c r="P546" s="90"/>
      <c r="Q546" s="88"/>
      <c r="R546" s="88"/>
      <c r="S546" s="88"/>
      <c r="T546" s="59"/>
      <c r="U546" s="59"/>
      <c r="V546" s="59"/>
      <c r="W546" s="59"/>
      <c r="X546" s="59"/>
      <c r="Y546" s="59"/>
      <c r="Z546" s="59"/>
      <c r="AA546" s="59"/>
      <c r="AB546" s="59"/>
    </row>
    <row r="547">
      <c r="A547" s="59"/>
      <c r="B547" s="59"/>
      <c r="C547" s="70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88"/>
      <c r="P547" s="90"/>
      <c r="Q547" s="88"/>
      <c r="R547" s="88"/>
      <c r="S547" s="88"/>
      <c r="T547" s="59"/>
      <c r="U547" s="59"/>
      <c r="V547" s="59"/>
      <c r="W547" s="59"/>
      <c r="X547" s="59"/>
      <c r="Y547" s="59"/>
      <c r="Z547" s="59"/>
      <c r="AA547" s="59"/>
      <c r="AB547" s="59"/>
    </row>
    <row r="548">
      <c r="A548" s="59"/>
      <c r="B548" s="59"/>
      <c r="C548" s="70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88"/>
      <c r="P548" s="90"/>
      <c r="Q548" s="88"/>
      <c r="R548" s="88"/>
      <c r="S548" s="88"/>
      <c r="T548" s="59"/>
      <c r="U548" s="59"/>
      <c r="V548" s="59"/>
      <c r="W548" s="59"/>
      <c r="X548" s="59"/>
      <c r="Y548" s="59"/>
      <c r="Z548" s="59"/>
      <c r="AA548" s="59"/>
      <c r="AB548" s="59"/>
    </row>
    <row r="549">
      <c r="A549" s="59"/>
      <c r="B549" s="59"/>
      <c r="C549" s="70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88"/>
      <c r="P549" s="90"/>
      <c r="Q549" s="88"/>
      <c r="R549" s="88"/>
      <c r="S549" s="88"/>
      <c r="T549" s="59"/>
      <c r="U549" s="59"/>
      <c r="V549" s="59"/>
      <c r="W549" s="59"/>
      <c r="X549" s="59"/>
      <c r="Y549" s="59"/>
      <c r="Z549" s="59"/>
      <c r="AA549" s="59"/>
      <c r="AB549" s="59"/>
    </row>
    <row r="550">
      <c r="A550" s="59"/>
      <c r="B550" s="59"/>
      <c r="C550" s="70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88"/>
      <c r="P550" s="90"/>
      <c r="Q550" s="88"/>
      <c r="R550" s="88"/>
      <c r="S550" s="88"/>
      <c r="T550" s="59"/>
      <c r="U550" s="59"/>
      <c r="V550" s="59"/>
      <c r="W550" s="59"/>
      <c r="X550" s="59"/>
      <c r="Y550" s="59"/>
      <c r="Z550" s="59"/>
      <c r="AA550" s="59"/>
      <c r="AB550" s="59"/>
    </row>
    <row r="551">
      <c r="A551" s="59"/>
      <c r="B551" s="59"/>
      <c r="C551" s="70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88"/>
      <c r="P551" s="90"/>
      <c r="Q551" s="88"/>
      <c r="R551" s="88"/>
      <c r="S551" s="88"/>
      <c r="T551" s="59"/>
      <c r="U551" s="59"/>
      <c r="V551" s="59"/>
      <c r="W551" s="59"/>
      <c r="X551" s="59"/>
      <c r="Y551" s="59"/>
      <c r="Z551" s="59"/>
      <c r="AA551" s="59"/>
      <c r="AB551" s="59"/>
    </row>
    <row r="552">
      <c r="A552" s="59"/>
      <c r="B552" s="59"/>
      <c r="C552" s="70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88"/>
      <c r="P552" s="90"/>
      <c r="Q552" s="88"/>
      <c r="R552" s="88"/>
      <c r="S552" s="88"/>
      <c r="T552" s="59"/>
      <c r="U552" s="59"/>
      <c r="V552" s="59"/>
      <c r="W552" s="59"/>
      <c r="X552" s="59"/>
      <c r="Y552" s="59"/>
      <c r="Z552" s="59"/>
      <c r="AA552" s="59"/>
      <c r="AB552" s="59"/>
    </row>
    <row r="553">
      <c r="A553" s="59"/>
      <c r="B553" s="59"/>
      <c r="C553" s="70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88"/>
      <c r="P553" s="90"/>
      <c r="Q553" s="88"/>
      <c r="R553" s="88"/>
      <c r="S553" s="88"/>
      <c r="T553" s="59"/>
      <c r="U553" s="59"/>
      <c r="V553" s="59"/>
      <c r="W553" s="59"/>
      <c r="X553" s="59"/>
      <c r="Y553" s="59"/>
      <c r="Z553" s="59"/>
      <c r="AA553" s="59"/>
      <c r="AB553" s="59"/>
    </row>
    <row r="554">
      <c r="A554" s="59"/>
      <c r="B554" s="59"/>
      <c r="C554" s="7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88"/>
      <c r="P554" s="90"/>
      <c r="Q554" s="88"/>
      <c r="R554" s="88"/>
      <c r="S554" s="88"/>
      <c r="T554" s="59"/>
      <c r="U554" s="59"/>
      <c r="V554" s="59"/>
      <c r="W554" s="59"/>
      <c r="X554" s="59"/>
      <c r="Y554" s="59"/>
      <c r="Z554" s="59"/>
      <c r="AA554" s="59"/>
      <c r="AB554" s="59"/>
    </row>
    <row r="555">
      <c r="A555" s="59"/>
      <c r="B555" s="59"/>
      <c r="C555" s="70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88"/>
      <c r="P555" s="90"/>
      <c r="Q555" s="88"/>
      <c r="R555" s="88"/>
      <c r="S555" s="88"/>
      <c r="T555" s="59"/>
      <c r="U555" s="59"/>
      <c r="V555" s="59"/>
      <c r="W555" s="59"/>
      <c r="X555" s="59"/>
      <c r="Y555" s="59"/>
      <c r="Z555" s="59"/>
      <c r="AA555" s="59"/>
      <c r="AB555" s="59"/>
    </row>
    <row r="556">
      <c r="A556" s="59"/>
      <c r="B556" s="59"/>
      <c r="C556" s="70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88"/>
      <c r="P556" s="90"/>
      <c r="Q556" s="88"/>
      <c r="R556" s="88"/>
      <c r="S556" s="88"/>
      <c r="T556" s="59"/>
      <c r="U556" s="59"/>
      <c r="V556" s="59"/>
      <c r="W556" s="59"/>
      <c r="X556" s="59"/>
      <c r="Y556" s="59"/>
      <c r="Z556" s="59"/>
      <c r="AA556" s="59"/>
      <c r="AB556" s="59"/>
    </row>
    <row r="557">
      <c r="A557" s="59"/>
      <c r="B557" s="59"/>
      <c r="C557" s="70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88"/>
      <c r="P557" s="90"/>
      <c r="Q557" s="88"/>
      <c r="R557" s="88"/>
      <c r="S557" s="88"/>
      <c r="T557" s="59"/>
      <c r="U557" s="59"/>
      <c r="V557" s="59"/>
      <c r="W557" s="59"/>
      <c r="X557" s="59"/>
      <c r="Y557" s="59"/>
      <c r="Z557" s="59"/>
      <c r="AA557" s="59"/>
      <c r="AB557" s="59"/>
    </row>
    <row r="558">
      <c r="A558" s="59"/>
      <c r="B558" s="59"/>
      <c r="C558" s="70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88"/>
      <c r="P558" s="90"/>
      <c r="Q558" s="88"/>
      <c r="R558" s="88"/>
      <c r="S558" s="88"/>
      <c r="T558" s="59"/>
      <c r="U558" s="59"/>
      <c r="V558" s="59"/>
      <c r="W558" s="59"/>
      <c r="X558" s="59"/>
      <c r="Y558" s="59"/>
      <c r="Z558" s="59"/>
      <c r="AA558" s="59"/>
      <c r="AB558" s="59"/>
    </row>
    <row r="559">
      <c r="A559" s="59"/>
      <c r="B559" s="59"/>
      <c r="C559" s="70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88"/>
      <c r="P559" s="90"/>
      <c r="Q559" s="88"/>
      <c r="R559" s="88"/>
      <c r="S559" s="88"/>
      <c r="T559" s="59"/>
      <c r="U559" s="59"/>
      <c r="V559" s="59"/>
      <c r="W559" s="59"/>
      <c r="X559" s="59"/>
      <c r="Y559" s="59"/>
      <c r="Z559" s="59"/>
      <c r="AA559" s="59"/>
      <c r="AB559" s="59"/>
    </row>
    <row r="560">
      <c r="A560" s="59"/>
      <c r="B560" s="59"/>
      <c r="C560" s="70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88"/>
      <c r="P560" s="90"/>
      <c r="Q560" s="88"/>
      <c r="R560" s="88"/>
      <c r="S560" s="88"/>
      <c r="T560" s="59"/>
      <c r="U560" s="59"/>
      <c r="V560" s="59"/>
      <c r="W560" s="59"/>
      <c r="X560" s="59"/>
      <c r="Y560" s="59"/>
      <c r="Z560" s="59"/>
      <c r="AA560" s="59"/>
      <c r="AB560" s="59"/>
    </row>
    <row r="561">
      <c r="A561" s="59"/>
      <c r="B561" s="59"/>
      <c r="C561" s="70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88"/>
      <c r="P561" s="90"/>
      <c r="Q561" s="88"/>
      <c r="R561" s="88"/>
      <c r="S561" s="88"/>
      <c r="T561" s="59"/>
      <c r="U561" s="59"/>
      <c r="V561" s="59"/>
      <c r="W561" s="59"/>
      <c r="X561" s="59"/>
      <c r="Y561" s="59"/>
      <c r="Z561" s="59"/>
      <c r="AA561" s="59"/>
      <c r="AB561" s="59"/>
    </row>
    <row r="562">
      <c r="A562" s="59"/>
      <c r="B562" s="59"/>
      <c r="C562" s="70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88"/>
      <c r="P562" s="90"/>
      <c r="Q562" s="88"/>
      <c r="R562" s="88"/>
      <c r="S562" s="88"/>
      <c r="T562" s="59"/>
      <c r="U562" s="59"/>
      <c r="V562" s="59"/>
      <c r="W562" s="59"/>
      <c r="X562" s="59"/>
      <c r="Y562" s="59"/>
      <c r="Z562" s="59"/>
      <c r="AA562" s="59"/>
      <c r="AB562" s="59"/>
    </row>
    <row r="563">
      <c r="A563" s="59"/>
      <c r="B563" s="59"/>
      <c r="C563" s="70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88"/>
      <c r="P563" s="90"/>
      <c r="Q563" s="88"/>
      <c r="R563" s="88"/>
      <c r="S563" s="88"/>
      <c r="T563" s="59"/>
      <c r="U563" s="59"/>
      <c r="V563" s="59"/>
      <c r="W563" s="59"/>
      <c r="X563" s="59"/>
      <c r="Y563" s="59"/>
      <c r="Z563" s="59"/>
      <c r="AA563" s="59"/>
      <c r="AB563" s="59"/>
    </row>
    <row r="564">
      <c r="A564" s="59"/>
      <c r="B564" s="59"/>
      <c r="C564" s="70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88"/>
      <c r="P564" s="90"/>
      <c r="Q564" s="88"/>
      <c r="R564" s="88"/>
      <c r="S564" s="88"/>
      <c r="T564" s="59"/>
      <c r="U564" s="59"/>
      <c r="V564" s="59"/>
      <c r="W564" s="59"/>
      <c r="X564" s="59"/>
      <c r="Y564" s="59"/>
      <c r="Z564" s="59"/>
      <c r="AA564" s="59"/>
      <c r="AB564" s="59"/>
    </row>
    <row r="565">
      <c r="A565" s="59"/>
      <c r="B565" s="59"/>
      <c r="C565" s="70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88"/>
      <c r="P565" s="90"/>
      <c r="Q565" s="88"/>
      <c r="R565" s="88"/>
      <c r="S565" s="88"/>
      <c r="T565" s="59"/>
      <c r="U565" s="59"/>
      <c r="V565" s="59"/>
      <c r="W565" s="59"/>
      <c r="X565" s="59"/>
      <c r="Y565" s="59"/>
      <c r="Z565" s="59"/>
      <c r="AA565" s="59"/>
      <c r="AB565" s="59"/>
    </row>
    <row r="566">
      <c r="A566" s="59"/>
      <c r="B566" s="59"/>
      <c r="C566" s="70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88"/>
      <c r="P566" s="90"/>
      <c r="Q566" s="88"/>
      <c r="R566" s="88"/>
      <c r="S566" s="88"/>
      <c r="T566" s="59"/>
      <c r="U566" s="59"/>
      <c r="V566" s="59"/>
      <c r="W566" s="59"/>
      <c r="X566" s="59"/>
      <c r="Y566" s="59"/>
      <c r="Z566" s="59"/>
      <c r="AA566" s="59"/>
      <c r="AB566" s="59"/>
    </row>
    <row r="567">
      <c r="A567" s="59"/>
      <c r="B567" s="59"/>
      <c r="C567" s="70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88"/>
      <c r="P567" s="90"/>
      <c r="Q567" s="88"/>
      <c r="R567" s="88"/>
      <c r="S567" s="88"/>
      <c r="T567" s="59"/>
      <c r="U567" s="59"/>
      <c r="V567" s="59"/>
      <c r="W567" s="59"/>
      <c r="X567" s="59"/>
      <c r="Y567" s="59"/>
      <c r="Z567" s="59"/>
      <c r="AA567" s="59"/>
      <c r="AB567" s="59"/>
    </row>
    <row r="568">
      <c r="A568" s="59"/>
      <c r="B568" s="59"/>
      <c r="C568" s="70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88"/>
      <c r="P568" s="90"/>
      <c r="Q568" s="88"/>
      <c r="R568" s="88"/>
      <c r="S568" s="88"/>
      <c r="T568" s="59"/>
      <c r="U568" s="59"/>
      <c r="V568" s="59"/>
      <c r="W568" s="59"/>
      <c r="X568" s="59"/>
      <c r="Y568" s="59"/>
      <c r="Z568" s="59"/>
      <c r="AA568" s="59"/>
      <c r="AB568" s="59"/>
    </row>
    <row r="569">
      <c r="A569" s="59"/>
      <c r="B569" s="59"/>
      <c r="C569" s="70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88"/>
      <c r="P569" s="90"/>
      <c r="Q569" s="88"/>
      <c r="R569" s="88"/>
      <c r="S569" s="88"/>
      <c r="T569" s="59"/>
      <c r="U569" s="59"/>
      <c r="V569" s="59"/>
      <c r="W569" s="59"/>
      <c r="X569" s="59"/>
      <c r="Y569" s="59"/>
      <c r="Z569" s="59"/>
      <c r="AA569" s="59"/>
      <c r="AB569" s="59"/>
    </row>
    <row r="570">
      <c r="A570" s="59"/>
      <c r="B570" s="59"/>
      <c r="C570" s="7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88"/>
      <c r="P570" s="90"/>
      <c r="Q570" s="88"/>
      <c r="R570" s="88"/>
      <c r="S570" s="88"/>
      <c r="T570" s="59"/>
      <c r="U570" s="59"/>
      <c r="V570" s="59"/>
      <c r="W570" s="59"/>
      <c r="X570" s="59"/>
      <c r="Y570" s="59"/>
      <c r="Z570" s="59"/>
      <c r="AA570" s="59"/>
      <c r="AB570" s="59"/>
    </row>
    <row r="571">
      <c r="A571" s="59"/>
      <c r="B571" s="59"/>
      <c r="C571" s="7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88"/>
      <c r="P571" s="90"/>
      <c r="Q571" s="88"/>
      <c r="R571" s="88"/>
      <c r="S571" s="88"/>
      <c r="T571" s="59"/>
      <c r="U571" s="59"/>
      <c r="V571" s="59"/>
      <c r="W571" s="59"/>
      <c r="X571" s="59"/>
      <c r="Y571" s="59"/>
      <c r="Z571" s="59"/>
      <c r="AA571" s="59"/>
      <c r="AB571" s="59"/>
    </row>
    <row r="572">
      <c r="A572" s="59"/>
      <c r="B572" s="59"/>
      <c r="C572" s="7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88"/>
      <c r="P572" s="90"/>
      <c r="Q572" s="88"/>
      <c r="R572" s="88"/>
      <c r="S572" s="88"/>
      <c r="T572" s="59"/>
      <c r="U572" s="59"/>
      <c r="V572" s="59"/>
      <c r="W572" s="59"/>
      <c r="X572" s="59"/>
      <c r="Y572" s="59"/>
      <c r="Z572" s="59"/>
      <c r="AA572" s="59"/>
      <c r="AB572" s="59"/>
    </row>
    <row r="573">
      <c r="A573" s="59"/>
      <c r="B573" s="59"/>
      <c r="C573" s="70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88"/>
      <c r="P573" s="90"/>
      <c r="Q573" s="88"/>
      <c r="R573" s="88"/>
      <c r="S573" s="88"/>
      <c r="T573" s="59"/>
      <c r="U573" s="59"/>
      <c r="V573" s="59"/>
      <c r="W573" s="59"/>
      <c r="X573" s="59"/>
      <c r="Y573" s="59"/>
      <c r="Z573" s="59"/>
      <c r="AA573" s="59"/>
      <c r="AB573" s="59"/>
    </row>
    <row r="574">
      <c r="A574" s="59"/>
      <c r="B574" s="59"/>
      <c r="C574" s="70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88"/>
      <c r="P574" s="90"/>
      <c r="Q574" s="88"/>
      <c r="R574" s="88"/>
      <c r="S574" s="88"/>
      <c r="T574" s="59"/>
      <c r="U574" s="59"/>
      <c r="V574" s="59"/>
      <c r="W574" s="59"/>
      <c r="X574" s="59"/>
      <c r="Y574" s="59"/>
      <c r="Z574" s="59"/>
      <c r="AA574" s="59"/>
      <c r="AB574" s="59"/>
    </row>
    <row r="575">
      <c r="A575" s="59"/>
      <c r="B575" s="59"/>
      <c r="C575" s="70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88"/>
      <c r="P575" s="90"/>
      <c r="Q575" s="88"/>
      <c r="R575" s="88"/>
      <c r="S575" s="88"/>
      <c r="T575" s="59"/>
      <c r="U575" s="59"/>
      <c r="V575" s="59"/>
      <c r="W575" s="59"/>
      <c r="X575" s="59"/>
      <c r="Y575" s="59"/>
      <c r="Z575" s="59"/>
      <c r="AA575" s="59"/>
      <c r="AB575" s="59"/>
    </row>
    <row r="576">
      <c r="A576" s="59"/>
      <c r="B576" s="59"/>
      <c r="C576" s="70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88"/>
      <c r="P576" s="90"/>
      <c r="Q576" s="88"/>
      <c r="R576" s="88"/>
      <c r="S576" s="88"/>
      <c r="T576" s="59"/>
      <c r="U576" s="59"/>
      <c r="V576" s="59"/>
      <c r="W576" s="59"/>
      <c r="X576" s="59"/>
      <c r="Y576" s="59"/>
      <c r="Z576" s="59"/>
      <c r="AA576" s="59"/>
      <c r="AB576" s="59"/>
    </row>
    <row r="577">
      <c r="A577" s="59"/>
      <c r="B577" s="59"/>
      <c r="C577" s="70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88"/>
      <c r="P577" s="90"/>
      <c r="Q577" s="88"/>
      <c r="R577" s="88"/>
      <c r="S577" s="88"/>
      <c r="T577" s="59"/>
      <c r="U577" s="59"/>
      <c r="V577" s="59"/>
      <c r="W577" s="59"/>
      <c r="X577" s="59"/>
      <c r="Y577" s="59"/>
      <c r="Z577" s="59"/>
      <c r="AA577" s="59"/>
      <c r="AB577" s="59"/>
    </row>
    <row r="578">
      <c r="A578" s="59"/>
      <c r="B578" s="59"/>
      <c r="C578" s="70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88"/>
      <c r="P578" s="90"/>
      <c r="Q578" s="88"/>
      <c r="R578" s="88"/>
      <c r="S578" s="88"/>
      <c r="T578" s="59"/>
      <c r="U578" s="59"/>
      <c r="V578" s="59"/>
      <c r="W578" s="59"/>
      <c r="X578" s="59"/>
      <c r="Y578" s="59"/>
      <c r="Z578" s="59"/>
      <c r="AA578" s="59"/>
      <c r="AB578" s="59"/>
    </row>
    <row r="579">
      <c r="A579" s="59"/>
      <c r="B579" s="59"/>
      <c r="C579" s="70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88"/>
      <c r="P579" s="90"/>
      <c r="Q579" s="88"/>
      <c r="R579" s="88"/>
      <c r="S579" s="88"/>
      <c r="T579" s="59"/>
      <c r="U579" s="59"/>
      <c r="V579" s="59"/>
      <c r="W579" s="59"/>
      <c r="X579" s="59"/>
      <c r="Y579" s="59"/>
      <c r="Z579" s="59"/>
      <c r="AA579" s="59"/>
      <c r="AB579" s="59"/>
    </row>
    <row r="580">
      <c r="A580" s="59"/>
      <c r="B580" s="59"/>
      <c r="C580" s="70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88"/>
      <c r="P580" s="90"/>
      <c r="Q580" s="88"/>
      <c r="R580" s="88"/>
      <c r="S580" s="88"/>
      <c r="T580" s="59"/>
      <c r="U580" s="59"/>
      <c r="V580" s="59"/>
      <c r="W580" s="59"/>
      <c r="X580" s="59"/>
      <c r="Y580" s="59"/>
      <c r="Z580" s="59"/>
      <c r="AA580" s="59"/>
      <c r="AB580" s="59"/>
    </row>
    <row r="581">
      <c r="A581" s="59"/>
      <c r="B581" s="59"/>
      <c r="C581" s="70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88"/>
      <c r="P581" s="90"/>
      <c r="Q581" s="88"/>
      <c r="R581" s="88"/>
      <c r="S581" s="88"/>
      <c r="T581" s="59"/>
      <c r="U581" s="59"/>
      <c r="V581" s="59"/>
      <c r="W581" s="59"/>
      <c r="X581" s="59"/>
      <c r="Y581" s="59"/>
      <c r="Z581" s="59"/>
      <c r="AA581" s="59"/>
      <c r="AB581" s="59"/>
    </row>
    <row r="582">
      <c r="A582" s="59"/>
      <c r="B582" s="59"/>
      <c r="C582" s="70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88"/>
      <c r="P582" s="90"/>
      <c r="Q582" s="88"/>
      <c r="R582" s="88"/>
      <c r="S582" s="88"/>
      <c r="T582" s="59"/>
      <c r="U582" s="59"/>
      <c r="V582" s="59"/>
      <c r="W582" s="59"/>
      <c r="X582" s="59"/>
      <c r="Y582" s="59"/>
      <c r="Z582" s="59"/>
      <c r="AA582" s="59"/>
      <c r="AB582" s="59"/>
    </row>
    <row r="583">
      <c r="A583" s="59"/>
      <c r="B583" s="59"/>
      <c r="C583" s="70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88"/>
      <c r="P583" s="90"/>
      <c r="Q583" s="88"/>
      <c r="R583" s="88"/>
      <c r="S583" s="88"/>
      <c r="T583" s="59"/>
      <c r="U583" s="59"/>
      <c r="V583" s="59"/>
      <c r="W583" s="59"/>
      <c r="X583" s="59"/>
      <c r="Y583" s="59"/>
      <c r="Z583" s="59"/>
      <c r="AA583" s="59"/>
      <c r="AB583" s="59"/>
    </row>
    <row r="584">
      <c r="A584" s="59"/>
      <c r="B584" s="59"/>
      <c r="C584" s="70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88"/>
      <c r="P584" s="90"/>
      <c r="Q584" s="88"/>
      <c r="R584" s="88"/>
      <c r="S584" s="88"/>
      <c r="T584" s="59"/>
      <c r="U584" s="59"/>
      <c r="V584" s="59"/>
      <c r="W584" s="59"/>
      <c r="X584" s="59"/>
      <c r="Y584" s="59"/>
      <c r="Z584" s="59"/>
      <c r="AA584" s="59"/>
      <c r="AB584" s="59"/>
    </row>
    <row r="585">
      <c r="A585" s="59"/>
      <c r="B585" s="59"/>
      <c r="C585" s="70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88"/>
      <c r="P585" s="90"/>
      <c r="Q585" s="88"/>
      <c r="R585" s="88"/>
      <c r="S585" s="88"/>
      <c r="T585" s="59"/>
      <c r="U585" s="59"/>
      <c r="V585" s="59"/>
      <c r="W585" s="59"/>
      <c r="X585" s="59"/>
      <c r="Y585" s="59"/>
      <c r="Z585" s="59"/>
      <c r="AA585" s="59"/>
      <c r="AB585" s="59"/>
    </row>
    <row r="586">
      <c r="A586" s="59"/>
      <c r="B586" s="59"/>
      <c r="C586" s="70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88"/>
      <c r="P586" s="90"/>
      <c r="Q586" s="88"/>
      <c r="R586" s="88"/>
      <c r="S586" s="88"/>
      <c r="T586" s="59"/>
      <c r="U586" s="59"/>
      <c r="V586" s="59"/>
      <c r="W586" s="59"/>
      <c r="X586" s="59"/>
      <c r="Y586" s="59"/>
      <c r="Z586" s="59"/>
      <c r="AA586" s="59"/>
      <c r="AB586" s="59"/>
    </row>
    <row r="587">
      <c r="A587" s="59"/>
      <c r="B587" s="59"/>
      <c r="C587" s="70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88"/>
      <c r="P587" s="90"/>
      <c r="Q587" s="88"/>
      <c r="R587" s="88"/>
      <c r="S587" s="88"/>
      <c r="T587" s="59"/>
      <c r="U587" s="59"/>
      <c r="V587" s="59"/>
      <c r="W587" s="59"/>
      <c r="X587" s="59"/>
      <c r="Y587" s="59"/>
      <c r="Z587" s="59"/>
      <c r="AA587" s="59"/>
      <c r="AB587" s="59"/>
    </row>
    <row r="588">
      <c r="A588" s="59"/>
      <c r="B588" s="59"/>
      <c r="C588" s="70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88"/>
      <c r="P588" s="90"/>
      <c r="Q588" s="88"/>
      <c r="R588" s="88"/>
      <c r="S588" s="88"/>
      <c r="T588" s="59"/>
      <c r="U588" s="59"/>
      <c r="V588" s="59"/>
      <c r="W588" s="59"/>
      <c r="X588" s="59"/>
      <c r="Y588" s="59"/>
      <c r="Z588" s="59"/>
      <c r="AA588" s="59"/>
      <c r="AB588" s="59"/>
    </row>
    <row r="589">
      <c r="A589" s="59"/>
      <c r="B589" s="59"/>
      <c r="C589" s="70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88"/>
      <c r="P589" s="90"/>
      <c r="Q589" s="88"/>
      <c r="R589" s="88"/>
      <c r="S589" s="88"/>
      <c r="T589" s="59"/>
      <c r="U589" s="59"/>
      <c r="V589" s="59"/>
      <c r="W589" s="59"/>
      <c r="X589" s="59"/>
      <c r="Y589" s="59"/>
      <c r="Z589" s="59"/>
      <c r="AA589" s="59"/>
      <c r="AB589" s="59"/>
    </row>
    <row r="590">
      <c r="A590" s="59"/>
      <c r="B590" s="59"/>
      <c r="C590" s="70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88"/>
      <c r="P590" s="90"/>
      <c r="Q590" s="88"/>
      <c r="R590" s="88"/>
      <c r="S590" s="88"/>
      <c r="T590" s="59"/>
      <c r="U590" s="59"/>
      <c r="V590" s="59"/>
      <c r="W590" s="59"/>
      <c r="X590" s="59"/>
      <c r="Y590" s="59"/>
      <c r="Z590" s="59"/>
      <c r="AA590" s="59"/>
      <c r="AB590" s="59"/>
    </row>
    <row r="591">
      <c r="A591" s="59"/>
      <c r="B591" s="59"/>
      <c r="C591" s="70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88"/>
      <c r="P591" s="90"/>
      <c r="Q591" s="88"/>
      <c r="R591" s="88"/>
      <c r="S591" s="88"/>
      <c r="T591" s="59"/>
      <c r="U591" s="59"/>
      <c r="V591" s="59"/>
      <c r="W591" s="59"/>
      <c r="X591" s="59"/>
      <c r="Y591" s="59"/>
      <c r="Z591" s="59"/>
      <c r="AA591" s="59"/>
      <c r="AB591" s="59"/>
    </row>
    <row r="592">
      <c r="A592" s="59"/>
      <c r="B592" s="59"/>
      <c r="C592" s="70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88"/>
      <c r="P592" s="90"/>
      <c r="Q592" s="88"/>
      <c r="R592" s="88"/>
      <c r="S592" s="88"/>
      <c r="T592" s="59"/>
      <c r="U592" s="59"/>
      <c r="V592" s="59"/>
      <c r="W592" s="59"/>
      <c r="X592" s="59"/>
      <c r="Y592" s="59"/>
      <c r="Z592" s="59"/>
      <c r="AA592" s="59"/>
      <c r="AB592" s="59"/>
    </row>
    <row r="593">
      <c r="A593" s="59"/>
      <c r="B593" s="59"/>
      <c r="C593" s="70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88"/>
      <c r="P593" s="90"/>
      <c r="Q593" s="88"/>
      <c r="R593" s="88"/>
      <c r="S593" s="88"/>
      <c r="T593" s="59"/>
      <c r="U593" s="59"/>
      <c r="V593" s="59"/>
      <c r="W593" s="59"/>
      <c r="X593" s="59"/>
      <c r="Y593" s="59"/>
      <c r="Z593" s="59"/>
      <c r="AA593" s="59"/>
      <c r="AB593" s="59"/>
    </row>
    <row r="594">
      <c r="A594" s="59"/>
      <c r="B594" s="59"/>
      <c r="C594" s="70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88"/>
      <c r="P594" s="90"/>
      <c r="Q594" s="88"/>
      <c r="R594" s="88"/>
      <c r="S594" s="88"/>
      <c r="T594" s="59"/>
      <c r="U594" s="59"/>
      <c r="V594" s="59"/>
      <c r="W594" s="59"/>
      <c r="X594" s="59"/>
      <c r="Y594" s="59"/>
      <c r="Z594" s="59"/>
      <c r="AA594" s="59"/>
      <c r="AB594" s="59"/>
    </row>
    <row r="595">
      <c r="A595" s="59"/>
      <c r="B595" s="59"/>
      <c r="C595" s="70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88"/>
      <c r="P595" s="90"/>
      <c r="Q595" s="88"/>
      <c r="R595" s="88"/>
      <c r="S595" s="88"/>
      <c r="T595" s="59"/>
      <c r="U595" s="59"/>
      <c r="V595" s="59"/>
      <c r="W595" s="59"/>
      <c r="X595" s="59"/>
      <c r="Y595" s="59"/>
      <c r="Z595" s="59"/>
      <c r="AA595" s="59"/>
      <c r="AB595" s="59"/>
    </row>
    <row r="596">
      <c r="A596" s="59"/>
      <c r="B596" s="59"/>
      <c r="C596" s="70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88"/>
      <c r="P596" s="90"/>
      <c r="Q596" s="88"/>
      <c r="R596" s="88"/>
      <c r="S596" s="88"/>
      <c r="T596" s="59"/>
      <c r="U596" s="59"/>
      <c r="V596" s="59"/>
      <c r="W596" s="59"/>
      <c r="X596" s="59"/>
      <c r="Y596" s="59"/>
      <c r="Z596" s="59"/>
      <c r="AA596" s="59"/>
      <c r="AB596" s="59"/>
    </row>
    <row r="597">
      <c r="A597" s="59"/>
      <c r="B597" s="59"/>
      <c r="C597" s="70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88"/>
      <c r="P597" s="90"/>
      <c r="Q597" s="88"/>
      <c r="R597" s="88"/>
      <c r="S597" s="88"/>
      <c r="T597" s="59"/>
      <c r="U597" s="59"/>
      <c r="V597" s="59"/>
      <c r="W597" s="59"/>
      <c r="X597" s="59"/>
      <c r="Y597" s="59"/>
      <c r="Z597" s="59"/>
      <c r="AA597" s="59"/>
      <c r="AB597" s="59"/>
    </row>
    <row r="598">
      <c r="A598" s="59"/>
      <c r="B598" s="59"/>
      <c r="C598" s="70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88"/>
      <c r="P598" s="90"/>
      <c r="Q598" s="88"/>
      <c r="R598" s="88"/>
      <c r="S598" s="88"/>
      <c r="T598" s="59"/>
      <c r="U598" s="59"/>
      <c r="V598" s="59"/>
      <c r="W598" s="59"/>
      <c r="X598" s="59"/>
      <c r="Y598" s="59"/>
      <c r="Z598" s="59"/>
      <c r="AA598" s="59"/>
      <c r="AB598" s="59"/>
    </row>
    <row r="599">
      <c r="A599" s="59"/>
      <c r="B599" s="59"/>
      <c r="C599" s="70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88"/>
      <c r="P599" s="90"/>
      <c r="Q599" s="88"/>
      <c r="R599" s="88"/>
      <c r="S599" s="88"/>
      <c r="T599" s="59"/>
      <c r="U599" s="59"/>
      <c r="V599" s="59"/>
      <c r="W599" s="59"/>
      <c r="X599" s="59"/>
      <c r="Y599" s="59"/>
      <c r="Z599" s="59"/>
      <c r="AA599" s="59"/>
      <c r="AB599" s="59"/>
    </row>
    <row r="600">
      <c r="A600" s="59"/>
      <c r="B600" s="59"/>
      <c r="C600" s="70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88"/>
      <c r="P600" s="90"/>
      <c r="Q600" s="88"/>
      <c r="R600" s="88"/>
      <c r="S600" s="88"/>
      <c r="T600" s="59"/>
      <c r="U600" s="59"/>
      <c r="V600" s="59"/>
      <c r="W600" s="59"/>
      <c r="X600" s="59"/>
      <c r="Y600" s="59"/>
      <c r="Z600" s="59"/>
      <c r="AA600" s="59"/>
      <c r="AB600" s="59"/>
    </row>
    <row r="601">
      <c r="A601" s="59"/>
      <c r="B601" s="59"/>
      <c r="C601" s="70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88"/>
      <c r="P601" s="90"/>
      <c r="Q601" s="88"/>
      <c r="R601" s="88"/>
      <c r="S601" s="88"/>
      <c r="T601" s="59"/>
      <c r="U601" s="59"/>
      <c r="V601" s="59"/>
      <c r="W601" s="59"/>
      <c r="X601" s="59"/>
      <c r="Y601" s="59"/>
      <c r="Z601" s="59"/>
      <c r="AA601" s="59"/>
      <c r="AB601" s="59"/>
    </row>
    <row r="602">
      <c r="A602" s="59"/>
      <c r="B602" s="59"/>
      <c r="C602" s="70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88"/>
      <c r="P602" s="90"/>
      <c r="Q602" s="88"/>
      <c r="R602" s="88"/>
      <c r="S602" s="88"/>
      <c r="T602" s="59"/>
      <c r="U602" s="59"/>
      <c r="V602" s="59"/>
      <c r="W602" s="59"/>
      <c r="X602" s="59"/>
      <c r="Y602" s="59"/>
      <c r="Z602" s="59"/>
      <c r="AA602" s="59"/>
      <c r="AB602" s="59"/>
    </row>
    <row r="603">
      <c r="A603" s="59"/>
      <c r="B603" s="59"/>
      <c r="C603" s="70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88"/>
      <c r="P603" s="90"/>
      <c r="Q603" s="88"/>
      <c r="R603" s="88"/>
      <c r="S603" s="88"/>
      <c r="T603" s="59"/>
      <c r="U603" s="59"/>
      <c r="V603" s="59"/>
      <c r="W603" s="59"/>
      <c r="X603" s="59"/>
      <c r="Y603" s="59"/>
      <c r="Z603" s="59"/>
      <c r="AA603" s="59"/>
      <c r="AB603" s="59"/>
    </row>
    <row r="604">
      <c r="A604" s="59"/>
      <c r="B604" s="59"/>
      <c r="C604" s="70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88"/>
      <c r="P604" s="90"/>
      <c r="Q604" s="88"/>
      <c r="R604" s="88"/>
      <c r="S604" s="88"/>
      <c r="T604" s="59"/>
      <c r="U604" s="59"/>
      <c r="V604" s="59"/>
      <c r="W604" s="59"/>
      <c r="X604" s="59"/>
      <c r="Y604" s="59"/>
      <c r="Z604" s="59"/>
      <c r="AA604" s="59"/>
      <c r="AB604" s="59"/>
    </row>
    <row r="605">
      <c r="A605" s="59"/>
      <c r="B605" s="59"/>
      <c r="C605" s="70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88"/>
      <c r="P605" s="90"/>
      <c r="Q605" s="88"/>
      <c r="R605" s="88"/>
      <c r="S605" s="88"/>
      <c r="T605" s="59"/>
      <c r="U605" s="59"/>
      <c r="V605" s="59"/>
      <c r="W605" s="59"/>
      <c r="X605" s="59"/>
      <c r="Y605" s="59"/>
      <c r="Z605" s="59"/>
      <c r="AA605" s="59"/>
      <c r="AB605" s="59"/>
    </row>
    <row r="606">
      <c r="A606" s="59"/>
      <c r="B606" s="59"/>
      <c r="C606" s="70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88"/>
      <c r="P606" s="90"/>
      <c r="Q606" s="88"/>
      <c r="R606" s="88"/>
      <c r="S606" s="88"/>
      <c r="T606" s="59"/>
      <c r="U606" s="59"/>
      <c r="V606" s="59"/>
      <c r="W606" s="59"/>
      <c r="X606" s="59"/>
      <c r="Y606" s="59"/>
      <c r="Z606" s="59"/>
      <c r="AA606" s="59"/>
      <c r="AB606" s="59"/>
    </row>
    <row r="607">
      <c r="A607" s="59"/>
      <c r="B607" s="59"/>
      <c r="C607" s="70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88"/>
      <c r="P607" s="90"/>
      <c r="Q607" s="88"/>
      <c r="R607" s="88"/>
      <c r="S607" s="88"/>
      <c r="T607" s="59"/>
      <c r="U607" s="59"/>
      <c r="V607" s="59"/>
      <c r="W607" s="59"/>
      <c r="X607" s="59"/>
      <c r="Y607" s="59"/>
      <c r="Z607" s="59"/>
      <c r="AA607" s="59"/>
      <c r="AB607" s="59"/>
    </row>
    <row r="608">
      <c r="A608" s="59"/>
      <c r="B608" s="59"/>
      <c r="C608" s="70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88"/>
      <c r="P608" s="90"/>
      <c r="Q608" s="88"/>
      <c r="R608" s="88"/>
      <c r="S608" s="88"/>
      <c r="T608" s="59"/>
      <c r="U608" s="59"/>
      <c r="V608" s="59"/>
      <c r="W608" s="59"/>
      <c r="X608" s="59"/>
      <c r="Y608" s="59"/>
      <c r="Z608" s="59"/>
      <c r="AA608" s="59"/>
      <c r="AB608" s="59"/>
    </row>
    <row r="609">
      <c r="A609" s="59"/>
      <c r="B609" s="59"/>
      <c r="C609" s="70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88"/>
      <c r="P609" s="90"/>
      <c r="Q609" s="88"/>
      <c r="R609" s="88"/>
      <c r="S609" s="88"/>
      <c r="T609" s="59"/>
      <c r="U609" s="59"/>
      <c r="V609" s="59"/>
      <c r="W609" s="59"/>
      <c r="X609" s="59"/>
      <c r="Y609" s="59"/>
      <c r="Z609" s="59"/>
      <c r="AA609" s="59"/>
      <c r="AB609" s="59"/>
    </row>
    <row r="610">
      <c r="A610" s="59"/>
      <c r="B610" s="59"/>
      <c r="C610" s="70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88"/>
      <c r="P610" s="90"/>
      <c r="Q610" s="88"/>
      <c r="R610" s="88"/>
      <c r="S610" s="88"/>
      <c r="T610" s="59"/>
      <c r="U610" s="59"/>
      <c r="V610" s="59"/>
      <c r="W610" s="59"/>
      <c r="X610" s="59"/>
      <c r="Y610" s="59"/>
      <c r="Z610" s="59"/>
      <c r="AA610" s="59"/>
      <c r="AB610" s="59"/>
    </row>
    <row r="611">
      <c r="A611" s="59"/>
      <c r="B611" s="59"/>
      <c r="C611" s="70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88"/>
      <c r="P611" s="90"/>
      <c r="Q611" s="88"/>
      <c r="R611" s="88"/>
      <c r="S611" s="88"/>
      <c r="T611" s="59"/>
      <c r="U611" s="59"/>
      <c r="V611" s="59"/>
      <c r="W611" s="59"/>
      <c r="X611" s="59"/>
      <c r="Y611" s="59"/>
      <c r="Z611" s="59"/>
      <c r="AA611" s="59"/>
      <c r="AB611" s="59"/>
    </row>
    <row r="612">
      <c r="A612" s="59"/>
      <c r="B612" s="59"/>
      <c r="C612" s="70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88"/>
      <c r="P612" s="90"/>
      <c r="Q612" s="88"/>
      <c r="R612" s="88"/>
      <c r="S612" s="88"/>
      <c r="T612" s="59"/>
      <c r="U612" s="59"/>
      <c r="V612" s="59"/>
      <c r="W612" s="59"/>
      <c r="X612" s="59"/>
      <c r="Y612" s="59"/>
      <c r="Z612" s="59"/>
      <c r="AA612" s="59"/>
      <c r="AB612" s="59"/>
    </row>
    <row r="613">
      <c r="A613" s="59"/>
      <c r="B613" s="59"/>
      <c r="C613" s="70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88"/>
      <c r="P613" s="90"/>
      <c r="Q613" s="88"/>
      <c r="R613" s="88"/>
      <c r="S613" s="88"/>
      <c r="T613" s="59"/>
      <c r="U613" s="59"/>
      <c r="V613" s="59"/>
      <c r="W613" s="59"/>
      <c r="X613" s="59"/>
      <c r="Y613" s="59"/>
      <c r="Z613" s="59"/>
      <c r="AA613" s="59"/>
      <c r="AB613" s="59"/>
    </row>
    <row r="614">
      <c r="A614" s="59"/>
      <c r="B614" s="59"/>
      <c r="C614" s="70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88"/>
      <c r="P614" s="90"/>
      <c r="Q614" s="88"/>
      <c r="R614" s="88"/>
      <c r="S614" s="88"/>
      <c r="T614" s="59"/>
      <c r="U614" s="59"/>
      <c r="V614" s="59"/>
      <c r="W614" s="59"/>
      <c r="X614" s="59"/>
      <c r="Y614" s="59"/>
      <c r="Z614" s="59"/>
      <c r="AA614" s="59"/>
      <c r="AB614" s="59"/>
    </row>
    <row r="615">
      <c r="A615" s="59"/>
      <c r="B615" s="59"/>
      <c r="C615" s="70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88"/>
      <c r="P615" s="90"/>
      <c r="Q615" s="88"/>
      <c r="R615" s="88"/>
      <c r="S615" s="88"/>
      <c r="T615" s="59"/>
      <c r="U615" s="59"/>
      <c r="V615" s="59"/>
      <c r="W615" s="59"/>
      <c r="X615" s="59"/>
      <c r="Y615" s="59"/>
      <c r="Z615" s="59"/>
      <c r="AA615" s="59"/>
      <c r="AB615" s="59"/>
    </row>
    <row r="616">
      <c r="A616" s="59"/>
      <c r="B616" s="59"/>
      <c r="C616" s="70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88"/>
      <c r="P616" s="90"/>
      <c r="Q616" s="88"/>
      <c r="R616" s="88"/>
      <c r="S616" s="88"/>
      <c r="T616" s="59"/>
      <c r="U616" s="59"/>
      <c r="V616" s="59"/>
      <c r="W616" s="59"/>
      <c r="X616" s="59"/>
      <c r="Y616" s="59"/>
      <c r="Z616" s="59"/>
      <c r="AA616" s="59"/>
      <c r="AB616" s="59"/>
    </row>
    <row r="617">
      <c r="A617" s="59"/>
      <c r="B617" s="59"/>
      <c r="C617" s="70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88"/>
      <c r="P617" s="90"/>
      <c r="Q617" s="88"/>
      <c r="R617" s="88"/>
      <c r="S617" s="88"/>
      <c r="T617" s="59"/>
      <c r="U617" s="59"/>
      <c r="V617" s="59"/>
      <c r="W617" s="59"/>
      <c r="X617" s="59"/>
      <c r="Y617" s="59"/>
      <c r="Z617" s="59"/>
      <c r="AA617" s="59"/>
      <c r="AB617" s="59"/>
    </row>
    <row r="618">
      <c r="A618" s="59"/>
      <c r="B618" s="59"/>
      <c r="C618" s="70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88"/>
      <c r="P618" s="90"/>
      <c r="Q618" s="88"/>
      <c r="R618" s="88"/>
      <c r="S618" s="88"/>
      <c r="T618" s="59"/>
      <c r="U618" s="59"/>
      <c r="V618" s="59"/>
      <c r="W618" s="59"/>
      <c r="X618" s="59"/>
      <c r="Y618" s="59"/>
      <c r="Z618" s="59"/>
      <c r="AA618" s="59"/>
      <c r="AB618" s="59"/>
    </row>
    <row r="619">
      <c r="A619" s="59"/>
      <c r="B619" s="59"/>
      <c r="C619" s="70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88"/>
      <c r="P619" s="90"/>
      <c r="Q619" s="88"/>
      <c r="R619" s="88"/>
      <c r="S619" s="88"/>
      <c r="T619" s="59"/>
      <c r="U619" s="59"/>
      <c r="V619" s="59"/>
      <c r="W619" s="59"/>
      <c r="X619" s="59"/>
      <c r="Y619" s="59"/>
      <c r="Z619" s="59"/>
      <c r="AA619" s="59"/>
      <c r="AB619" s="59"/>
    </row>
    <row r="620">
      <c r="A620" s="59"/>
      <c r="B620" s="59"/>
      <c r="C620" s="70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88"/>
      <c r="P620" s="90"/>
      <c r="Q620" s="88"/>
      <c r="R620" s="88"/>
      <c r="S620" s="88"/>
      <c r="T620" s="59"/>
      <c r="U620" s="59"/>
      <c r="V620" s="59"/>
      <c r="W620" s="59"/>
      <c r="X620" s="59"/>
      <c r="Y620" s="59"/>
      <c r="Z620" s="59"/>
      <c r="AA620" s="59"/>
      <c r="AB620" s="59"/>
    </row>
    <row r="621">
      <c r="A621" s="59"/>
      <c r="B621" s="59"/>
      <c r="C621" s="70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88"/>
      <c r="P621" s="90"/>
      <c r="Q621" s="88"/>
      <c r="R621" s="88"/>
      <c r="S621" s="88"/>
      <c r="T621" s="59"/>
      <c r="U621" s="59"/>
      <c r="V621" s="59"/>
      <c r="W621" s="59"/>
      <c r="X621" s="59"/>
      <c r="Y621" s="59"/>
      <c r="Z621" s="59"/>
      <c r="AA621" s="59"/>
      <c r="AB621" s="59"/>
    </row>
    <row r="622">
      <c r="A622" s="59"/>
      <c r="B622" s="59"/>
      <c r="C622" s="70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88"/>
      <c r="P622" s="90"/>
      <c r="Q622" s="88"/>
      <c r="R622" s="88"/>
      <c r="S622" s="88"/>
      <c r="T622" s="59"/>
      <c r="U622" s="59"/>
      <c r="V622" s="59"/>
      <c r="W622" s="59"/>
      <c r="X622" s="59"/>
      <c r="Y622" s="59"/>
      <c r="Z622" s="59"/>
      <c r="AA622" s="59"/>
      <c r="AB622" s="59"/>
    </row>
    <row r="623">
      <c r="A623" s="59"/>
      <c r="B623" s="59"/>
      <c r="C623" s="70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88"/>
      <c r="P623" s="90"/>
      <c r="Q623" s="88"/>
      <c r="R623" s="88"/>
      <c r="S623" s="88"/>
      <c r="T623" s="59"/>
      <c r="U623" s="59"/>
      <c r="V623" s="59"/>
      <c r="W623" s="59"/>
      <c r="X623" s="59"/>
      <c r="Y623" s="59"/>
      <c r="Z623" s="59"/>
      <c r="AA623" s="59"/>
      <c r="AB623" s="59"/>
    </row>
    <row r="624">
      <c r="A624" s="59"/>
      <c r="B624" s="59"/>
      <c r="C624" s="70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88"/>
      <c r="P624" s="90"/>
      <c r="Q624" s="88"/>
      <c r="R624" s="88"/>
      <c r="S624" s="88"/>
      <c r="T624" s="59"/>
      <c r="U624" s="59"/>
      <c r="V624" s="59"/>
      <c r="W624" s="59"/>
      <c r="X624" s="59"/>
      <c r="Y624" s="59"/>
      <c r="Z624" s="59"/>
      <c r="AA624" s="59"/>
      <c r="AB624" s="59"/>
    </row>
    <row r="625">
      <c r="A625" s="59"/>
      <c r="B625" s="59"/>
      <c r="C625" s="70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88"/>
      <c r="P625" s="90"/>
      <c r="Q625" s="88"/>
      <c r="R625" s="88"/>
      <c r="S625" s="88"/>
      <c r="T625" s="59"/>
      <c r="U625" s="59"/>
      <c r="V625" s="59"/>
      <c r="W625" s="59"/>
      <c r="X625" s="59"/>
      <c r="Y625" s="59"/>
      <c r="Z625" s="59"/>
      <c r="AA625" s="59"/>
      <c r="AB625" s="59"/>
    </row>
    <row r="626">
      <c r="A626" s="59"/>
      <c r="B626" s="59"/>
      <c r="C626" s="70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88"/>
      <c r="P626" s="90"/>
      <c r="Q626" s="88"/>
      <c r="R626" s="88"/>
      <c r="S626" s="88"/>
      <c r="T626" s="59"/>
      <c r="U626" s="59"/>
      <c r="V626" s="59"/>
      <c r="W626" s="59"/>
      <c r="X626" s="59"/>
      <c r="Y626" s="59"/>
      <c r="Z626" s="59"/>
      <c r="AA626" s="59"/>
      <c r="AB626" s="59"/>
    </row>
    <row r="627">
      <c r="A627" s="59"/>
      <c r="B627" s="59"/>
      <c r="C627" s="70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88"/>
      <c r="P627" s="90"/>
      <c r="Q627" s="88"/>
      <c r="R627" s="88"/>
      <c r="S627" s="88"/>
      <c r="T627" s="59"/>
      <c r="U627" s="59"/>
      <c r="V627" s="59"/>
      <c r="W627" s="59"/>
      <c r="X627" s="59"/>
      <c r="Y627" s="59"/>
      <c r="Z627" s="59"/>
      <c r="AA627" s="59"/>
      <c r="AB627" s="59"/>
    </row>
    <row r="628">
      <c r="A628" s="59"/>
      <c r="B628" s="59"/>
      <c r="C628" s="70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88"/>
      <c r="P628" s="90"/>
      <c r="Q628" s="88"/>
      <c r="R628" s="88"/>
      <c r="S628" s="88"/>
      <c r="T628" s="59"/>
      <c r="U628" s="59"/>
      <c r="V628" s="59"/>
      <c r="W628" s="59"/>
      <c r="X628" s="59"/>
      <c r="Y628" s="59"/>
      <c r="Z628" s="59"/>
      <c r="AA628" s="59"/>
      <c r="AB628" s="59"/>
    </row>
    <row r="629">
      <c r="A629" s="59"/>
      <c r="B629" s="59"/>
      <c r="C629" s="70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88"/>
      <c r="P629" s="90"/>
      <c r="Q629" s="88"/>
      <c r="R629" s="88"/>
      <c r="S629" s="88"/>
      <c r="T629" s="59"/>
      <c r="U629" s="59"/>
      <c r="V629" s="59"/>
      <c r="W629" s="59"/>
      <c r="X629" s="59"/>
      <c r="Y629" s="59"/>
      <c r="Z629" s="59"/>
      <c r="AA629" s="59"/>
      <c r="AB629" s="59"/>
    </row>
    <row r="630">
      <c r="A630" s="59"/>
      <c r="B630" s="59"/>
      <c r="C630" s="70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88"/>
      <c r="P630" s="90"/>
      <c r="Q630" s="88"/>
      <c r="R630" s="88"/>
      <c r="S630" s="88"/>
      <c r="T630" s="59"/>
      <c r="U630" s="59"/>
      <c r="V630" s="59"/>
      <c r="W630" s="59"/>
      <c r="X630" s="59"/>
      <c r="Y630" s="59"/>
      <c r="Z630" s="59"/>
      <c r="AA630" s="59"/>
      <c r="AB630" s="59"/>
    </row>
    <row r="631">
      <c r="A631" s="59"/>
      <c r="B631" s="59"/>
      <c r="C631" s="70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88"/>
      <c r="P631" s="90"/>
      <c r="Q631" s="88"/>
      <c r="R631" s="88"/>
      <c r="S631" s="88"/>
      <c r="T631" s="59"/>
      <c r="U631" s="59"/>
      <c r="V631" s="59"/>
      <c r="W631" s="59"/>
      <c r="X631" s="59"/>
      <c r="Y631" s="59"/>
      <c r="Z631" s="59"/>
      <c r="AA631" s="59"/>
      <c r="AB631" s="59"/>
    </row>
    <row r="632">
      <c r="A632" s="59"/>
      <c r="B632" s="59"/>
      <c r="C632" s="70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88"/>
      <c r="P632" s="90"/>
      <c r="Q632" s="88"/>
      <c r="R632" s="88"/>
      <c r="S632" s="88"/>
      <c r="T632" s="59"/>
      <c r="U632" s="59"/>
      <c r="V632" s="59"/>
      <c r="W632" s="59"/>
      <c r="X632" s="59"/>
      <c r="Y632" s="59"/>
      <c r="Z632" s="59"/>
      <c r="AA632" s="59"/>
      <c r="AB632" s="59"/>
    </row>
    <row r="633">
      <c r="A633" s="59"/>
      <c r="B633" s="59"/>
      <c r="C633" s="70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88"/>
      <c r="P633" s="90"/>
      <c r="Q633" s="88"/>
      <c r="R633" s="88"/>
      <c r="S633" s="88"/>
      <c r="T633" s="59"/>
      <c r="U633" s="59"/>
      <c r="V633" s="59"/>
      <c r="W633" s="59"/>
      <c r="X633" s="59"/>
      <c r="Y633" s="59"/>
      <c r="Z633" s="59"/>
      <c r="AA633" s="59"/>
      <c r="AB633" s="59"/>
    </row>
    <row r="634">
      <c r="A634" s="59"/>
      <c r="B634" s="59"/>
      <c r="C634" s="70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88"/>
      <c r="P634" s="90"/>
      <c r="Q634" s="88"/>
      <c r="R634" s="88"/>
      <c r="S634" s="88"/>
      <c r="T634" s="59"/>
      <c r="U634" s="59"/>
      <c r="V634" s="59"/>
      <c r="W634" s="59"/>
      <c r="X634" s="59"/>
      <c r="Y634" s="59"/>
      <c r="Z634" s="59"/>
      <c r="AA634" s="59"/>
      <c r="AB634" s="59"/>
    </row>
    <row r="635">
      <c r="A635" s="59"/>
      <c r="B635" s="59"/>
      <c r="C635" s="70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88"/>
      <c r="P635" s="90"/>
      <c r="Q635" s="88"/>
      <c r="R635" s="88"/>
      <c r="S635" s="88"/>
      <c r="T635" s="59"/>
      <c r="U635" s="59"/>
      <c r="V635" s="59"/>
      <c r="W635" s="59"/>
      <c r="X635" s="59"/>
      <c r="Y635" s="59"/>
      <c r="Z635" s="59"/>
      <c r="AA635" s="59"/>
      <c r="AB635" s="59"/>
    </row>
    <row r="636">
      <c r="A636" s="59"/>
      <c r="B636" s="59"/>
      <c r="C636" s="70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88"/>
      <c r="P636" s="90"/>
      <c r="Q636" s="88"/>
      <c r="R636" s="88"/>
      <c r="S636" s="88"/>
      <c r="T636" s="59"/>
      <c r="U636" s="59"/>
      <c r="V636" s="59"/>
      <c r="W636" s="59"/>
      <c r="X636" s="59"/>
      <c r="Y636" s="59"/>
      <c r="Z636" s="59"/>
      <c r="AA636" s="59"/>
      <c r="AB636" s="59"/>
    </row>
    <row r="637">
      <c r="A637" s="59"/>
      <c r="B637" s="59"/>
      <c r="C637" s="70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88"/>
      <c r="P637" s="90"/>
      <c r="Q637" s="88"/>
      <c r="R637" s="88"/>
      <c r="S637" s="88"/>
      <c r="T637" s="59"/>
      <c r="U637" s="59"/>
      <c r="V637" s="59"/>
      <c r="W637" s="59"/>
      <c r="X637" s="59"/>
      <c r="Y637" s="59"/>
      <c r="Z637" s="59"/>
      <c r="AA637" s="59"/>
      <c r="AB637" s="59"/>
    </row>
    <row r="638">
      <c r="A638" s="59"/>
      <c r="B638" s="59"/>
      <c r="C638" s="70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88"/>
      <c r="P638" s="90"/>
      <c r="Q638" s="88"/>
      <c r="R638" s="88"/>
      <c r="S638" s="88"/>
      <c r="T638" s="59"/>
      <c r="U638" s="59"/>
      <c r="V638" s="59"/>
      <c r="W638" s="59"/>
      <c r="X638" s="59"/>
      <c r="Y638" s="59"/>
      <c r="Z638" s="59"/>
      <c r="AA638" s="59"/>
      <c r="AB638" s="59"/>
    </row>
    <row r="639">
      <c r="A639" s="59"/>
      <c r="B639" s="59"/>
      <c r="C639" s="70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88"/>
      <c r="P639" s="90"/>
      <c r="Q639" s="88"/>
      <c r="R639" s="88"/>
      <c r="S639" s="88"/>
      <c r="T639" s="59"/>
      <c r="U639" s="59"/>
      <c r="V639" s="59"/>
      <c r="W639" s="59"/>
      <c r="X639" s="59"/>
      <c r="Y639" s="59"/>
      <c r="Z639" s="59"/>
      <c r="AA639" s="59"/>
      <c r="AB639" s="59"/>
    </row>
    <row r="640">
      <c r="A640" s="59"/>
      <c r="B640" s="59"/>
      <c r="C640" s="70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88"/>
      <c r="P640" s="90"/>
      <c r="Q640" s="88"/>
      <c r="R640" s="88"/>
      <c r="S640" s="88"/>
      <c r="T640" s="59"/>
      <c r="U640" s="59"/>
      <c r="V640" s="59"/>
      <c r="W640" s="59"/>
      <c r="X640" s="59"/>
      <c r="Y640" s="59"/>
      <c r="Z640" s="59"/>
      <c r="AA640" s="59"/>
      <c r="AB640" s="59"/>
    </row>
    <row r="641">
      <c r="A641" s="59"/>
      <c r="B641" s="59"/>
      <c r="C641" s="70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88"/>
      <c r="P641" s="90"/>
      <c r="Q641" s="88"/>
      <c r="R641" s="88"/>
      <c r="S641" s="88"/>
      <c r="T641" s="59"/>
      <c r="U641" s="59"/>
      <c r="V641" s="59"/>
      <c r="W641" s="59"/>
      <c r="X641" s="59"/>
      <c r="Y641" s="59"/>
      <c r="Z641" s="59"/>
      <c r="AA641" s="59"/>
      <c r="AB641" s="59"/>
    </row>
    <row r="642">
      <c r="A642" s="59"/>
      <c r="B642" s="59"/>
      <c r="C642" s="70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88"/>
      <c r="P642" s="90"/>
      <c r="Q642" s="88"/>
      <c r="R642" s="88"/>
      <c r="S642" s="88"/>
      <c r="T642" s="59"/>
      <c r="U642" s="59"/>
      <c r="V642" s="59"/>
      <c r="W642" s="59"/>
      <c r="X642" s="59"/>
      <c r="Y642" s="59"/>
      <c r="Z642" s="59"/>
      <c r="AA642" s="59"/>
      <c r="AB642" s="59"/>
    </row>
    <row r="643">
      <c r="A643" s="59"/>
      <c r="B643" s="59"/>
      <c r="C643" s="70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88"/>
      <c r="P643" s="90"/>
      <c r="Q643" s="88"/>
      <c r="R643" s="88"/>
      <c r="S643" s="88"/>
      <c r="T643" s="59"/>
      <c r="U643" s="59"/>
      <c r="V643" s="59"/>
      <c r="W643" s="59"/>
      <c r="X643" s="59"/>
      <c r="Y643" s="59"/>
      <c r="Z643" s="59"/>
      <c r="AA643" s="59"/>
      <c r="AB643" s="59"/>
    </row>
    <row r="644">
      <c r="A644" s="59"/>
      <c r="B644" s="59"/>
      <c r="C644" s="70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88"/>
      <c r="P644" s="90"/>
      <c r="Q644" s="88"/>
      <c r="R644" s="88"/>
      <c r="S644" s="88"/>
      <c r="T644" s="59"/>
      <c r="U644" s="59"/>
      <c r="V644" s="59"/>
      <c r="W644" s="59"/>
      <c r="X644" s="59"/>
      <c r="Y644" s="59"/>
      <c r="Z644" s="59"/>
      <c r="AA644" s="59"/>
      <c r="AB644" s="59"/>
    </row>
    <row r="645">
      <c r="A645" s="59"/>
      <c r="B645" s="59"/>
      <c r="C645" s="70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88"/>
      <c r="P645" s="90"/>
      <c r="Q645" s="88"/>
      <c r="R645" s="88"/>
      <c r="S645" s="88"/>
      <c r="T645" s="59"/>
      <c r="U645" s="59"/>
      <c r="V645" s="59"/>
      <c r="W645" s="59"/>
      <c r="X645" s="59"/>
      <c r="Y645" s="59"/>
      <c r="Z645" s="59"/>
      <c r="AA645" s="59"/>
      <c r="AB645" s="59"/>
    </row>
    <row r="646">
      <c r="A646" s="59"/>
      <c r="B646" s="59"/>
      <c r="C646" s="70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88"/>
      <c r="P646" s="90"/>
      <c r="Q646" s="88"/>
      <c r="R646" s="88"/>
      <c r="S646" s="88"/>
      <c r="T646" s="59"/>
      <c r="U646" s="59"/>
      <c r="V646" s="59"/>
      <c r="W646" s="59"/>
      <c r="X646" s="59"/>
      <c r="Y646" s="59"/>
      <c r="Z646" s="59"/>
      <c r="AA646" s="59"/>
      <c r="AB646" s="59"/>
    </row>
    <row r="647">
      <c r="A647" s="59"/>
      <c r="B647" s="59"/>
      <c r="C647" s="70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88"/>
      <c r="P647" s="90"/>
      <c r="Q647" s="88"/>
      <c r="R647" s="88"/>
      <c r="S647" s="88"/>
      <c r="T647" s="59"/>
      <c r="U647" s="59"/>
      <c r="V647" s="59"/>
      <c r="W647" s="59"/>
      <c r="X647" s="59"/>
      <c r="Y647" s="59"/>
      <c r="Z647" s="59"/>
      <c r="AA647" s="59"/>
      <c r="AB647" s="59"/>
    </row>
    <row r="648">
      <c r="A648" s="59"/>
      <c r="B648" s="59"/>
      <c r="C648" s="70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88"/>
      <c r="P648" s="90"/>
      <c r="Q648" s="88"/>
      <c r="R648" s="88"/>
      <c r="S648" s="88"/>
      <c r="T648" s="59"/>
      <c r="U648" s="59"/>
      <c r="V648" s="59"/>
      <c r="W648" s="59"/>
      <c r="X648" s="59"/>
      <c r="Y648" s="59"/>
      <c r="Z648" s="59"/>
      <c r="AA648" s="59"/>
      <c r="AB648" s="59"/>
    </row>
    <row r="649">
      <c r="A649" s="59"/>
      <c r="B649" s="59"/>
      <c r="C649" s="70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88"/>
      <c r="P649" s="90"/>
      <c r="Q649" s="88"/>
      <c r="R649" s="88"/>
      <c r="S649" s="88"/>
      <c r="T649" s="59"/>
      <c r="U649" s="59"/>
      <c r="V649" s="59"/>
      <c r="W649" s="59"/>
      <c r="X649" s="59"/>
      <c r="Y649" s="59"/>
      <c r="Z649" s="59"/>
      <c r="AA649" s="59"/>
      <c r="AB649" s="59"/>
    </row>
    <row r="650">
      <c r="A650" s="59"/>
      <c r="B650" s="59"/>
      <c r="C650" s="70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88"/>
      <c r="P650" s="90"/>
      <c r="Q650" s="88"/>
      <c r="R650" s="88"/>
      <c r="S650" s="88"/>
      <c r="T650" s="59"/>
      <c r="U650" s="59"/>
      <c r="V650" s="59"/>
      <c r="W650" s="59"/>
      <c r="X650" s="59"/>
      <c r="Y650" s="59"/>
      <c r="Z650" s="59"/>
      <c r="AA650" s="59"/>
      <c r="AB650" s="59"/>
    </row>
    <row r="651">
      <c r="A651" s="59"/>
      <c r="B651" s="59"/>
      <c r="C651" s="70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88"/>
      <c r="P651" s="90"/>
      <c r="Q651" s="88"/>
      <c r="R651" s="88"/>
      <c r="S651" s="88"/>
      <c r="T651" s="59"/>
      <c r="U651" s="59"/>
      <c r="V651" s="59"/>
      <c r="W651" s="59"/>
      <c r="X651" s="59"/>
      <c r="Y651" s="59"/>
      <c r="Z651" s="59"/>
      <c r="AA651" s="59"/>
      <c r="AB651" s="59"/>
    </row>
    <row r="652">
      <c r="A652" s="59"/>
      <c r="B652" s="59"/>
      <c r="C652" s="70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88"/>
      <c r="P652" s="90"/>
      <c r="Q652" s="88"/>
      <c r="R652" s="88"/>
      <c r="S652" s="88"/>
      <c r="T652" s="59"/>
      <c r="U652" s="59"/>
      <c r="V652" s="59"/>
      <c r="W652" s="59"/>
      <c r="X652" s="59"/>
      <c r="Y652" s="59"/>
      <c r="Z652" s="59"/>
      <c r="AA652" s="59"/>
      <c r="AB652" s="59"/>
    </row>
    <row r="653">
      <c r="A653" s="59"/>
      <c r="B653" s="59"/>
      <c r="C653" s="70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88"/>
      <c r="P653" s="90"/>
      <c r="Q653" s="88"/>
      <c r="R653" s="88"/>
      <c r="S653" s="88"/>
      <c r="T653" s="59"/>
      <c r="U653" s="59"/>
      <c r="V653" s="59"/>
      <c r="W653" s="59"/>
      <c r="X653" s="59"/>
      <c r="Y653" s="59"/>
      <c r="Z653" s="59"/>
      <c r="AA653" s="59"/>
      <c r="AB653" s="59"/>
    </row>
    <row r="654">
      <c r="A654" s="59"/>
      <c r="B654" s="59"/>
      <c r="C654" s="70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88"/>
      <c r="P654" s="90"/>
      <c r="Q654" s="88"/>
      <c r="R654" s="88"/>
      <c r="S654" s="88"/>
      <c r="T654" s="59"/>
      <c r="U654" s="59"/>
      <c r="V654" s="59"/>
      <c r="W654" s="59"/>
      <c r="X654" s="59"/>
      <c r="Y654" s="59"/>
      <c r="Z654" s="59"/>
      <c r="AA654" s="59"/>
      <c r="AB654" s="59"/>
    </row>
    <row r="655">
      <c r="A655" s="59"/>
      <c r="B655" s="59"/>
      <c r="C655" s="70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88"/>
      <c r="P655" s="90"/>
      <c r="Q655" s="88"/>
      <c r="R655" s="88"/>
      <c r="S655" s="88"/>
      <c r="T655" s="59"/>
      <c r="U655" s="59"/>
      <c r="V655" s="59"/>
      <c r="W655" s="59"/>
      <c r="X655" s="59"/>
      <c r="Y655" s="59"/>
      <c r="Z655" s="59"/>
      <c r="AA655" s="59"/>
      <c r="AB655" s="59"/>
    </row>
    <row r="656">
      <c r="A656" s="59"/>
      <c r="B656" s="59"/>
      <c r="C656" s="70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88"/>
      <c r="P656" s="90"/>
      <c r="Q656" s="88"/>
      <c r="R656" s="88"/>
      <c r="S656" s="88"/>
      <c r="T656" s="59"/>
      <c r="U656" s="59"/>
      <c r="V656" s="59"/>
      <c r="W656" s="59"/>
      <c r="X656" s="59"/>
      <c r="Y656" s="59"/>
      <c r="Z656" s="59"/>
      <c r="AA656" s="59"/>
      <c r="AB656" s="59"/>
    </row>
    <row r="657">
      <c r="A657" s="59"/>
      <c r="B657" s="59"/>
      <c r="C657" s="70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88"/>
      <c r="P657" s="90"/>
      <c r="Q657" s="88"/>
      <c r="R657" s="88"/>
      <c r="S657" s="88"/>
      <c r="T657" s="59"/>
      <c r="U657" s="59"/>
      <c r="V657" s="59"/>
      <c r="W657" s="59"/>
      <c r="X657" s="59"/>
      <c r="Y657" s="59"/>
      <c r="Z657" s="59"/>
      <c r="AA657" s="59"/>
      <c r="AB657" s="59"/>
    </row>
    <row r="658">
      <c r="A658" s="59"/>
      <c r="B658" s="59"/>
      <c r="C658" s="70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88"/>
      <c r="P658" s="90"/>
      <c r="Q658" s="88"/>
      <c r="R658" s="88"/>
      <c r="S658" s="88"/>
      <c r="T658" s="59"/>
      <c r="U658" s="59"/>
      <c r="V658" s="59"/>
      <c r="W658" s="59"/>
      <c r="X658" s="59"/>
      <c r="Y658" s="59"/>
      <c r="Z658" s="59"/>
      <c r="AA658" s="59"/>
      <c r="AB658" s="59"/>
    </row>
    <row r="659">
      <c r="A659" s="59"/>
      <c r="B659" s="59"/>
      <c r="C659" s="70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88"/>
      <c r="P659" s="90"/>
      <c r="Q659" s="88"/>
      <c r="R659" s="88"/>
      <c r="S659" s="88"/>
      <c r="T659" s="59"/>
      <c r="U659" s="59"/>
      <c r="V659" s="59"/>
      <c r="W659" s="59"/>
      <c r="X659" s="59"/>
      <c r="Y659" s="59"/>
      <c r="Z659" s="59"/>
      <c r="AA659" s="59"/>
      <c r="AB659" s="59"/>
    </row>
    <row r="660">
      <c r="A660" s="59"/>
      <c r="B660" s="59"/>
      <c r="C660" s="70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88"/>
      <c r="P660" s="90"/>
      <c r="Q660" s="88"/>
      <c r="R660" s="88"/>
      <c r="S660" s="88"/>
      <c r="T660" s="59"/>
      <c r="U660" s="59"/>
      <c r="V660" s="59"/>
      <c r="W660" s="59"/>
      <c r="X660" s="59"/>
      <c r="Y660" s="59"/>
      <c r="Z660" s="59"/>
      <c r="AA660" s="59"/>
      <c r="AB660" s="59"/>
    </row>
    <row r="661">
      <c r="A661" s="59"/>
      <c r="B661" s="59"/>
      <c r="C661" s="70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88"/>
      <c r="P661" s="90"/>
      <c r="Q661" s="88"/>
      <c r="R661" s="88"/>
      <c r="S661" s="88"/>
      <c r="T661" s="59"/>
      <c r="U661" s="59"/>
      <c r="V661" s="59"/>
      <c r="W661" s="59"/>
      <c r="X661" s="59"/>
      <c r="Y661" s="59"/>
      <c r="Z661" s="59"/>
      <c r="AA661" s="59"/>
      <c r="AB661" s="59"/>
    </row>
    <row r="662">
      <c r="A662" s="59"/>
      <c r="B662" s="59"/>
      <c r="C662" s="70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88"/>
      <c r="P662" s="90"/>
      <c r="Q662" s="88"/>
      <c r="R662" s="88"/>
      <c r="S662" s="88"/>
      <c r="T662" s="59"/>
      <c r="U662" s="59"/>
      <c r="V662" s="59"/>
      <c r="W662" s="59"/>
      <c r="X662" s="59"/>
      <c r="Y662" s="59"/>
      <c r="Z662" s="59"/>
      <c r="AA662" s="59"/>
      <c r="AB662" s="59"/>
    </row>
    <row r="663">
      <c r="A663" s="59"/>
      <c r="B663" s="59"/>
      <c r="C663" s="70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88"/>
      <c r="P663" s="90"/>
      <c r="Q663" s="88"/>
      <c r="R663" s="88"/>
      <c r="S663" s="88"/>
      <c r="T663" s="59"/>
      <c r="U663" s="59"/>
      <c r="V663" s="59"/>
      <c r="W663" s="59"/>
      <c r="X663" s="59"/>
      <c r="Y663" s="59"/>
      <c r="Z663" s="59"/>
      <c r="AA663" s="59"/>
      <c r="AB663" s="59"/>
    </row>
    <row r="664">
      <c r="A664" s="59"/>
      <c r="B664" s="59"/>
      <c r="C664" s="70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88"/>
      <c r="P664" s="90"/>
      <c r="Q664" s="88"/>
      <c r="R664" s="88"/>
      <c r="S664" s="88"/>
      <c r="T664" s="59"/>
      <c r="U664" s="59"/>
      <c r="V664" s="59"/>
      <c r="W664" s="59"/>
      <c r="X664" s="59"/>
      <c r="Y664" s="59"/>
      <c r="Z664" s="59"/>
      <c r="AA664" s="59"/>
      <c r="AB664" s="59"/>
    </row>
    <row r="665">
      <c r="A665" s="59"/>
      <c r="B665" s="59"/>
      <c r="C665" s="70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88"/>
      <c r="P665" s="90"/>
      <c r="Q665" s="88"/>
      <c r="R665" s="88"/>
      <c r="S665" s="88"/>
      <c r="T665" s="59"/>
      <c r="U665" s="59"/>
      <c r="V665" s="59"/>
      <c r="W665" s="59"/>
      <c r="X665" s="59"/>
      <c r="Y665" s="59"/>
      <c r="Z665" s="59"/>
      <c r="AA665" s="59"/>
      <c r="AB665" s="59"/>
    </row>
    <row r="666">
      <c r="A666" s="59"/>
      <c r="B666" s="59"/>
      <c r="C666" s="70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88"/>
      <c r="P666" s="90"/>
      <c r="Q666" s="88"/>
      <c r="R666" s="88"/>
      <c r="S666" s="88"/>
      <c r="T666" s="59"/>
      <c r="U666" s="59"/>
      <c r="V666" s="59"/>
      <c r="W666" s="59"/>
      <c r="X666" s="59"/>
      <c r="Y666" s="59"/>
      <c r="Z666" s="59"/>
      <c r="AA666" s="59"/>
      <c r="AB666" s="59"/>
    </row>
    <row r="667">
      <c r="A667" s="59"/>
      <c r="B667" s="59"/>
      <c r="C667" s="70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88"/>
      <c r="P667" s="90"/>
      <c r="Q667" s="88"/>
      <c r="R667" s="88"/>
      <c r="S667" s="88"/>
      <c r="T667" s="59"/>
      <c r="U667" s="59"/>
      <c r="V667" s="59"/>
      <c r="W667" s="59"/>
      <c r="X667" s="59"/>
      <c r="Y667" s="59"/>
      <c r="Z667" s="59"/>
      <c r="AA667" s="59"/>
      <c r="AB667" s="59"/>
    </row>
    <row r="668">
      <c r="A668" s="59"/>
      <c r="B668" s="59"/>
      <c r="C668" s="70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88"/>
      <c r="P668" s="90"/>
      <c r="Q668" s="88"/>
      <c r="R668" s="88"/>
      <c r="S668" s="88"/>
      <c r="T668" s="59"/>
      <c r="U668" s="59"/>
      <c r="V668" s="59"/>
      <c r="W668" s="59"/>
      <c r="X668" s="59"/>
      <c r="Y668" s="59"/>
      <c r="Z668" s="59"/>
      <c r="AA668" s="59"/>
      <c r="AB668" s="59"/>
    </row>
    <row r="669">
      <c r="A669" s="59"/>
      <c r="B669" s="59"/>
      <c r="C669" s="70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88"/>
      <c r="P669" s="90"/>
      <c r="Q669" s="88"/>
      <c r="R669" s="88"/>
      <c r="S669" s="88"/>
      <c r="T669" s="59"/>
      <c r="U669" s="59"/>
      <c r="V669" s="59"/>
      <c r="W669" s="59"/>
      <c r="X669" s="59"/>
      <c r="Y669" s="59"/>
      <c r="Z669" s="59"/>
      <c r="AA669" s="59"/>
      <c r="AB669" s="59"/>
    </row>
    <row r="670">
      <c r="A670" s="59"/>
      <c r="B670" s="59"/>
      <c r="C670" s="70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88"/>
      <c r="P670" s="90"/>
      <c r="Q670" s="88"/>
      <c r="R670" s="88"/>
      <c r="S670" s="88"/>
      <c r="T670" s="59"/>
      <c r="U670" s="59"/>
      <c r="V670" s="59"/>
      <c r="W670" s="59"/>
      <c r="X670" s="59"/>
      <c r="Y670" s="59"/>
      <c r="Z670" s="59"/>
      <c r="AA670" s="59"/>
      <c r="AB670" s="59"/>
    </row>
    <row r="671">
      <c r="A671" s="59"/>
      <c r="B671" s="59"/>
      <c r="C671" s="70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88"/>
      <c r="P671" s="90"/>
      <c r="Q671" s="88"/>
      <c r="R671" s="88"/>
      <c r="S671" s="88"/>
      <c r="T671" s="59"/>
      <c r="U671" s="59"/>
      <c r="V671" s="59"/>
      <c r="W671" s="59"/>
      <c r="X671" s="59"/>
      <c r="Y671" s="59"/>
      <c r="Z671" s="59"/>
      <c r="AA671" s="59"/>
      <c r="AB671" s="59"/>
    </row>
    <row r="672">
      <c r="A672" s="59"/>
      <c r="B672" s="59"/>
      <c r="C672" s="70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88"/>
      <c r="P672" s="90"/>
      <c r="Q672" s="88"/>
      <c r="R672" s="88"/>
      <c r="S672" s="88"/>
      <c r="T672" s="59"/>
      <c r="U672" s="59"/>
      <c r="V672" s="59"/>
      <c r="W672" s="59"/>
      <c r="X672" s="59"/>
      <c r="Y672" s="59"/>
      <c r="Z672" s="59"/>
      <c r="AA672" s="59"/>
      <c r="AB672" s="59"/>
    </row>
    <row r="673">
      <c r="A673" s="59"/>
      <c r="B673" s="59"/>
      <c r="C673" s="70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88"/>
      <c r="P673" s="90"/>
      <c r="Q673" s="88"/>
      <c r="R673" s="88"/>
      <c r="S673" s="88"/>
      <c r="T673" s="59"/>
      <c r="U673" s="59"/>
      <c r="V673" s="59"/>
      <c r="W673" s="59"/>
      <c r="X673" s="59"/>
      <c r="Y673" s="59"/>
      <c r="Z673" s="59"/>
      <c r="AA673" s="59"/>
      <c r="AB673" s="59"/>
    </row>
    <row r="674">
      <c r="A674" s="59"/>
      <c r="B674" s="59"/>
      <c r="C674" s="70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88"/>
      <c r="P674" s="90"/>
      <c r="Q674" s="88"/>
      <c r="R674" s="88"/>
      <c r="S674" s="88"/>
      <c r="T674" s="59"/>
      <c r="U674" s="59"/>
      <c r="V674" s="59"/>
      <c r="W674" s="59"/>
      <c r="X674" s="59"/>
      <c r="Y674" s="59"/>
      <c r="Z674" s="59"/>
      <c r="AA674" s="59"/>
      <c r="AB674" s="59"/>
    </row>
    <row r="675">
      <c r="A675" s="59"/>
      <c r="B675" s="59"/>
      <c r="C675" s="70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88"/>
      <c r="P675" s="90"/>
      <c r="Q675" s="88"/>
      <c r="R675" s="88"/>
      <c r="S675" s="88"/>
      <c r="T675" s="59"/>
      <c r="U675" s="59"/>
      <c r="V675" s="59"/>
      <c r="W675" s="59"/>
      <c r="X675" s="59"/>
      <c r="Y675" s="59"/>
      <c r="Z675" s="59"/>
      <c r="AA675" s="59"/>
      <c r="AB675" s="59"/>
    </row>
    <row r="676">
      <c r="A676" s="59"/>
      <c r="B676" s="59"/>
      <c r="C676" s="70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88"/>
      <c r="P676" s="90"/>
      <c r="Q676" s="88"/>
      <c r="R676" s="88"/>
      <c r="S676" s="88"/>
      <c r="T676" s="59"/>
      <c r="U676" s="59"/>
      <c r="V676" s="59"/>
      <c r="W676" s="59"/>
      <c r="X676" s="59"/>
      <c r="Y676" s="59"/>
      <c r="Z676" s="59"/>
      <c r="AA676" s="59"/>
      <c r="AB676" s="59"/>
    </row>
    <row r="677">
      <c r="A677" s="59"/>
      <c r="B677" s="59"/>
      <c r="C677" s="70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88"/>
      <c r="P677" s="90"/>
      <c r="Q677" s="88"/>
      <c r="R677" s="88"/>
      <c r="S677" s="88"/>
      <c r="T677" s="59"/>
      <c r="U677" s="59"/>
      <c r="V677" s="59"/>
      <c r="W677" s="59"/>
      <c r="X677" s="59"/>
      <c r="Y677" s="59"/>
      <c r="Z677" s="59"/>
      <c r="AA677" s="59"/>
      <c r="AB677" s="59"/>
    </row>
    <row r="678">
      <c r="A678" s="59"/>
      <c r="B678" s="59"/>
      <c r="C678" s="70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88"/>
      <c r="P678" s="90"/>
      <c r="Q678" s="88"/>
      <c r="R678" s="88"/>
      <c r="S678" s="88"/>
      <c r="T678" s="59"/>
      <c r="U678" s="59"/>
      <c r="V678" s="59"/>
      <c r="W678" s="59"/>
      <c r="X678" s="59"/>
      <c r="Y678" s="59"/>
      <c r="Z678" s="59"/>
      <c r="AA678" s="59"/>
      <c r="AB678" s="59"/>
    </row>
    <row r="679">
      <c r="A679" s="59"/>
      <c r="B679" s="59"/>
      <c r="C679" s="70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88"/>
      <c r="P679" s="90"/>
      <c r="Q679" s="88"/>
      <c r="R679" s="88"/>
      <c r="S679" s="88"/>
      <c r="T679" s="59"/>
      <c r="U679" s="59"/>
      <c r="V679" s="59"/>
      <c r="W679" s="59"/>
      <c r="X679" s="59"/>
      <c r="Y679" s="59"/>
      <c r="Z679" s="59"/>
      <c r="AA679" s="59"/>
      <c r="AB679" s="59"/>
    </row>
    <row r="680">
      <c r="A680" s="59"/>
      <c r="B680" s="59"/>
      <c r="C680" s="70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88"/>
      <c r="P680" s="90"/>
      <c r="Q680" s="88"/>
      <c r="R680" s="88"/>
      <c r="S680" s="88"/>
      <c r="T680" s="59"/>
      <c r="U680" s="59"/>
      <c r="V680" s="59"/>
      <c r="W680" s="59"/>
      <c r="X680" s="59"/>
      <c r="Y680" s="59"/>
      <c r="Z680" s="59"/>
      <c r="AA680" s="59"/>
      <c r="AB680" s="59"/>
    </row>
    <row r="681">
      <c r="A681" s="59"/>
      <c r="B681" s="59"/>
      <c r="C681" s="70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88"/>
      <c r="P681" s="90"/>
      <c r="Q681" s="88"/>
      <c r="R681" s="88"/>
      <c r="S681" s="88"/>
      <c r="T681" s="59"/>
      <c r="U681" s="59"/>
      <c r="V681" s="59"/>
      <c r="W681" s="59"/>
      <c r="X681" s="59"/>
      <c r="Y681" s="59"/>
      <c r="Z681" s="59"/>
      <c r="AA681" s="59"/>
      <c r="AB681" s="59"/>
    </row>
    <row r="682">
      <c r="A682" s="59"/>
      <c r="B682" s="59"/>
      <c r="C682" s="70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88"/>
      <c r="P682" s="90"/>
      <c r="Q682" s="88"/>
      <c r="R682" s="88"/>
      <c r="S682" s="88"/>
      <c r="T682" s="59"/>
      <c r="U682" s="59"/>
      <c r="V682" s="59"/>
      <c r="W682" s="59"/>
      <c r="X682" s="59"/>
      <c r="Y682" s="59"/>
      <c r="Z682" s="59"/>
      <c r="AA682" s="59"/>
      <c r="AB682" s="59"/>
    </row>
    <row r="683">
      <c r="A683" s="59"/>
      <c r="B683" s="59"/>
      <c r="C683" s="70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88"/>
      <c r="P683" s="90"/>
      <c r="Q683" s="88"/>
      <c r="R683" s="88"/>
      <c r="S683" s="88"/>
      <c r="T683" s="59"/>
      <c r="U683" s="59"/>
      <c r="V683" s="59"/>
      <c r="W683" s="59"/>
      <c r="X683" s="59"/>
      <c r="Y683" s="59"/>
      <c r="Z683" s="59"/>
      <c r="AA683" s="59"/>
      <c r="AB683" s="59"/>
    </row>
    <row r="684">
      <c r="A684" s="59"/>
      <c r="B684" s="59"/>
      <c r="C684" s="70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88"/>
      <c r="P684" s="90"/>
      <c r="Q684" s="88"/>
      <c r="R684" s="88"/>
      <c r="S684" s="88"/>
      <c r="T684" s="59"/>
      <c r="U684" s="59"/>
      <c r="V684" s="59"/>
      <c r="W684" s="59"/>
      <c r="X684" s="59"/>
      <c r="Y684" s="59"/>
      <c r="Z684" s="59"/>
      <c r="AA684" s="59"/>
      <c r="AB684" s="59"/>
    </row>
    <row r="685">
      <c r="A685" s="59"/>
      <c r="B685" s="59"/>
      <c r="C685" s="70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88"/>
      <c r="P685" s="90"/>
      <c r="Q685" s="88"/>
      <c r="R685" s="88"/>
      <c r="S685" s="88"/>
      <c r="T685" s="59"/>
      <c r="U685" s="59"/>
      <c r="V685" s="59"/>
      <c r="W685" s="59"/>
      <c r="X685" s="59"/>
      <c r="Y685" s="59"/>
      <c r="Z685" s="59"/>
      <c r="AA685" s="59"/>
      <c r="AB685" s="59"/>
    </row>
    <row r="686">
      <c r="A686" s="59"/>
      <c r="B686" s="59"/>
      <c r="C686" s="70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88"/>
      <c r="P686" s="90"/>
      <c r="Q686" s="88"/>
      <c r="R686" s="88"/>
      <c r="S686" s="88"/>
      <c r="T686" s="59"/>
      <c r="U686" s="59"/>
      <c r="V686" s="59"/>
      <c r="W686" s="59"/>
      <c r="X686" s="59"/>
      <c r="Y686" s="59"/>
      <c r="Z686" s="59"/>
      <c r="AA686" s="59"/>
      <c r="AB686" s="59"/>
    </row>
    <row r="687">
      <c r="A687" s="59"/>
      <c r="B687" s="59"/>
      <c r="C687" s="7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88"/>
      <c r="P687" s="90"/>
      <c r="Q687" s="88"/>
      <c r="R687" s="88"/>
      <c r="S687" s="88"/>
      <c r="T687" s="59"/>
      <c r="U687" s="59"/>
      <c r="V687" s="59"/>
      <c r="W687" s="59"/>
      <c r="X687" s="59"/>
      <c r="Y687" s="59"/>
      <c r="Z687" s="59"/>
      <c r="AA687" s="59"/>
      <c r="AB687" s="59"/>
    </row>
    <row r="688">
      <c r="A688" s="59"/>
      <c r="B688" s="59"/>
      <c r="C688" s="7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88"/>
      <c r="P688" s="90"/>
      <c r="Q688" s="88"/>
      <c r="R688" s="88"/>
      <c r="S688" s="88"/>
      <c r="T688" s="59"/>
      <c r="U688" s="59"/>
      <c r="V688" s="59"/>
      <c r="W688" s="59"/>
      <c r="X688" s="59"/>
      <c r="Y688" s="59"/>
      <c r="Z688" s="59"/>
      <c r="AA688" s="59"/>
      <c r="AB688" s="59"/>
    </row>
    <row r="689">
      <c r="A689" s="59"/>
      <c r="B689" s="59"/>
      <c r="C689" s="7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88"/>
      <c r="P689" s="90"/>
      <c r="Q689" s="88"/>
      <c r="R689" s="88"/>
      <c r="S689" s="88"/>
      <c r="T689" s="59"/>
      <c r="U689" s="59"/>
      <c r="V689" s="59"/>
      <c r="W689" s="59"/>
      <c r="X689" s="59"/>
      <c r="Y689" s="59"/>
      <c r="Z689" s="59"/>
      <c r="AA689" s="59"/>
      <c r="AB689" s="59"/>
    </row>
    <row r="690">
      <c r="A690" s="59"/>
      <c r="B690" s="59"/>
      <c r="C690" s="7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88"/>
      <c r="P690" s="90"/>
      <c r="Q690" s="88"/>
      <c r="R690" s="88"/>
      <c r="S690" s="88"/>
      <c r="T690" s="59"/>
      <c r="U690" s="59"/>
      <c r="V690" s="59"/>
      <c r="W690" s="59"/>
      <c r="X690" s="59"/>
      <c r="Y690" s="59"/>
      <c r="Z690" s="59"/>
      <c r="AA690" s="59"/>
      <c r="AB690" s="59"/>
    </row>
    <row r="691">
      <c r="A691" s="59"/>
      <c r="B691" s="59"/>
      <c r="C691" s="7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88"/>
      <c r="P691" s="90"/>
      <c r="Q691" s="88"/>
      <c r="R691" s="88"/>
      <c r="S691" s="88"/>
      <c r="T691" s="59"/>
      <c r="U691" s="59"/>
      <c r="V691" s="59"/>
      <c r="W691" s="59"/>
      <c r="X691" s="59"/>
      <c r="Y691" s="59"/>
      <c r="Z691" s="59"/>
      <c r="AA691" s="59"/>
      <c r="AB691" s="59"/>
    </row>
    <row r="692">
      <c r="A692" s="59"/>
      <c r="B692" s="59"/>
      <c r="C692" s="7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88"/>
      <c r="P692" s="90"/>
      <c r="Q692" s="88"/>
      <c r="R692" s="88"/>
      <c r="S692" s="88"/>
      <c r="T692" s="59"/>
      <c r="U692" s="59"/>
      <c r="V692" s="59"/>
      <c r="W692" s="59"/>
      <c r="X692" s="59"/>
      <c r="Y692" s="59"/>
      <c r="Z692" s="59"/>
      <c r="AA692" s="59"/>
      <c r="AB692" s="59"/>
    </row>
    <row r="693">
      <c r="A693" s="59"/>
      <c r="B693" s="59"/>
      <c r="C693" s="70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88"/>
      <c r="P693" s="90"/>
      <c r="Q693" s="88"/>
      <c r="R693" s="88"/>
      <c r="S693" s="88"/>
      <c r="T693" s="59"/>
      <c r="U693" s="59"/>
      <c r="V693" s="59"/>
      <c r="W693" s="59"/>
      <c r="X693" s="59"/>
      <c r="Y693" s="59"/>
      <c r="Z693" s="59"/>
      <c r="AA693" s="59"/>
      <c r="AB693" s="59"/>
    </row>
    <row r="694">
      <c r="A694" s="59"/>
      <c r="B694" s="59"/>
      <c r="C694" s="70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88"/>
      <c r="P694" s="90"/>
      <c r="Q694" s="88"/>
      <c r="R694" s="88"/>
      <c r="S694" s="88"/>
      <c r="T694" s="59"/>
      <c r="U694" s="59"/>
      <c r="V694" s="59"/>
      <c r="W694" s="59"/>
      <c r="X694" s="59"/>
      <c r="Y694" s="59"/>
      <c r="Z694" s="59"/>
      <c r="AA694" s="59"/>
      <c r="AB694" s="59"/>
    </row>
    <row r="695">
      <c r="A695" s="59"/>
      <c r="B695" s="59"/>
      <c r="C695" s="70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88"/>
      <c r="P695" s="90"/>
      <c r="Q695" s="88"/>
      <c r="R695" s="88"/>
      <c r="S695" s="88"/>
      <c r="T695" s="59"/>
      <c r="U695" s="59"/>
      <c r="V695" s="59"/>
      <c r="W695" s="59"/>
      <c r="X695" s="59"/>
      <c r="Y695" s="59"/>
      <c r="Z695" s="59"/>
      <c r="AA695" s="59"/>
      <c r="AB695" s="59"/>
    </row>
    <row r="696">
      <c r="A696" s="59"/>
      <c r="B696" s="59"/>
      <c r="C696" s="70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88"/>
      <c r="P696" s="90"/>
      <c r="Q696" s="88"/>
      <c r="R696" s="88"/>
      <c r="S696" s="88"/>
      <c r="T696" s="59"/>
      <c r="U696" s="59"/>
      <c r="V696" s="59"/>
      <c r="W696" s="59"/>
      <c r="X696" s="59"/>
      <c r="Y696" s="59"/>
      <c r="Z696" s="59"/>
      <c r="AA696" s="59"/>
      <c r="AB696" s="59"/>
    </row>
    <row r="697">
      <c r="A697" s="59"/>
      <c r="B697" s="59"/>
      <c r="C697" s="70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88"/>
      <c r="P697" s="90"/>
      <c r="Q697" s="88"/>
      <c r="R697" s="88"/>
      <c r="S697" s="88"/>
      <c r="T697" s="59"/>
      <c r="U697" s="59"/>
      <c r="V697" s="59"/>
      <c r="W697" s="59"/>
      <c r="X697" s="59"/>
      <c r="Y697" s="59"/>
      <c r="Z697" s="59"/>
      <c r="AA697" s="59"/>
      <c r="AB697" s="59"/>
    </row>
    <row r="698">
      <c r="A698" s="59"/>
      <c r="B698" s="59"/>
      <c r="C698" s="70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88"/>
      <c r="P698" s="90"/>
      <c r="Q698" s="88"/>
      <c r="R698" s="88"/>
      <c r="S698" s="88"/>
      <c r="T698" s="59"/>
      <c r="U698" s="59"/>
      <c r="V698" s="59"/>
      <c r="W698" s="59"/>
      <c r="X698" s="59"/>
      <c r="Y698" s="59"/>
      <c r="Z698" s="59"/>
      <c r="AA698" s="59"/>
      <c r="AB698" s="59"/>
    </row>
    <row r="699">
      <c r="A699" s="59"/>
      <c r="B699" s="59"/>
      <c r="C699" s="70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88"/>
      <c r="P699" s="90"/>
      <c r="Q699" s="88"/>
      <c r="R699" s="88"/>
      <c r="S699" s="88"/>
      <c r="T699" s="59"/>
      <c r="U699" s="59"/>
      <c r="V699" s="59"/>
      <c r="W699" s="59"/>
      <c r="X699" s="59"/>
      <c r="Y699" s="59"/>
      <c r="Z699" s="59"/>
      <c r="AA699" s="59"/>
      <c r="AB699" s="59"/>
    </row>
    <row r="700">
      <c r="A700" s="59"/>
      <c r="B700" s="59"/>
      <c r="C700" s="70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88"/>
      <c r="P700" s="90"/>
      <c r="Q700" s="88"/>
      <c r="R700" s="88"/>
      <c r="S700" s="88"/>
      <c r="T700" s="59"/>
      <c r="U700" s="59"/>
      <c r="V700" s="59"/>
      <c r="W700" s="59"/>
      <c r="X700" s="59"/>
      <c r="Y700" s="59"/>
      <c r="Z700" s="59"/>
      <c r="AA700" s="59"/>
      <c r="AB700" s="59"/>
    </row>
    <row r="701">
      <c r="A701" s="59"/>
      <c r="B701" s="59"/>
      <c r="C701" s="70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88"/>
      <c r="P701" s="90"/>
      <c r="Q701" s="88"/>
      <c r="R701" s="88"/>
      <c r="S701" s="88"/>
      <c r="T701" s="59"/>
      <c r="U701" s="59"/>
      <c r="V701" s="59"/>
      <c r="W701" s="59"/>
      <c r="X701" s="59"/>
      <c r="Y701" s="59"/>
      <c r="Z701" s="59"/>
      <c r="AA701" s="59"/>
      <c r="AB701" s="59"/>
    </row>
    <row r="702">
      <c r="A702" s="59"/>
      <c r="B702" s="59"/>
      <c r="C702" s="70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88"/>
      <c r="P702" s="90"/>
      <c r="Q702" s="88"/>
      <c r="R702" s="88"/>
      <c r="S702" s="88"/>
      <c r="T702" s="59"/>
      <c r="U702" s="59"/>
      <c r="V702" s="59"/>
      <c r="W702" s="59"/>
      <c r="X702" s="59"/>
      <c r="Y702" s="59"/>
      <c r="Z702" s="59"/>
      <c r="AA702" s="59"/>
      <c r="AB702" s="59"/>
    </row>
    <row r="703">
      <c r="A703" s="59"/>
      <c r="B703" s="59"/>
      <c r="C703" s="70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88"/>
      <c r="P703" s="90"/>
      <c r="Q703" s="88"/>
      <c r="R703" s="88"/>
      <c r="S703" s="88"/>
      <c r="T703" s="59"/>
      <c r="U703" s="59"/>
      <c r="V703" s="59"/>
      <c r="W703" s="59"/>
      <c r="X703" s="59"/>
      <c r="Y703" s="59"/>
      <c r="Z703" s="59"/>
      <c r="AA703" s="59"/>
      <c r="AB703" s="59"/>
    </row>
    <row r="704">
      <c r="A704" s="59"/>
      <c r="B704" s="59"/>
      <c r="C704" s="70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88"/>
      <c r="P704" s="90"/>
      <c r="Q704" s="88"/>
      <c r="R704" s="88"/>
      <c r="S704" s="88"/>
      <c r="T704" s="59"/>
      <c r="U704" s="59"/>
      <c r="V704" s="59"/>
      <c r="W704" s="59"/>
      <c r="X704" s="59"/>
      <c r="Y704" s="59"/>
      <c r="Z704" s="59"/>
      <c r="AA704" s="59"/>
      <c r="AB704" s="59"/>
    </row>
    <row r="705">
      <c r="A705" s="59"/>
      <c r="B705" s="59"/>
      <c r="C705" s="70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88"/>
      <c r="P705" s="90"/>
      <c r="Q705" s="88"/>
      <c r="R705" s="88"/>
      <c r="S705" s="88"/>
      <c r="T705" s="59"/>
      <c r="U705" s="59"/>
      <c r="V705" s="59"/>
      <c r="W705" s="59"/>
      <c r="X705" s="59"/>
      <c r="Y705" s="59"/>
      <c r="Z705" s="59"/>
      <c r="AA705" s="59"/>
      <c r="AB705" s="59"/>
    </row>
    <row r="706">
      <c r="A706" s="59"/>
      <c r="B706" s="59"/>
      <c r="C706" s="70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88"/>
      <c r="P706" s="90"/>
      <c r="Q706" s="88"/>
      <c r="R706" s="88"/>
      <c r="S706" s="88"/>
      <c r="T706" s="59"/>
      <c r="U706" s="59"/>
      <c r="V706" s="59"/>
      <c r="W706" s="59"/>
      <c r="X706" s="59"/>
      <c r="Y706" s="59"/>
      <c r="Z706" s="59"/>
      <c r="AA706" s="59"/>
      <c r="AB706" s="59"/>
    </row>
    <row r="707">
      <c r="A707" s="59"/>
      <c r="B707" s="59"/>
      <c r="C707" s="70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88"/>
      <c r="P707" s="90"/>
      <c r="Q707" s="88"/>
      <c r="R707" s="88"/>
      <c r="S707" s="88"/>
      <c r="T707" s="59"/>
      <c r="U707" s="59"/>
      <c r="V707" s="59"/>
      <c r="W707" s="59"/>
      <c r="X707" s="59"/>
      <c r="Y707" s="59"/>
      <c r="Z707" s="59"/>
      <c r="AA707" s="59"/>
      <c r="AB707" s="59"/>
    </row>
    <row r="708">
      <c r="A708" s="59"/>
      <c r="B708" s="59"/>
      <c r="C708" s="70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88"/>
      <c r="P708" s="90"/>
      <c r="Q708" s="88"/>
      <c r="R708" s="88"/>
      <c r="S708" s="88"/>
      <c r="T708" s="59"/>
      <c r="U708" s="59"/>
      <c r="V708" s="59"/>
      <c r="W708" s="59"/>
      <c r="X708" s="59"/>
      <c r="Y708" s="59"/>
      <c r="Z708" s="59"/>
      <c r="AA708" s="59"/>
      <c r="AB708" s="59"/>
    </row>
    <row r="709">
      <c r="A709" s="59"/>
      <c r="B709" s="59"/>
      <c r="C709" s="70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88"/>
      <c r="P709" s="90"/>
      <c r="Q709" s="88"/>
      <c r="R709" s="88"/>
      <c r="S709" s="88"/>
      <c r="T709" s="59"/>
      <c r="U709" s="59"/>
      <c r="V709" s="59"/>
      <c r="W709" s="59"/>
      <c r="X709" s="59"/>
      <c r="Y709" s="59"/>
      <c r="Z709" s="59"/>
      <c r="AA709" s="59"/>
      <c r="AB709" s="59"/>
    </row>
    <row r="710">
      <c r="A710" s="59"/>
      <c r="B710" s="59"/>
      <c r="C710" s="70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88"/>
      <c r="P710" s="90"/>
      <c r="Q710" s="88"/>
      <c r="R710" s="88"/>
      <c r="S710" s="88"/>
      <c r="T710" s="59"/>
      <c r="U710" s="59"/>
      <c r="V710" s="59"/>
      <c r="W710" s="59"/>
      <c r="X710" s="59"/>
      <c r="Y710" s="59"/>
      <c r="Z710" s="59"/>
      <c r="AA710" s="59"/>
      <c r="AB710" s="59"/>
    </row>
    <row r="711">
      <c r="A711" s="59"/>
      <c r="B711" s="59"/>
      <c r="C711" s="70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88"/>
      <c r="P711" s="90"/>
      <c r="Q711" s="88"/>
      <c r="R711" s="88"/>
      <c r="S711" s="88"/>
      <c r="T711" s="59"/>
      <c r="U711" s="59"/>
      <c r="V711" s="59"/>
      <c r="W711" s="59"/>
      <c r="X711" s="59"/>
      <c r="Y711" s="59"/>
      <c r="Z711" s="59"/>
      <c r="AA711" s="59"/>
      <c r="AB711" s="59"/>
    </row>
    <row r="712">
      <c r="A712" s="59"/>
      <c r="B712" s="59"/>
      <c r="C712" s="70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88"/>
      <c r="P712" s="90"/>
      <c r="Q712" s="88"/>
      <c r="R712" s="88"/>
      <c r="S712" s="88"/>
      <c r="T712" s="59"/>
      <c r="U712" s="59"/>
      <c r="V712" s="59"/>
      <c r="W712" s="59"/>
      <c r="X712" s="59"/>
      <c r="Y712" s="59"/>
      <c r="Z712" s="59"/>
      <c r="AA712" s="59"/>
      <c r="AB712" s="59"/>
    </row>
    <row r="713">
      <c r="A713" s="59"/>
      <c r="B713" s="59"/>
      <c r="C713" s="70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88"/>
      <c r="P713" s="90"/>
      <c r="Q713" s="88"/>
      <c r="R713" s="88"/>
      <c r="S713" s="88"/>
      <c r="T713" s="59"/>
      <c r="U713" s="59"/>
      <c r="V713" s="59"/>
      <c r="W713" s="59"/>
      <c r="X713" s="59"/>
      <c r="Y713" s="59"/>
      <c r="Z713" s="59"/>
      <c r="AA713" s="59"/>
      <c r="AB713" s="59"/>
    </row>
    <row r="714">
      <c r="A714" s="59"/>
      <c r="B714" s="59"/>
      <c r="C714" s="70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88"/>
      <c r="P714" s="90"/>
      <c r="Q714" s="88"/>
      <c r="R714" s="88"/>
      <c r="S714" s="88"/>
      <c r="T714" s="59"/>
      <c r="U714" s="59"/>
      <c r="V714" s="59"/>
      <c r="W714" s="59"/>
      <c r="X714" s="59"/>
      <c r="Y714" s="59"/>
      <c r="Z714" s="59"/>
      <c r="AA714" s="59"/>
      <c r="AB714" s="59"/>
    </row>
    <row r="715">
      <c r="A715" s="59"/>
      <c r="B715" s="59"/>
      <c r="C715" s="70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88"/>
      <c r="P715" s="90"/>
      <c r="Q715" s="88"/>
      <c r="R715" s="88"/>
      <c r="S715" s="88"/>
      <c r="T715" s="59"/>
      <c r="U715" s="59"/>
      <c r="V715" s="59"/>
      <c r="W715" s="59"/>
      <c r="X715" s="59"/>
      <c r="Y715" s="59"/>
      <c r="Z715" s="59"/>
      <c r="AA715" s="59"/>
      <c r="AB715" s="59"/>
    </row>
    <row r="716">
      <c r="A716" s="59"/>
      <c r="B716" s="59"/>
      <c r="C716" s="70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88"/>
      <c r="P716" s="90"/>
      <c r="Q716" s="88"/>
      <c r="R716" s="88"/>
      <c r="S716" s="88"/>
      <c r="T716" s="59"/>
      <c r="U716" s="59"/>
      <c r="V716" s="59"/>
      <c r="W716" s="59"/>
      <c r="X716" s="59"/>
      <c r="Y716" s="59"/>
      <c r="Z716" s="59"/>
      <c r="AA716" s="59"/>
      <c r="AB716" s="59"/>
    </row>
    <row r="717">
      <c r="A717" s="59"/>
      <c r="B717" s="59"/>
      <c r="C717" s="70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88"/>
      <c r="P717" s="90"/>
      <c r="Q717" s="88"/>
      <c r="R717" s="88"/>
      <c r="S717" s="88"/>
      <c r="T717" s="59"/>
      <c r="U717" s="59"/>
      <c r="V717" s="59"/>
      <c r="W717" s="59"/>
      <c r="X717" s="59"/>
      <c r="Y717" s="59"/>
      <c r="Z717" s="59"/>
      <c r="AA717" s="59"/>
      <c r="AB717" s="59"/>
    </row>
    <row r="718">
      <c r="A718" s="59"/>
      <c r="B718" s="59"/>
      <c r="C718" s="70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88"/>
      <c r="P718" s="90"/>
      <c r="Q718" s="88"/>
      <c r="R718" s="88"/>
      <c r="S718" s="88"/>
      <c r="T718" s="59"/>
      <c r="U718" s="59"/>
      <c r="V718" s="59"/>
      <c r="W718" s="59"/>
      <c r="X718" s="59"/>
      <c r="Y718" s="59"/>
      <c r="Z718" s="59"/>
      <c r="AA718" s="59"/>
      <c r="AB718" s="59"/>
    </row>
    <row r="719">
      <c r="A719" s="59"/>
      <c r="B719" s="59"/>
      <c r="C719" s="70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88"/>
      <c r="P719" s="90"/>
      <c r="Q719" s="88"/>
      <c r="R719" s="88"/>
      <c r="S719" s="88"/>
      <c r="T719" s="59"/>
      <c r="U719" s="59"/>
      <c r="V719" s="59"/>
      <c r="W719" s="59"/>
      <c r="X719" s="59"/>
      <c r="Y719" s="59"/>
      <c r="Z719" s="59"/>
      <c r="AA719" s="59"/>
      <c r="AB719" s="59"/>
    </row>
    <row r="720">
      <c r="A720" s="59"/>
      <c r="B720" s="59"/>
      <c r="C720" s="70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88"/>
      <c r="P720" s="90"/>
      <c r="Q720" s="88"/>
      <c r="R720" s="88"/>
      <c r="S720" s="88"/>
      <c r="T720" s="59"/>
      <c r="U720" s="59"/>
      <c r="V720" s="59"/>
      <c r="W720" s="59"/>
      <c r="X720" s="59"/>
      <c r="Y720" s="59"/>
      <c r="Z720" s="59"/>
      <c r="AA720" s="59"/>
      <c r="AB720" s="59"/>
    </row>
    <row r="721">
      <c r="A721" s="59"/>
      <c r="B721" s="59"/>
      <c r="C721" s="70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88"/>
      <c r="P721" s="90"/>
      <c r="Q721" s="88"/>
      <c r="R721" s="88"/>
      <c r="S721" s="88"/>
      <c r="T721" s="59"/>
      <c r="U721" s="59"/>
      <c r="V721" s="59"/>
      <c r="W721" s="59"/>
      <c r="X721" s="59"/>
      <c r="Y721" s="59"/>
      <c r="Z721" s="59"/>
      <c r="AA721" s="59"/>
      <c r="AB721" s="59"/>
    </row>
    <row r="722">
      <c r="A722" s="59"/>
      <c r="B722" s="59"/>
      <c r="C722" s="70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88"/>
      <c r="P722" s="90"/>
      <c r="Q722" s="88"/>
      <c r="R722" s="88"/>
      <c r="S722" s="88"/>
      <c r="T722" s="59"/>
      <c r="U722" s="59"/>
      <c r="V722" s="59"/>
      <c r="W722" s="59"/>
      <c r="X722" s="59"/>
      <c r="Y722" s="59"/>
      <c r="Z722" s="59"/>
      <c r="AA722" s="59"/>
      <c r="AB722" s="59"/>
    </row>
    <row r="723">
      <c r="A723" s="59"/>
      <c r="B723" s="59"/>
      <c r="C723" s="70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88"/>
      <c r="P723" s="90"/>
      <c r="Q723" s="88"/>
      <c r="R723" s="88"/>
      <c r="S723" s="88"/>
      <c r="T723" s="59"/>
      <c r="U723" s="59"/>
      <c r="V723" s="59"/>
      <c r="W723" s="59"/>
      <c r="X723" s="59"/>
      <c r="Y723" s="59"/>
      <c r="Z723" s="59"/>
      <c r="AA723" s="59"/>
      <c r="AB723" s="59"/>
    </row>
    <row r="724">
      <c r="A724" s="59"/>
      <c r="B724" s="59"/>
      <c r="C724" s="70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88"/>
      <c r="P724" s="90"/>
      <c r="Q724" s="88"/>
      <c r="R724" s="88"/>
      <c r="S724" s="88"/>
      <c r="T724" s="59"/>
      <c r="U724" s="59"/>
      <c r="V724" s="59"/>
      <c r="W724" s="59"/>
      <c r="X724" s="59"/>
      <c r="Y724" s="59"/>
      <c r="Z724" s="59"/>
      <c r="AA724" s="59"/>
      <c r="AB724" s="59"/>
    </row>
    <row r="725">
      <c r="A725" s="59"/>
      <c r="B725" s="59"/>
      <c r="C725" s="70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88"/>
      <c r="P725" s="90"/>
      <c r="Q725" s="88"/>
      <c r="R725" s="88"/>
      <c r="S725" s="88"/>
      <c r="T725" s="59"/>
      <c r="U725" s="59"/>
      <c r="V725" s="59"/>
      <c r="W725" s="59"/>
      <c r="X725" s="59"/>
      <c r="Y725" s="59"/>
      <c r="Z725" s="59"/>
      <c r="AA725" s="59"/>
      <c r="AB725" s="59"/>
    </row>
    <row r="726">
      <c r="A726" s="59"/>
      <c r="B726" s="59"/>
      <c r="C726" s="70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88"/>
      <c r="P726" s="90"/>
      <c r="Q726" s="88"/>
      <c r="R726" s="88"/>
      <c r="S726" s="88"/>
      <c r="T726" s="59"/>
      <c r="U726" s="59"/>
      <c r="V726" s="59"/>
      <c r="W726" s="59"/>
      <c r="X726" s="59"/>
      <c r="Y726" s="59"/>
      <c r="Z726" s="59"/>
      <c r="AA726" s="59"/>
      <c r="AB726" s="59"/>
    </row>
    <row r="727">
      <c r="A727" s="59"/>
      <c r="B727" s="59"/>
      <c r="C727" s="70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88"/>
      <c r="P727" s="90"/>
      <c r="Q727" s="88"/>
      <c r="R727" s="88"/>
      <c r="S727" s="88"/>
      <c r="T727" s="59"/>
      <c r="U727" s="59"/>
      <c r="V727" s="59"/>
      <c r="W727" s="59"/>
      <c r="X727" s="59"/>
      <c r="Y727" s="59"/>
      <c r="Z727" s="59"/>
      <c r="AA727" s="59"/>
      <c r="AB727" s="59"/>
    </row>
    <row r="728">
      <c r="A728" s="59"/>
      <c r="B728" s="59"/>
      <c r="C728" s="70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88"/>
      <c r="P728" s="90"/>
      <c r="Q728" s="88"/>
      <c r="R728" s="88"/>
      <c r="S728" s="88"/>
      <c r="T728" s="59"/>
      <c r="U728" s="59"/>
      <c r="V728" s="59"/>
      <c r="W728" s="59"/>
      <c r="X728" s="59"/>
      <c r="Y728" s="59"/>
      <c r="Z728" s="59"/>
      <c r="AA728" s="59"/>
      <c r="AB728" s="59"/>
    </row>
    <row r="729">
      <c r="A729" s="59"/>
      <c r="B729" s="59"/>
      <c r="C729" s="70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88"/>
      <c r="P729" s="90"/>
      <c r="Q729" s="88"/>
      <c r="R729" s="88"/>
      <c r="S729" s="88"/>
      <c r="T729" s="59"/>
      <c r="U729" s="59"/>
      <c r="V729" s="59"/>
      <c r="W729" s="59"/>
      <c r="X729" s="59"/>
      <c r="Y729" s="59"/>
      <c r="Z729" s="59"/>
      <c r="AA729" s="59"/>
      <c r="AB729" s="59"/>
    </row>
    <row r="730">
      <c r="A730" s="59"/>
      <c r="B730" s="59"/>
      <c r="C730" s="70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88"/>
      <c r="P730" s="90"/>
      <c r="Q730" s="88"/>
      <c r="R730" s="88"/>
      <c r="S730" s="88"/>
      <c r="T730" s="59"/>
      <c r="U730" s="59"/>
      <c r="V730" s="59"/>
      <c r="W730" s="59"/>
      <c r="X730" s="59"/>
      <c r="Y730" s="59"/>
      <c r="Z730" s="59"/>
      <c r="AA730" s="59"/>
      <c r="AB730" s="59"/>
    </row>
    <row r="731">
      <c r="A731" s="59"/>
      <c r="B731" s="59"/>
      <c r="C731" s="70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88"/>
      <c r="P731" s="90"/>
      <c r="Q731" s="88"/>
      <c r="R731" s="88"/>
      <c r="S731" s="88"/>
      <c r="T731" s="59"/>
      <c r="U731" s="59"/>
      <c r="V731" s="59"/>
      <c r="W731" s="59"/>
      <c r="X731" s="59"/>
      <c r="Y731" s="59"/>
      <c r="Z731" s="59"/>
      <c r="AA731" s="59"/>
      <c r="AB731" s="59"/>
    </row>
    <row r="732">
      <c r="A732" s="59"/>
      <c r="B732" s="59"/>
      <c r="C732" s="70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88"/>
      <c r="P732" s="90"/>
      <c r="Q732" s="88"/>
      <c r="R732" s="88"/>
      <c r="S732" s="88"/>
      <c r="T732" s="59"/>
      <c r="U732" s="59"/>
      <c r="V732" s="59"/>
      <c r="W732" s="59"/>
      <c r="X732" s="59"/>
      <c r="Y732" s="59"/>
      <c r="Z732" s="59"/>
      <c r="AA732" s="59"/>
      <c r="AB732" s="59"/>
    </row>
    <row r="733">
      <c r="A733" s="59"/>
      <c r="B733" s="59"/>
      <c r="C733" s="70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88"/>
      <c r="P733" s="90"/>
      <c r="Q733" s="88"/>
      <c r="R733" s="88"/>
      <c r="S733" s="88"/>
      <c r="T733" s="59"/>
      <c r="U733" s="59"/>
      <c r="V733" s="59"/>
      <c r="W733" s="59"/>
      <c r="X733" s="59"/>
      <c r="Y733" s="59"/>
      <c r="Z733" s="59"/>
      <c r="AA733" s="59"/>
      <c r="AB733" s="59"/>
    </row>
    <row r="734">
      <c r="A734" s="59"/>
      <c r="B734" s="59"/>
      <c r="C734" s="70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88"/>
      <c r="P734" s="90"/>
      <c r="Q734" s="88"/>
      <c r="R734" s="88"/>
      <c r="S734" s="88"/>
      <c r="T734" s="59"/>
      <c r="U734" s="59"/>
      <c r="V734" s="59"/>
      <c r="W734" s="59"/>
      <c r="X734" s="59"/>
      <c r="Y734" s="59"/>
      <c r="Z734" s="59"/>
      <c r="AA734" s="59"/>
      <c r="AB734" s="59"/>
    </row>
    <row r="735">
      <c r="A735" s="59"/>
      <c r="B735" s="59"/>
      <c r="C735" s="70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88"/>
      <c r="P735" s="90"/>
      <c r="Q735" s="88"/>
      <c r="R735" s="88"/>
      <c r="S735" s="88"/>
      <c r="T735" s="59"/>
      <c r="U735" s="59"/>
      <c r="V735" s="59"/>
      <c r="W735" s="59"/>
      <c r="X735" s="59"/>
      <c r="Y735" s="59"/>
      <c r="Z735" s="59"/>
      <c r="AA735" s="59"/>
      <c r="AB735" s="59"/>
    </row>
    <row r="736">
      <c r="A736" s="59"/>
      <c r="B736" s="59"/>
      <c r="C736" s="70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88"/>
      <c r="P736" s="90"/>
      <c r="Q736" s="88"/>
      <c r="R736" s="88"/>
      <c r="S736" s="88"/>
      <c r="T736" s="59"/>
      <c r="U736" s="59"/>
      <c r="V736" s="59"/>
      <c r="W736" s="59"/>
      <c r="X736" s="59"/>
      <c r="Y736" s="59"/>
      <c r="Z736" s="59"/>
      <c r="AA736" s="59"/>
      <c r="AB736" s="59"/>
    </row>
    <row r="737">
      <c r="A737" s="59"/>
      <c r="B737" s="59"/>
      <c r="C737" s="70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88"/>
      <c r="P737" s="90"/>
      <c r="Q737" s="88"/>
      <c r="R737" s="88"/>
      <c r="S737" s="88"/>
      <c r="T737" s="59"/>
      <c r="U737" s="59"/>
      <c r="V737" s="59"/>
      <c r="W737" s="59"/>
      <c r="X737" s="59"/>
      <c r="Y737" s="59"/>
      <c r="Z737" s="59"/>
      <c r="AA737" s="59"/>
      <c r="AB737" s="59"/>
    </row>
    <row r="738">
      <c r="A738" s="59"/>
      <c r="B738" s="59"/>
      <c r="C738" s="70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88"/>
      <c r="P738" s="90"/>
      <c r="Q738" s="88"/>
      <c r="R738" s="88"/>
      <c r="S738" s="88"/>
      <c r="T738" s="59"/>
      <c r="U738" s="59"/>
      <c r="V738" s="59"/>
      <c r="W738" s="59"/>
      <c r="X738" s="59"/>
      <c r="Y738" s="59"/>
      <c r="Z738" s="59"/>
      <c r="AA738" s="59"/>
      <c r="AB738" s="59"/>
    </row>
    <row r="739">
      <c r="A739" s="59"/>
      <c r="B739" s="59"/>
      <c r="C739" s="70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88"/>
      <c r="P739" s="90"/>
      <c r="Q739" s="88"/>
      <c r="R739" s="88"/>
      <c r="S739" s="88"/>
      <c r="T739" s="59"/>
      <c r="U739" s="59"/>
      <c r="V739" s="59"/>
      <c r="W739" s="59"/>
      <c r="X739" s="59"/>
      <c r="Y739" s="59"/>
      <c r="Z739" s="59"/>
      <c r="AA739" s="59"/>
      <c r="AB739" s="59"/>
    </row>
    <row r="740">
      <c r="A740" s="59"/>
      <c r="B740" s="59"/>
      <c r="C740" s="70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88"/>
      <c r="P740" s="90"/>
      <c r="Q740" s="88"/>
      <c r="R740" s="88"/>
      <c r="S740" s="88"/>
      <c r="T740" s="59"/>
      <c r="U740" s="59"/>
      <c r="V740" s="59"/>
      <c r="W740" s="59"/>
      <c r="X740" s="59"/>
      <c r="Y740" s="59"/>
      <c r="Z740" s="59"/>
      <c r="AA740" s="59"/>
      <c r="AB740" s="59"/>
    </row>
    <row r="741">
      <c r="A741" s="59"/>
      <c r="B741" s="59"/>
      <c r="C741" s="70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88"/>
      <c r="P741" s="90"/>
      <c r="Q741" s="88"/>
      <c r="R741" s="88"/>
      <c r="S741" s="88"/>
      <c r="T741" s="59"/>
      <c r="U741" s="59"/>
      <c r="V741" s="59"/>
      <c r="W741" s="59"/>
      <c r="X741" s="59"/>
      <c r="Y741" s="59"/>
      <c r="Z741" s="59"/>
      <c r="AA741" s="59"/>
      <c r="AB741" s="59"/>
    </row>
    <row r="742">
      <c r="A742" s="59"/>
      <c r="B742" s="59"/>
      <c r="C742" s="70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88"/>
      <c r="P742" s="90"/>
      <c r="Q742" s="88"/>
      <c r="R742" s="88"/>
      <c r="S742" s="88"/>
      <c r="T742" s="59"/>
      <c r="U742" s="59"/>
      <c r="V742" s="59"/>
      <c r="W742" s="59"/>
      <c r="X742" s="59"/>
      <c r="Y742" s="59"/>
      <c r="Z742" s="59"/>
      <c r="AA742" s="59"/>
      <c r="AB742" s="59"/>
    </row>
    <row r="743">
      <c r="A743" s="59"/>
      <c r="B743" s="59"/>
      <c r="C743" s="70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88"/>
      <c r="P743" s="90"/>
      <c r="Q743" s="88"/>
      <c r="R743" s="88"/>
      <c r="S743" s="88"/>
      <c r="T743" s="59"/>
      <c r="U743" s="59"/>
      <c r="V743" s="59"/>
      <c r="W743" s="59"/>
      <c r="X743" s="59"/>
      <c r="Y743" s="59"/>
      <c r="Z743" s="59"/>
      <c r="AA743" s="59"/>
      <c r="AB743" s="59"/>
    </row>
    <row r="744">
      <c r="A744" s="59"/>
      <c r="B744" s="59"/>
      <c r="C744" s="70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88"/>
      <c r="P744" s="90"/>
      <c r="Q744" s="88"/>
      <c r="R744" s="88"/>
      <c r="S744" s="88"/>
      <c r="T744" s="59"/>
      <c r="U744" s="59"/>
      <c r="V744" s="59"/>
      <c r="W744" s="59"/>
      <c r="X744" s="59"/>
      <c r="Y744" s="59"/>
      <c r="Z744" s="59"/>
      <c r="AA744" s="59"/>
      <c r="AB744" s="59"/>
    </row>
    <row r="745">
      <c r="A745" s="59"/>
      <c r="B745" s="59"/>
      <c r="C745" s="70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88"/>
      <c r="P745" s="90"/>
      <c r="Q745" s="88"/>
      <c r="R745" s="88"/>
      <c r="S745" s="88"/>
      <c r="T745" s="59"/>
      <c r="U745" s="59"/>
      <c r="V745" s="59"/>
      <c r="W745" s="59"/>
      <c r="X745" s="59"/>
      <c r="Y745" s="59"/>
      <c r="Z745" s="59"/>
      <c r="AA745" s="59"/>
      <c r="AB745" s="59"/>
    </row>
    <row r="746">
      <c r="A746" s="59"/>
      <c r="B746" s="59"/>
      <c r="C746" s="70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88"/>
      <c r="P746" s="90"/>
      <c r="Q746" s="88"/>
      <c r="R746" s="88"/>
      <c r="S746" s="88"/>
      <c r="T746" s="59"/>
      <c r="U746" s="59"/>
      <c r="V746" s="59"/>
      <c r="W746" s="59"/>
      <c r="X746" s="59"/>
      <c r="Y746" s="59"/>
      <c r="Z746" s="59"/>
      <c r="AA746" s="59"/>
      <c r="AB746" s="59"/>
    </row>
    <row r="747">
      <c r="A747" s="59"/>
      <c r="B747" s="59"/>
      <c r="C747" s="70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88"/>
      <c r="P747" s="90"/>
      <c r="Q747" s="88"/>
      <c r="R747" s="88"/>
      <c r="S747" s="88"/>
      <c r="T747" s="59"/>
      <c r="U747" s="59"/>
      <c r="V747" s="59"/>
      <c r="W747" s="59"/>
      <c r="X747" s="59"/>
      <c r="Y747" s="59"/>
      <c r="Z747" s="59"/>
      <c r="AA747" s="59"/>
      <c r="AB747" s="59"/>
    </row>
    <row r="748">
      <c r="A748" s="59"/>
      <c r="B748" s="59"/>
      <c r="C748" s="70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88"/>
      <c r="P748" s="90"/>
      <c r="Q748" s="88"/>
      <c r="R748" s="88"/>
      <c r="S748" s="88"/>
      <c r="T748" s="59"/>
      <c r="U748" s="59"/>
      <c r="V748" s="59"/>
      <c r="W748" s="59"/>
      <c r="X748" s="59"/>
      <c r="Y748" s="59"/>
      <c r="Z748" s="59"/>
      <c r="AA748" s="59"/>
      <c r="AB748" s="59"/>
    </row>
    <row r="749">
      <c r="A749" s="59"/>
      <c r="B749" s="59"/>
      <c r="C749" s="70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88"/>
      <c r="P749" s="90"/>
      <c r="Q749" s="88"/>
      <c r="R749" s="88"/>
      <c r="S749" s="88"/>
      <c r="T749" s="59"/>
      <c r="U749" s="59"/>
      <c r="V749" s="59"/>
      <c r="W749" s="59"/>
      <c r="X749" s="59"/>
      <c r="Y749" s="59"/>
      <c r="Z749" s="59"/>
      <c r="AA749" s="59"/>
      <c r="AB749" s="59"/>
    </row>
    <row r="750">
      <c r="A750" s="59"/>
      <c r="B750" s="59"/>
      <c r="C750" s="70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88"/>
      <c r="P750" s="90"/>
      <c r="Q750" s="88"/>
      <c r="R750" s="88"/>
      <c r="S750" s="88"/>
      <c r="T750" s="59"/>
      <c r="U750" s="59"/>
      <c r="V750" s="59"/>
      <c r="W750" s="59"/>
      <c r="X750" s="59"/>
      <c r="Y750" s="59"/>
      <c r="Z750" s="59"/>
      <c r="AA750" s="59"/>
      <c r="AB750" s="59"/>
    </row>
    <row r="751">
      <c r="A751" s="59"/>
      <c r="B751" s="59"/>
      <c r="C751" s="70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88"/>
      <c r="P751" s="90"/>
      <c r="Q751" s="88"/>
      <c r="R751" s="88"/>
      <c r="S751" s="88"/>
      <c r="T751" s="59"/>
      <c r="U751" s="59"/>
      <c r="V751" s="59"/>
      <c r="W751" s="59"/>
      <c r="X751" s="59"/>
      <c r="Y751" s="59"/>
      <c r="Z751" s="59"/>
      <c r="AA751" s="59"/>
      <c r="AB751" s="59"/>
    </row>
    <row r="752">
      <c r="A752" s="59"/>
      <c r="B752" s="59"/>
      <c r="C752" s="70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88"/>
      <c r="P752" s="90"/>
      <c r="Q752" s="88"/>
      <c r="R752" s="88"/>
      <c r="S752" s="88"/>
      <c r="T752" s="59"/>
      <c r="U752" s="59"/>
      <c r="V752" s="59"/>
      <c r="W752" s="59"/>
      <c r="X752" s="59"/>
      <c r="Y752" s="59"/>
      <c r="Z752" s="59"/>
      <c r="AA752" s="59"/>
      <c r="AB752" s="59"/>
    </row>
    <row r="753">
      <c r="A753" s="59"/>
      <c r="B753" s="59"/>
      <c r="C753" s="70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88"/>
      <c r="P753" s="90"/>
      <c r="Q753" s="88"/>
      <c r="R753" s="88"/>
      <c r="S753" s="88"/>
      <c r="T753" s="59"/>
      <c r="U753" s="59"/>
      <c r="V753" s="59"/>
      <c r="W753" s="59"/>
      <c r="X753" s="59"/>
      <c r="Y753" s="59"/>
      <c r="Z753" s="59"/>
      <c r="AA753" s="59"/>
      <c r="AB753" s="59"/>
    </row>
    <row r="754">
      <c r="A754" s="59"/>
      <c r="B754" s="59"/>
      <c r="C754" s="70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88"/>
      <c r="P754" s="90"/>
      <c r="Q754" s="88"/>
      <c r="R754" s="88"/>
      <c r="S754" s="88"/>
      <c r="T754" s="59"/>
      <c r="U754" s="59"/>
      <c r="V754" s="59"/>
      <c r="W754" s="59"/>
      <c r="X754" s="59"/>
      <c r="Y754" s="59"/>
      <c r="Z754" s="59"/>
      <c r="AA754" s="59"/>
      <c r="AB754" s="59"/>
    </row>
    <row r="755">
      <c r="A755" s="59"/>
      <c r="B755" s="59"/>
      <c r="C755" s="70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88"/>
      <c r="P755" s="90"/>
      <c r="Q755" s="88"/>
      <c r="R755" s="88"/>
      <c r="S755" s="88"/>
      <c r="T755" s="59"/>
      <c r="U755" s="59"/>
      <c r="V755" s="59"/>
      <c r="W755" s="59"/>
      <c r="X755" s="59"/>
      <c r="Y755" s="59"/>
      <c r="Z755" s="59"/>
      <c r="AA755" s="59"/>
      <c r="AB755" s="59"/>
    </row>
    <row r="756">
      <c r="A756" s="59"/>
      <c r="B756" s="59"/>
      <c r="C756" s="70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88"/>
      <c r="P756" s="90"/>
      <c r="Q756" s="88"/>
      <c r="R756" s="88"/>
      <c r="S756" s="88"/>
      <c r="T756" s="59"/>
      <c r="U756" s="59"/>
      <c r="V756" s="59"/>
      <c r="W756" s="59"/>
      <c r="X756" s="59"/>
      <c r="Y756" s="59"/>
      <c r="Z756" s="59"/>
      <c r="AA756" s="59"/>
      <c r="AB756" s="59"/>
    </row>
    <row r="757">
      <c r="A757" s="59"/>
      <c r="B757" s="59"/>
      <c r="C757" s="70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88"/>
      <c r="P757" s="90"/>
      <c r="Q757" s="88"/>
      <c r="R757" s="88"/>
      <c r="S757" s="88"/>
      <c r="T757" s="59"/>
      <c r="U757" s="59"/>
      <c r="V757" s="59"/>
      <c r="W757" s="59"/>
      <c r="X757" s="59"/>
      <c r="Y757" s="59"/>
      <c r="Z757" s="59"/>
      <c r="AA757" s="59"/>
      <c r="AB757" s="59"/>
    </row>
    <row r="758">
      <c r="A758" s="59"/>
      <c r="B758" s="59"/>
      <c r="C758" s="70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88"/>
      <c r="P758" s="90"/>
      <c r="Q758" s="88"/>
      <c r="R758" s="88"/>
      <c r="S758" s="88"/>
      <c r="T758" s="59"/>
      <c r="U758" s="59"/>
      <c r="V758" s="59"/>
      <c r="W758" s="59"/>
      <c r="X758" s="59"/>
      <c r="Y758" s="59"/>
      <c r="Z758" s="59"/>
      <c r="AA758" s="59"/>
      <c r="AB758" s="59"/>
    </row>
    <row r="759">
      <c r="A759" s="59"/>
      <c r="B759" s="59"/>
      <c r="C759" s="70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88"/>
      <c r="P759" s="90"/>
      <c r="Q759" s="88"/>
      <c r="R759" s="88"/>
      <c r="S759" s="88"/>
      <c r="T759" s="59"/>
      <c r="U759" s="59"/>
      <c r="V759" s="59"/>
      <c r="W759" s="59"/>
      <c r="X759" s="59"/>
      <c r="Y759" s="59"/>
      <c r="Z759" s="59"/>
      <c r="AA759" s="59"/>
      <c r="AB759" s="59"/>
    </row>
    <row r="760">
      <c r="A760" s="59"/>
      <c r="B760" s="59"/>
      <c r="C760" s="70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88"/>
      <c r="P760" s="90"/>
      <c r="Q760" s="88"/>
      <c r="R760" s="88"/>
      <c r="S760" s="88"/>
      <c r="T760" s="59"/>
      <c r="U760" s="59"/>
      <c r="V760" s="59"/>
      <c r="W760" s="59"/>
      <c r="X760" s="59"/>
      <c r="Y760" s="59"/>
      <c r="Z760" s="59"/>
      <c r="AA760" s="59"/>
      <c r="AB760" s="59"/>
    </row>
    <row r="761">
      <c r="A761" s="59"/>
      <c r="B761" s="59"/>
      <c r="C761" s="70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88"/>
      <c r="P761" s="90"/>
      <c r="Q761" s="88"/>
      <c r="R761" s="88"/>
      <c r="S761" s="88"/>
      <c r="T761" s="59"/>
      <c r="U761" s="59"/>
      <c r="V761" s="59"/>
      <c r="W761" s="59"/>
      <c r="X761" s="59"/>
      <c r="Y761" s="59"/>
      <c r="Z761" s="59"/>
      <c r="AA761" s="59"/>
      <c r="AB761" s="59"/>
    </row>
    <row r="762">
      <c r="A762" s="59"/>
      <c r="B762" s="59"/>
      <c r="C762" s="70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88"/>
      <c r="P762" s="90"/>
      <c r="Q762" s="88"/>
      <c r="R762" s="88"/>
      <c r="S762" s="88"/>
      <c r="T762" s="59"/>
      <c r="U762" s="59"/>
      <c r="V762" s="59"/>
      <c r="W762" s="59"/>
      <c r="X762" s="59"/>
      <c r="Y762" s="59"/>
      <c r="Z762" s="59"/>
      <c r="AA762" s="59"/>
      <c r="AB762" s="59"/>
    </row>
    <row r="763">
      <c r="A763" s="59"/>
      <c r="B763" s="59"/>
      <c r="C763" s="70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88"/>
      <c r="P763" s="90"/>
      <c r="Q763" s="88"/>
      <c r="R763" s="88"/>
      <c r="S763" s="88"/>
      <c r="T763" s="59"/>
      <c r="U763" s="59"/>
      <c r="V763" s="59"/>
      <c r="W763" s="59"/>
      <c r="X763" s="59"/>
      <c r="Y763" s="59"/>
      <c r="Z763" s="59"/>
      <c r="AA763" s="59"/>
      <c r="AB763" s="59"/>
    </row>
    <row r="764">
      <c r="A764" s="59"/>
      <c r="B764" s="59"/>
      <c r="C764" s="70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88"/>
      <c r="P764" s="90"/>
      <c r="Q764" s="88"/>
      <c r="R764" s="88"/>
      <c r="S764" s="88"/>
      <c r="T764" s="59"/>
      <c r="U764" s="59"/>
      <c r="V764" s="59"/>
      <c r="W764" s="59"/>
      <c r="X764" s="59"/>
      <c r="Y764" s="59"/>
      <c r="Z764" s="59"/>
      <c r="AA764" s="59"/>
      <c r="AB764" s="59"/>
    </row>
    <row r="765">
      <c r="A765" s="59"/>
      <c r="B765" s="59"/>
      <c r="C765" s="70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88"/>
      <c r="P765" s="90"/>
      <c r="Q765" s="88"/>
      <c r="R765" s="88"/>
      <c r="S765" s="88"/>
      <c r="T765" s="59"/>
      <c r="U765" s="59"/>
      <c r="V765" s="59"/>
      <c r="W765" s="59"/>
      <c r="X765" s="59"/>
      <c r="Y765" s="59"/>
      <c r="Z765" s="59"/>
      <c r="AA765" s="59"/>
      <c r="AB765" s="59"/>
    </row>
    <row r="766">
      <c r="A766" s="59"/>
      <c r="B766" s="59"/>
      <c r="C766" s="70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88"/>
      <c r="P766" s="90"/>
      <c r="Q766" s="88"/>
      <c r="R766" s="88"/>
      <c r="S766" s="88"/>
      <c r="T766" s="59"/>
      <c r="U766" s="59"/>
      <c r="V766" s="59"/>
      <c r="W766" s="59"/>
      <c r="X766" s="59"/>
      <c r="Y766" s="59"/>
      <c r="Z766" s="59"/>
      <c r="AA766" s="59"/>
      <c r="AB766" s="59"/>
    </row>
    <row r="767">
      <c r="A767" s="59"/>
      <c r="B767" s="59"/>
      <c r="C767" s="70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88"/>
      <c r="P767" s="90"/>
      <c r="Q767" s="88"/>
      <c r="R767" s="88"/>
      <c r="S767" s="88"/>
      <c r="T767" s="59"/>
      <c r="U767" s="59"/>
      <c r="V767" s="59"/>
      <c r="W767" s="59"/>
      <c r="X767" s="59"/>
      <c r="Y767" s="59"/>
      <c r="Z767" s="59"/>
      <c r="AA767" s="59"/>
      <c r="AB767" s="59"/>
    </row>
    <row r="768">
      <c r="A768" s="59"/>
      <c r="B768" s="59"/>
      <c r="C768" s="70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88"/>
      <c r="P768" s="90"/>
      <c r="Q768" s="88"/>
      <c r="R768" s="88"/>
      <c r="S768" s="88"/>
      <c r="T768" s="59"/>
      <c r="U768" s="59"/>
      <c r="V768" s="59"/>
      <c r="W768" s="59"/>
      <c r="X768" s="59"/>
      <c r="Y768" s="59"/>
      <c r="Z768" s="59"/>
      <c r="AA768" s="59"/>
      <c r="AB768" s="59"/>
    </row>
    <row r="769">
      <c r="A769" s="59"/>
      <c r="B769" s="59"/>
      <c r="C769" s="70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88"/>
      <c r="P769" s="90"/>
      <c r="Q769" s="88"/>
      <c r="R769" s="88"/>
      <c r="S769" s="88"/>
      <c r="T769" s="59"/>
      <c r="U769" s="59"/>
      <c r="V769" s="59"/>
      <c r="W769" s="59"/>
      <c r="X769" s="59"/>
      <c r="Y769" s="59"/>
      <c r="Z769" s="59"/>
      <c r="AA769" s="59"/>
      <c r="AB769" s="59"/>
    </row>
    <row r="770">
      <c r="A770" s="59"/>
      <c r="B770" s="59"/>
      <c r="C770" s="70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88"/>
      <c r="P770" s="90"/>
      <c r="Q770" s="88"/>
      <c r="R770" s="88"/>
      <c r="S770" s="88"/>
      <c r="T770" s="59"/>
      <c r="U770" s="59"/>
      <c r="V770" s="59"/>
      <c r="W770" s="59"/>
      <c r="X770" s="59"/>
      <c r="Y770" s="59"/>
      <c r="Z770" s="59"/>
      <c r="AA770" s="59"/>
      <c r="AB770" s="59"/>
    </row>
    <row r="771">
      <c r="A771" s="59"/>
      <c r="B771" s="59"/>
      <c r="C771" s="70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88"/>
      <c r="P771" s="90"/>
      <c r="Q771" s="88"/>
      <c r="R771" s="88"/>
      <c r="S771" s="88"/>
      <c r="T771" s="59"/>
      <c r="U771" s="59"/>
      <c r="V771" s="59"/>
      <c r="W771" s="59"/>
      <c r="X771" s="59"/>
      <c r="Y771" s="59"/>
      <c r="Z771" s="59"/>
      <c r="AA771" s="59"/>
      <c r="AB771" s="59"/>
    </row>
    <row r="772">
      <c r="A772" s="59"/>
      <c r="B772" s="59"/>
      <c r="C772" s="70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88"/>
      <c r="P772" s="90"/>
      <c r="Q772" s="88"/>
      <c r="R772" s="88"/>
      <c r="S772" s="88"/>
      <c r="T772" s="59"/>
      <c r="U772" s="59"/>
      <c r="V772" s="59"/>
      <c r="W772" s="59"/>
      <c r="X772" s="59"/>
      <c r="Y772" s="59"/>
      <c r="Z772" s="59"/>
      <c r="AA772" s="59"/>
      <c r="AB772" s="59"/>
    </row>
    <row r="773">
      <c r="A773" s="59"/>
      <c r="B773" s="59"/>
      <c r="C773" s="70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88"/>
      <c r="P773" s="90"/>
      <c r="Q773" s="88"/>
      <c r="R773" s="88"/>
      <c r="S773" s="88"/>
      <c r="T773" s="59"/>
      <c r="U773" s="59"/>
      <c r="V773" s="59"/>
      <c r="W773" s="59"/>
      <c r="X773" s="59"/>
      <c r="Y773" s="59"/>
      <c r="Z773" s="59"/>
      <c r="AA773" s="59"/>
      <c r="AB773" s="59"/>
    </row>
    <row r="774">
      <c r="A774" s="59"/>
      <c r="B774" s="59"/>
      <c r="C774" s="70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88"/>
      <c r="P774" s="90"/>
      <c r="Q774" s="88"/>
      <c r="R774" s="88"/>
      <c r="S774" s="88"/>
      <c r="T774" s="59"/>
      <c r="U774" s="59"/>
      <c r="V774" s="59"/>
      <c r="W774" s="59"/>
      <c r="X774" s="59"/>
      <c r="Y774" s="59"/>
      <c r="Z774" s="59"/>
      <c r="AA774" s="59"/>
      <c r="AB774" s="59"/>
    </row>
    <row r="775">
      <c r="A775" s="59"/>
      <c r="B775" s="59"/>
      <c r="C775" s="70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88"/>
      <c r="P775" s="90"/>
      <c r="Q775" s="88"/>
      <c r="R775" s="88"/>
      <c r="S775" s="88"/>
      <c r="T775" s="59"/>
      <c r="U775" s="59"/>
      <c r="V775" s="59"/>
      <c r="W775" s="59"/>
      <c r="X775" s="59"/>
      <c r="Y775" s="59"/>
      <c r="Z775" s="59"/>
      <c r="AA775" s="59"/>
      <c r="AB775" s="59"/>
    </row>
    <row r="776">
      <c r="A776" s="59"/>
      <c r="B776" s="59"/>
      <c r="C776" s="70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88"/>
      <c r="P776" s="90"/>
      <c r="Q776" s="88"/>
      <c r="R776" s="88"/>
      <c r="S776" s="88"/>
      <c r="T776" s="59"/>
      <c r="U776" s="59"/>
      <c r="V776" s="59"/>
      <c r="W776" s="59"/>
      <c r="X776" s="59"/>
      <c r="Y776" s="59"/>
      <c r="Z776" s="59"/>
      <c r="AA776" s="59"/>
      <c r="AB776" s="59"/>
    </row>
    <row r="777">
      <c r="A777" s="59"/>
      <c r="B777" s="59"/>
      <c r="C777" s="70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88"/>
      <c r="P777" s="90"/>
      <c r="Q777" s="88"/>
      <c r="R777" s="88"/>
      <c r="S777" s="88"/>
      <c r="T777" s="59"/>
      <c r="U777" s="59"/>
      <c r="V777" s="59"/>
      <c r="W777" s="59"/>
      <c r="X777" s="59"/>
      <c r="Y777" s="59"/>
      <c r="Z777" s="59"/>
      <c r="AA777" s="59"/>
      <c r="AB777" s="59"/>
    </row>
    <row r="778">
      <c r="A778" s="59"/>
      <c r="B778" s="59"/>
      <c r="C778" s="70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88"/>
      <c r="P778" s="90"/>
      <c r="Q778" s="88"/>
      <c r="R778" s="88"/>
      <c r="S778" s="88"/>
      <c r="T778" s="59"/>
      <c r="U778" s="59"/>
      <c r="V778" s="59"/>
      <c r="W778" s="59"/>
      <c r="X778" s="59"/>
      <c r="Y778" s="59"/>
      <c r="Z778" s="59"/>
      <c r="AA778" s="59"/>
      <c r="AB778" s="59"/>
    </row>
    <row r="779">
      <c r="A779" s="59"/>
      <c r="B779" s="59"/>
      <c r="C779" s="70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88"/>
      <c r="P779" s="90"/>
      <c r="Q779" s="88"/>
      <c r="R779" s="88"/>
      <c r="S779" s="88"/>
      <c r="T779" s="59"/>
      <c r="U779" s="59"/>
      <c r="V779" s="59"/>
      <c r="W779" s="59"/>
      <c r="X779" s="59"/>
      <c r="Y779" s="59"/>
      <c r="Z779" s="59"/>
      <c r="AA779" s="59"/>
      <c r="AB779" s="59"/>
    </row>
    <row r="780">
      <c r="A780" s="59"/>
      <c r="B780" s="59"/>
      <c r="C780" s="70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88"/>
      <c r="P780" s="90"/>
      <c r="Q780" s="88"/>
      <c r="R780" s="88"/>
      <c r="S780" s="88"/>
      <c r="T780" s="59"/>
      <c r="U780" s="59"/>
      <c r="V780" s="59"/>
      <c r="W780" s="59"/>
      <c r="X780" s="59"/>
      <c r="Y780" s="59"/>
      <c r="Z780" s="59"/>
      <c r="AA780" s="59"/>
      <c r="AB780" s="59"/>
    </row>
    <row r="781">
      <c r="A781" s="59"/>
      <c r="B781" s="59"/>
      <c r="C781" s="70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88"/>
      <c r="P781" s="90"/>
      <c r="Q781" s="88"/>
      <c r="R781" s="88"/>
      <c r="S781" s="88"/>
      <c r="T781" s="59"/>
      <c r="U781" s="59"/>
      <c r="V781" s="59"/>
      <c r="W781" s="59"/>
      <c r="X781" s="59"/>
      <c r="Y781" s="59"/>
      <c r="Z781" s="59"/>
      <c r="AA781" s="59"/>
      <c r="AB781" s="59"/>
    </row>
    <row r="782">
      <c r="A782" s="59"/>
      <c r="B782" s="59"/>
      <c r="C782" s="70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88"/>
      <c r="P782" s="90"/>
      <c r="Q782" s="88"/>
      <c r="R782" s="88"/>
      <c r="S782" s="88"/>
      <c r="T782" s="59"/>
      <c r="U782" s="59"/>
      <c r="V782" s="59"/>
      <c r="W782" s="59"/>
      <c r="X782" s="59"/>
      <c r="Y782" s="59"/>
      <c r="Z782" s="59"/>
      <c r="AA782" s="59"/>
      <c r="AB782" s="59"/>
    </row>
    <row r="783">
      <c r="A783" s="59"/>
      <c r="B783" s="59"/>
      <c r="C783" s="70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88"/>
      <c r="P783" s="90"/>
      <c r="Q783" s="88"/>
      <c r="R783" s="88"/>
      <c r="S783" s="88"/>
      <c r="T783" s="59"/>
      <c r="U783" s="59"/>
      <c r="V783" s="59"/>
      <c r="W783" s="59"/>
      <c r="X783" s="59"/>
      <c r="Y783" s="59"/>
      <c r="Z783" s="59"/>
      <c r="AA783" s="59"/>
      <c r="AB783" s="59"/>
    </row>
    <row r="784">
      <c r="A784" s="59"/>
      <c r="B784" s="59"/>
      <c r="C784" s="70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88"/>
      <c r="P784" s="90"/>
      <c r="Q784" s="88"/>
      <c r="R784" s="88"/>
      <c r="S784" s="88"/>
      <c r="T784" s="59"/>
      <c r="U784" s="59"/>
      <c r="V784" s="59"/>
      <c r="W784" s="59"/>
      <c r="X784" s="59"/>
      <c r="Y784" s="59"/>
      <c r="Z784" s="59"/>
      <c r="AA784" s="59"/>
      <c r="AB784" s="59"/>
    </row>
    <row r="785">
      <c r="A785" s="59"/>
      <c r="B785" s="59"/>
      <c r="C785" s="70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88"/>
      <c r="P785" s="90"/>
      <c r="Q785" s="88"/>
      <c r="R785" s="88"/>
      <c r="S785" s="88"/>
      <c r="T785" s="59"/>
      <c r="U785" s="59"/>
      <c r="V785" s="59"/>
      <c r="W785" s="59"/>
      <c r="X785" s="59"/>
      <c r="Y785" s="59"/>
      <c r="Z785" s="59"/>
      <c r="AA785" s="59"/>
      <c r="AB785" s="59"/>
    </row>
    <row r="786">
      <c r="A786" s="59"/>
      <c r="B786" s="59"/>
      <c r="C786" s="70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88"/>
      <c r="P786" s="90"/>
      <c r="Q786" s="88"/>
      <c r="R786" s="88"/>
      <c r="S786" s="88"/>
      <c r="T786" s="59"/>
      <c r="U786" s="59"/>
      <c r="V786" s="59"/>
      <c r="W786" s="59"/>
      <c r="X786" s="59"/>
      <c r="Y786" s="59"/>
      <c r="Z786" s="59"/>
      <c r="AA786" s="59"/>
      <c r="AB786" s="59"/>
    </row>
    <row r="787">
      <c r="A787" s="59"/>
      <c r="B787" s="59"/>
      <c r="C787" s="70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88"/>
      <c r="P787" s="90"/>
      <c r="Q787" s="88"/>
      <c r="R787" s="88"/>
      <c r="S787" s="88"/>
      <c r="T787" s="59"/>
      <c r="U787" s="59"/>
      <c r="V787" s="59"/>
      <c r="W787" s="59"/>
      <c r="X787" s="59"/>
      <c r="Y787" s="59"/>
      <c r="Z787" s="59"/>
      <c r="AA787" s="59"/>
      <c r="AB787" s="59"/>
    </row>
    <row r="788">
      <c r="A788" s="59"/>
      <c r="B788" s="59"/>
      <c r="C788" s="70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88"/>
      <c r="P788" s="90"/>
      <c r="Q788" s="88"/>
      <c r="R788" s="88"/>
      <c r="S788" s="88"/>
      <c r="T788" s="59"/>
      <c r="U788" s="59"/>
      <c r="V788" s="59"/>
      <c r="W788" s="59"/>
      <c r="X788" s="59"/>
      <c r="Y788" s="59"/>
      <c r="Z788" s="59"/>
      <c r="AA788" s="59"/>
      <c r="AB788" s="59"/>
    </row>
    <row r="789">
      <c r="A789" s="59"/>
      <c r="B789" s="59"/>
      <c r="C789" s="70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88"/>
      <c r="P789" s="90"/>
      <c r="Q789" s="88"/>
      <c r="R789" s="88"/>
      <c r="S789" s="88"/>
      <c r="T789" s="59"/>
      <c r="U789" s="59"/>
      <c r="V789" s="59"/>
      <c r="W789" s="59"/>
      <c r="X789" s="59"/>
      <c r="Y789" s="59"/>
      <c r="Z789" s="59"/>
      <c r="AA789" s="59"/>
      <c r="AB789" s="59"/>
    </row>
    <row r="790">
      <c r="A790" s="59"/>
      <c r="B790" s="59"/>
      <c r="C790" s="70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88"/>
      <c r="P790" s="90"/>
      <c r="Q790" s="88"/>
      <c r="R790" s="88"/>
      <c r="S790" s="88"/>
      <c r="T790" s="59"/>
      <c r="U790" s="59"/>
      <c r="V790" s="59"/>
      <c r="W790" s="59"/>
      <c r="X790" s="59"/>
      <c r="Y790" s="59"/>
      <c r="Z790" s="59"/>
      <c r="AA790" s="59"/>
      <c r="AB790" s="59"/>
    </row>
    <row r="791">
      <c r="A791" s="59"/>
      <c r="B791" s="59"/>
      <c r="C791" s="70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88"/>
      <c r="P791" s="90"/>
      <c r="Q791" s="88"/>
      <c r="R791" s="88"/>
      <c r="S791" s="88"/>
      <c r="T791" s="59"/>
      <c r="U791" s="59"/>
      <c r="V791" s="59"/>
      <c r="W791" s="59"/>
      <c r="X791" s="59"/>
      <c r="Y791" s="59"/>
      <c r="Z791" s="59"/>
      <c r="AA791" s="59"/>
      <c r="AB791" s="59"/>
    </row>
    <row r="792">
      <c r="A792" s="59"/>
      <c r="B792" s="59"/>
      <c r="C792" s="70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88"/>
      <c r="P792" s="90"/>
      <c r="Q792" s="88"/>
      <c r="R792" s="88"/>
      <c r="S792" s="88"/>
      <c r="T792" s="59"/>
      <c r="U792" s="59"/>
      <c r="V792" s="59"/>
      <c r="W792" s="59"/>
      <c r="X792" s="59"/>
      <c r="Y792" s="59"/>
      <c r="Z792" s="59"/>
      <c r="AA792" s="59"/>
      <c r="AB792" s="59"/>
    </row>
    <row r="793">
      <c r="A793" s="59"/>
      <c r="B793" s="59"/>
      <c r="C793" s="70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88"/>
      <c r="P793" s="90"/>
      <c r="Q793" s="88"/>
      <c r="R793" s="88"/>
      <c r="S793" s="88"/>
      <c r="T793" s="59"/>
      <c r="U793" s="59"/>
      <c r="V793" s="59"/>
      <c r="W793" s="59"/>
      <c r="X793" s="59"/>
      <c r="Y793" s="59"/>
      <c r="Z793" s="59"/>
      <c r="AA793" s="59"/>
      <c r="AB793" s="59"/>
    </row>
    <row r="794">
      <c r="A794" s="59"/>
      <c r="B794" s="59"/>
      <c r="C794" s="70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88"/>
      <c r="P794" s="90"/>
      <c r="Q794" s="88"/>
      <c r="R794" s="88"/>
      <c r="S794" s="88"/>
      <c r="T794" s="59"/>
      <c r="U794" s="59"/>
      <c r="V794" s="59"/>
      <c r="W794" s="59"/>
      <c r="X794" s="59"/>
      <c r="Y794" s="59"/>
      <c r="Z794" s="59"/>
      <c r="AA794" s="59"/>
      <c r="AB794" s="59"/>
    </row>
    <row r="795">
      <c r="A795" s="59"/>
      <c r="B795" s="59"/>
      <c r="C795" s="70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88"/>
      <c r="P795" s="90"/>
      <c r="Q795" s="88"/>
      <c r="R795" s="88"/>
      <c r="S795" s="88"/>
      <c r="T795" s="59"/>
      <c r="U795" s="59"/>
      <c r="V795" s="59"/>
      <c r="W795" s="59"/>
      <c r="X795" s="59"/>
      <c r="Y795" s="59"/>
      <c r="Z795" s="59"/>
      <c r="AA795" s="59"/>
      <c r="AB795" s="59"/>
    </row>
    <row r="796">
      <c r="A796" s="59"/>
      <c r="B796" s="59"/>
      <c r="C796" s="70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88"/>
      <c r="P796" s="90"/>
      <c r="Q796" s="88"/>
      <c r="R796" s="88"/>
      <c r="S796" s="88"/>
      <c r="T796" s="59"/>
      <c r="U796" s="59"/>
      <c r="V796" s="59"/>
      <c r="W796" s="59"/>
      <c r="X796" s="59"/>
      <c r="Y796" s="59"/>
      <c r="Z796" s="59"/>
      <c r="AA796" s="59"/>
      <c r="AB796" s="59"/>
    </row>
    <row r="797">
      <c r="A797" s="59"/>
      <c r="B797" s="59"/>
      <c r="C797" s="70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88"/>
      <c r="P797" s="90"/>
      <c r="Q797" s="88"/>
      <c r="R797" s="88"/>
      <c r="S797" s="88"/>
      <c r="T797" s="59"/>
      <c r="U797" s="59"/>
      <c r="V797" s="59"/>
      <c r="W797" s="59"/>
      <c r="X797" s="59"/>
      <c r="Y797" s="59"/>
      <c r="Z797" s="59"/>
      <c r="AA797" s="59"/>
      <c r="AB797" s="59"/>
    </row>
    <row r="798">
      <c r="A798" s="59"/>
      <c r="B798" s="59"/>
      <c r="C798" s="70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88"/>
      <c r="P798" s="90"/>
      <c r="Q798" s="88"/>
      <c r="R798" s="88"/>
      <c r="S798" s="88"/>
      <c r="T798" s="59"/>
      <c r="U798" s="59"/>
      <c r="V798" s="59"/>
      <c r="W798" s="59"/>
      <c r="X798" s="59"/>
      <c r="Y798" s="59"/>
      <c r="Z798" s="59"/>
      <c r="AA798" s="59"/>
      <c r="AB798" s="59"/>
    </row>
    <row r="799">
      <c r="A799" s="59"/>
      <c r="B799" s="59"/>
      <c r="C799" s="70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88"/>
      <c r="P799" s="90"/>
      <c r="Q799" s="88"/>
      <c r="R799" s="88"/>
      <c r="S799" s="88"/>
      <c r="T799" s="59"/>
      <c r="U799" s="59"/>
      <c r="V799" s="59"/>
      <c r="W799" s="59"/>
      <c r="X799" s="59"/>
      <c r="Y799" s="59"/>
      <c r="Z799" s="59"/>
      <c r="AA799" s="59"/>
      <c r="AB799" s="59"/>
    </row>
    <row r="800">
      <c r="A800" s="59"/>
      <c r="B800" s="59"/>
      <c r="C800" s="70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88"/>
      <c r="P800" s="90"/>
      <c r="Q800" s="88"/>
      <c r="R800" s="88"/>
      <c r="S800" s="88"/>
      <c r="T800" s="59"/>
      <c r="U800" s="59"/>
      <c r="V800" s="59"/>
      <c r="W800" s="59"/>
      <c r="X800" s="59"/>
      <c r="Y800" s="59"/>
      <c r="Z800" s="59"/>
      <c r="AA800" s="59"/>
      <c r="AB800" s="59"/>
    </row>
    <row r="801">
      <c r="A801" s="59"/>
      <c r="B801" s="59"/>
      <c r="C801" s="70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88"/>
      <c r="P801" s="90"/>
      <c r="Q801" s="88"/>
      <c r="R801" s="88"/>
      <c r="S801" s="88"/>
      <c r="T801" s="59"/>
      <c r="U801" s="59"/>
      <c r="V801" s="59"/>
      <c r="W801" s="59"/>
      <c r="X801" s="59"/>
      <c r="Y801" s="59"/>
      <c r="Z801" s="59"/>
      <c r="AA801" s="59"/>
      <c r="AB801" s="59"/>
    </row>
    <row r="802">
      <c r="A802" s="59"/>
      <c r="B802" s="59"/>
      <c r="C802" s="70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88"/>
      <c r="P802" s="90"/>
      <c r="Q802" s="88"/>
      <c r="R802" s="88"/>
      <c r="S802" s="88"/>
      <c r="T802" s="59"/>
      <c r="U802" s="59"/>
      <c r="V802" s="59"/>
      <c r="W802" s="59"/>
      <c r="X802" s="59"/>
      <c r="Y802" s="59"/>
      <c r="Z802" s="59"/>
      <c r="AA802" s="59"/>
      <c r="AB802" s="59"/>
    </row>
    <row r="803">
      <c r="A803" s="59"/>
      <c r="B803" s="59"/>
      <c r="C803" s="70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88"/>
      <c r="P803" s="90"/>
      <c r="Q803" s="88"/>
      <c r="R803" s="88"/>
      <c r="S803" s="88"/>
      <c r="T803" s="59"/>
      <c r="U803" s="59"/>
      <c r="V803" s="59"/>
      <c r="W803" s="59"/>
      <c r="X803" s="59"/>
      <c r="Y803" s="59"/>
      <c r="Z803" s="59"/>
      <c r="AA803" s="59"/>
      <c r="AB803" s="59"/>
    </row>
    <row r="804">
      <c r="A804" s="59"/>
      <c r="B804" s="59"/>
      <c r="C804" s="70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88"/>
      <c r="P804" s="90"/>
      <c r="Q804" s="88"/>
      <c r="R804" s="88"/>
      <c r="S804" s="88"/>
      <c r="T804" s="59"/>
      <c r="U804" s="59"/>
      <c r="V804" s="59"/>
      <c r="W804" s="59"/>
      <c r="X804" s="59"/>
      <c r="Y804" s="59"/>
      <c r="Z804" s="59"/>
      <c r="AA804" s="59"/>
      <c r="AB804" s="59"/>
    </row>
    <row r="805">
      <c r="A805" s="59"/>
      <c r="B805" s="59"/>
      <c r="C805" s="70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88"/>
      <c r="P805" s="90"/>
      <c r="Q805" s="88"/>
      <c r="R805" s="88"/>
      <c r="S805" s="88"/>
      <c r="T805" s="59"/>
      <c r="U805" s="59"/>
      <c r="V805" s="59"/>
      <c r="W805" s="59"/>
      <c r="X805" s="59"/>
      <c r="Y805" s="59"/>
      <c r="Z805" s="59"/>
      <c r="AA805" s="59"/>
      <c r="AB805" s="59"/>
    </row>
    <row r="806">
      <c r="A806" s="59"/>
      <c r="B806" s="59"/>
      <c r="C806" s="70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88"/>
      <c r="P806" s="90"/>
      <c r="Q806" s="88"/>
      <c r="R806" s="88"/>
      <c r="S806" s="88"/>
      <c r="T806" s="59"/>
      <c r="U806" s="59"/>
      <c r="V806" s="59"/>
      <c r="W806" s="59"/>
      <c r="X806" s="59"/>
      <c r="Y806" s="59"/>
      <c r="Z806" s="59"/>
      <c r="AA806" s="59"/>
      <c r="AB806" s="59"/>
    </row>
    <row r="807">
      <c r="A807" s="59"/>
      <c r="B807" s="59"/>
      <c r="C807" s="70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88"/>
      <c r="P807" s="90"/>
      <c r="Q807" s="88"/>
      <c r="R807" s="88"/>
      <c r="S807" s="88"/>
      <c r="T807" s="59"/>
      <c r="U807" s="59"/>
      <c r="V807" s="59"/>
      <c r="W807" s="59"/>
      <c r="X807" s="59"/>
      <c r="Y807" s="59"/>
      <c r="Z807" s="59"/>
      <c r="AA807" s="59"/>
      <c r="AB807" s="59"/>
    </row>
    <row r="808">
      <c r="A808" s="59"/>
      <c r="B808" s="59"/>
      <c r="C808" s="70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88"/>
      <c r="P808" s="90"/>
      <c r="Q808" s="88"/>
      <c r="R808" s="88"/>
      <c r="S808" s="88"/>
      <c r="T808" s="59"/>
      <c r="U808" s="59"/>
      <c r="V808" s="59"/>
      <c r="W808" s="59"/>
      <c r="X808" s="59"/>
      <c r="Y808" s="59"/>
      <c r="Z808" s="59"/>
      <c r="AA808" s="59"/>
      <c r="AB808" s="59"/>
    </row>
    <row r="809">
      <c r="A809" s="59"/>
      <c r="B809" s="59"/>
      <c r="C809" s="70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88"/>
      <c r="P809" s="90"/>
      <c r="Q809" s="88"/>
      <c r="R809" s="88"/>
      <c r="S809" s="88"/>
      <c r="T809" s="59"/>
      <c r="U809" s="59"/>
      <c r="V809" s="59"/>
      <c r="W809" s="59"/>
      <c r="X809" s="59"/>
      <c r="Y809" s="59"/>
      <c r="Z809" s="59"/>
      <c r="AA809" s="59"/>
      <c r="AB809" s="59"/>
    </row>
    <row r="810">
      <c r="A810" s="59"/>
      <c r="B810" s="59"/>
      <c r="C810" s="70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88"/>
      <c r="P810" s="90"/>
      <c r="Q810" s="88"/>
      <c r="R810" s="88"/>
      <c r="S810" s="88"/>
      <c r="T810" s="59"/>
      <c r="U810" s="59"/>
      <c r="V810" s="59"/>
      <c r="W810" s="59"/>
      <c r="X810" s="59"/>
      <c r="Y810" s="59"/>
      <c r="Z810" s="59"/>
      <c r="AA810" s="59"/>
      <c r="AB810" s="59"/>
    </row>
    <row r="811">
      <c r="A811" s="59"/>
      <c r="B811" s="59"/>
      <c r="C811" s="70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88"/>
      <c r="P811" s="90"/>
      <c r="Q811" s="88"/>
      <c r="R811" s="88"/>
      <c r="S811" s="88"/>
      <c r="T811" s="59"/>
      <c r="U811" s="59"/>
      <c r="V811" s="59"/>
      <c r="W811" s="59"/>
      <c r="X811" s="59"/>
      <c r="Y811" s="59"/>
      <c r="Z811" s="59"/>
      <c r="AA811" s="59"/>
      <c r="AB811" s="59"/>
    </row>
    <row r="812">
      <c r="A812" s="59"/>
      <c r="B812" s="59"/>
      <c r="C812" s="70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88"/>
      <c r="P812" s="90"/>
      <c r="Q812" s="88"/>
      <c r="R812" s="88"/>
      <c r="S812" s="88"/>
      <c r="T812" s="59"/>
      <c r="U812" s="59"/>
      <c r="V812" s="59"/>
      <c r="W812" s="59"/>
      <c r="X812" s="59"/>
      <c r="Y812" s="59"/>
      <c r="Z812" s="59"/>
      <c r="AA812" s="59"/>
      <c r="AB812" s="59"/>
    </row>
    <row r="813">
      <c r="A813" s="59"/>
      <c r="B813" s="59"/>
      <c r="C813" s="70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88"/>
      <c r="P813" s="90"/>
      <c r="Q813" s="88"/>
      <c r="R813" s="88"/>
      <c r="S813" s="88"/>
      <c r="T813" s="59"/>
      <c r="U813" s="59"/>
      <c r="V813" s="59"/>
      <c r="W813" s="59"/>
      <c r="X813" s="59"/>
      <c r="Y813" s="59"/>
      <c r="Z813" s="59"/>
      <c r="AA813" s="59"/>
      <c r="AB813" s="59"/>
    </row>
    <row r="814">
      <c r="A814" s="59"/>
      <c r="B814" s="59"/>
      <c r="C814" s="70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88"/>
      <c r="P814" s="90"/>
      <c r="Q814" s="88"/>
      <c r="R814" s="88"/>
      <c r="S814" s="88"/>
      <c r="T814" s="59"/>
      <c r="U814" s="59"/>
      <c r="V814" s="59"/>
      <c r="W814" s="59"/>
      <c r="X814" s="59"/>
      <c r="Y814" s="59"/>
      <c r="Z814" s="59"/>
      <c r="AA814" s="59"/>
      <c r="AB814" s="59"/>
    </row>
    <row r="815">
      <c r="A815" s="59"/>
      <c r="B815" s="59"/>
      <c r="C815" s="70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88"/>
      <c r="P815" s="90"/>
      <c r="Q815" s="88"/>
      <c r="R815" s="88"/>
      <c r="S815" s="88"/>
      <c r="T815" s="59"/>
      <c r="U815" s="59"/>
      <c r="V815" s="59"/>
      <c r="W815" s="59"/>
      <c r="X815" s="59"/>
      <c r="Y815" s="59"/>
      <c r="Z815" s="59"/>
      <c r="AA815" s="59"/>
      <c r="AB815" s="59"/>
    </row>
    <row r="816">
      <c r="A816" s="59"/>
      <c r="B816" s="59"/>
      <c r="C816" s="70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88"/>
      <c r="P816" s="90"/>
      <c r="Q816" s="88"/>
      <c r="R816" s="88"/>
      <c r="S816" s="88"/>
      <c r="T816" s="59"/>
      <c r="U816" s="59"/>
      <c r="V816" s="59"/>
      <c r="W816" s="59"/>
      <c r="X816" s="59"/>
      <c r="Y816" s="59"/>
      <c r="Z816" s="59"/>
      <c r="AA816" s="59"/>
      <c r="AB816" s="59"/>
    </row>
    <row r="817">
      <c r="A817" s="59"/>
      <c r="B817" s="59"/>
      <c r="C817" s="70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88"/>
      <c r="P817" s="90"/>
      <c r="Q817" s="88"/>
      <c r="R817" s="88"/>
      <c r="S817" s="88"/>
      <c r="T817" s="59"/>
      <c r="U817" s="59"/>
      <c r="V817" s="59"/>
      <c r="W817" s="59"/>
      <c r="X817" s="59"/>
      <c r="Y817" s="59"/>
      <c r="Z817" s="59"/>
      <c r="AA817" s="59"/>
      <c r="AB817" s="59"/>
    </row>
    <row r="818">
      <c r="A818" s="59"/>
      <c r="B818" s="59"/>
      <c r="C818" s="70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88"/>
      <c r="P818" s="90"/>
      <c r="Q818" s="88"/>
      <c r="R818" s="88"/>
      <c r="S818" s="88"/>
      <c r="T818" s="59"/>
      <c r="U818" s="59"/>
      <c r="V818" s="59"/>
      <c r="W818" s="59"/>
      <c r="X818" s="59"/>
      <c r="Y818" s="59"/>
      <c r="Z818" s="59"/>
      <c r="AA818" s="59"/>
      <c r="AB818" s="59"/>
    </row>
    <row r="819">
      <c r="A819" s="59"/>
      <c r="B819" s="59"/>
      <c r="C819" s="70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88"/>
      <c r="P819" s="90"/>
      <c r="Q819" s="88"/>
      <c r="R819" s="88"/>
      <c r="S819" s="88"/>
      <c r="T819" s="59"/>
      <c r="U819" s="59"/>
      <c r="V819" s="59"/>
      <c r="W819" s="59"/>
      <c r="X819" s="59"/>
      <c r="Y819" s="59"/>
      <c r="Z819" s="59"/>
      <c r="AA819" s="59"/>
      <c r="AB819" s="59"/>
    </row>
    <row r="820">
      <c r="A820" s="59"/>
      <c r="B820" s="59"/>
      <c r="C820" s="70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88"/>
      <c r="P820" s="90"/>
      <c r="Q820" s="88"/>
      <c r="R820" s="88"/>
      <c r="S820" s="88"/>
      <c r="T820" s="59"/>
      <c r="U820" s="59"/>
      <c r="V820" s="59"/>
      <c r="W820" s="59"/>
      <c r="X820" s="59"/>
      <c r="Y820" s="59"/>
      <c r="Z820" s="59"/>
      <c r="AA820" s="59"/>
      <c r="AB820" s="59"/>
    </row>
    <row r="821">
      <c r="A821" s="59"/>
      <c r="B821" s="59"/>
      <c r="C821" s="70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88"/>
      <c r="P821" s="90"/>
      <c r="Q821" s="88"/>
      <c r="R821" s="88"/>
      <c r="S821" s="88"/>
      <c r="T821" s="59"/>
      <c r="U821" s="59"/>
      <c r="V821" s="59"/>
      <c r="W821" s="59"/>
      <c r="X821" s="59"/>
      <c r="Y821" s="59"/>
      <c r="Z821" s="59"/>
      <c r="AA821" s="59"/>
      <c r="AB821" s="59"/>
    </row>
    <row r="822">
      <c r="A822" s="59"/>
      <c r="B822" s="59"/>
      <c r="C822" s="70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88"/>
      <c r="P822" s="90"/>
      <c r="Q822" s="88"/>
      <c r="R822" s="88"/>
      <c r="S822" s="88"/>
      <c r="T822" s="59"/>
      <c r="U822" s="59"/>
      <c r="V822" s="59"/>
      <c r="W822" s="59"/>
      <c r="X822" s="59"/>
      <c r="Y822" s="59"/>
      <c r="Z822" s="59"/>
      <c r="AA822" s="59"/>
      <c r="AB822" s="59"/>
    </row>
    <row r="823">
      <c r="A823" s="59"/>
      <c r="B823" s="59"/>
      <c r="C823" s="70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88"/>
      <c r="P823" s="90"/>
      <c r="Q823" s="88"/>
      <c r="R823" s="88"/>
      <c r="S823" s="88"/>
      <c r="T823" s="59"/>
      <c r="U823" s="59"/>
      <c r="V823" s="59"/>
      <c r="W823" s="59"/>
      <c r="X823" s="59"/>
      <c r="Y823" s="59"/>
      <c r="Z823" s="59"/>
      <c r="AA823" s="59"/>
      <c r="AB823" s="59"/>
    </row>
    <row r="824">
      <c r="A824" s="59"/>
      <c r="B824" s="59"/>
      <c r="C824" s="70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88"/>
      <c r="P824" s="90"/>
      <c r="Q824" s="88"/>
      <c r="R824" s="88"/>
      <c r="S824" s="88"/>
      <c r="T824" s="59"/>
      <c r="U824" s="59"/>
      <c r="V824" s="59"/>
      <c r="W824" s="59"/>
      <c r="X824" s="59"/>
      <c r="Y824" s="59"/>
      <c r="Z824" s="59"/>
      <c r="AA824" s="59"/>
      <c r="AB824" s="59"/>
    </row>
    <row r="825">
      <c r="A825" s="59"/>
      <c r="B825" s="59"/>
      <c r="C825" s="70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88"/>
      <c r="P825" s="90"/>
      <c r="Q825" s="88"/>
      <c r="R825" s="88"/>
      <c r="S825" s="88"/>
      <c r="T825" s="59"/>
      <c r="U825" s="59"/>
      <c r="V825" s="59"/>
      <c r="W825" s="59"/>
      <c r="X825" s="59"/>
      <c r="Y825" s="59"/>
      <c r="Z825" s="59"/>
      <c r="AA825" s="59"/>
      <c r="AB825" s="59"/>
    </row>
    <row r="826">
      <c r="A826" s="59"/>
      <c r="B826" s="59"/>
      <c r="C826" s="70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88"/>
      <c r="P826" s="90"/>
      <c r="Q826" s="88"/>
      <c r="R826" s="88"/>
      <c r="S826" s="88"/>
      <c r="T826" s="59"/>
      <c r="U826" s="59"/>
      <c r="V826" s="59"/>
      <c r="W826" s="59"/>
      <c r="X826" s="59"/>
      <c r="Y826" s="59"/>
      <c r="Z826" s="59"/>
      <c r="AA826" s="59"/>
      <c r="AB826" s="59"/>
    </row>
    <row r="827">
      <c r="A827" s="59"/>
      <c r="B827" s="59"/>
      <c r="C827" s="70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88"/>
      <c r="P827" s="90"/>
      <c r="Q827" s="88"/>
      <c r="R827" s="88"/>
      <c r="S827" s="88"/>
      <c r="T827" s="59"/>
      <c r="U827" s="59"/>
      <c r="V827" s="59"/>
      <c r="W827" s="59"/>
      <c r="X827" s="59"/>
      <c r="Y827" s="59"/>
      <c r="Z827" s="59"/>
      <c r="AA827" s="59"/>
      <c r="AB827" s="59"/>
    </row>
    <row r="828">
      <c r="A828" s="59"/>
      <c r="B828" s="59"/>
      <c r="C828" s="70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88"/>
      <c r="P828" s="90"/>
      <c r="Q828" s="88"/>
      <c r="R828" s="88"/>
      <c r="S828" s="88"/>
      <c r="T828" s="59"/>
      <c r="U828" s="59"/>
      <c r="V828" s="59"/>
      <c r="W828" s="59"/>
      <c r="X828" s="59"/>
      <c r="Y828" s="59"/>
      <c r="Z828" s="59"/>
      <c r="AA828" s="59"/>
      <c r="AB828" s="59"/>
    </row>
    <row r="829">
      <c r="A829" s="59"/>
      <c r="B829" s="59"/>
      <c r="C829" s="70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88"/>
      <c r="P829" s="90"/>
      <c r="Q829" s="88"/>
      <c r="R829" s="88"/>
      <c r="S829" s="88"/>
      <c r="T829" s="59"/>
      <c r="U829" s="59"/>
      <c r="V829" s="59"/>
      <c r="W829" s="59"/>
      <c r="X829" s="59"/>
      <c r="Y829" s="59"/>
      <c r="Z829" s="59"/>
      <c r="AA829" s="59"/>
      <c r="AB829" s="59"/>
    </row>
    <row r="830">
      <c r="A830" s="59"/>
      <c r="B830" s="59"/>
      <c r="C830" s="70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88"/>
      <c r="P830" s="90"/>
      <c r="Q830" s="88"/>
      <c r="R830" s="88"/>
      <c r="S830" s="88"/>
      <c r="T830" s="59"/>
      <c r="U830" s="59"/>
      <c r="V830" s="59"/>
      <c r="W830" s="59"/>
      <c r="X830" s="59"/>
      <c r="Y830" s="59"/>
      <c r="Z830" s="59"/>
      <c r="AA830" s="59"/>
      <c r="AB830" s="59"/>
    </row>
    <row r="831">
      <c r="A831" s="59"/>
      <c r="B831" s="59"/>
      <c r="C831" s="70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88"/>
      <c r="P831" s="90"/>
      <c r="Q831" s="88"/>
      <c r="R831" s="88"/>
      <c r="S831" s="88"/>
      <c r="T831" s="59"/>
      <c r="U831" s="59"/>
      <c r="V831" s="59"/>
      <c r="W831" s="59"/>
      <c r="X831" s="59"/>
      <c r="Y831" s="59"/>
      <c r="Z831" s="59"/>
      <c r="AA831" s="59"/>
      <c r="AB831" s="59"/>
    </row>
    <row r="832">
      <c r="A832" s="59"/>
      <c r="B832" s="59"/>
      <c r="C832" s="70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88"/>
      <c r="P832" s="90"/>
      <c r="Q832" s="88"/>
      <c r="R832" s="88"/>
      <c r="S832" s="88"/>
      <c r="T832" s="59"/>
      <c r="U832" s="59"/>
      <c r="V832" s="59"/>
      <c r="W832" s="59"/>
      <c r="X832" s="59"/>
      <c r="Y832" s="59"/>
      <c r="Z832" s="59"/>
      <c r="AA832" s="59"/>
      <c r="AB832" s="59"/>
    </row>
    <row r="833">
      <c r="A833" s="59"/>
      <c r="B833" s="59"/>
      <c r="C833" s="70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88"/>
      <c r="P833" s="90"/>
      <c r="Q833" s="88"/>
      <c r="R833" s="88"/>
      <c r="S833" s="88"/>
      <c r="T833" s="59"/>
      <c r="U833" s="59"/>
      <c r="V833" s="59"/>
      <c r="W833" s="59"/>
      <c r="X833" s="59"/>
      <c r="Y833" s="59"/>
      <c r="Z833" s="59"/>
      <c r="AA833" s="59"/>
      <c r="AB833" s="59"/>
    </row>
    <row r="834">
      <c r="A834" s="59"/>
      <c r="B834" s="59"/>
      <c r="C834" s="70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88"/>
      <c r="P834" s="90"/>
      <c r="Q834" s="88"/>
      <c r="R834" s="88"/>
      <c r="S834" s="88"/>
      <c r="T834" s="59"/>
      <c r="U834" s="59"/>
      <c r="V834" s="59"/>
      <c r="W834" s="59"/>
      <c r="X834" s="59"/>
      <c r="Y834" s="59"/>
      <c r="Z834" s="59"/>
      <c r="AA834" s="59"/>
      <c r="AB834" s="59"/>
    </row>
    <row r="835">
      <c r="A835" s="59"/>
      <c r="B835" s="59"/>
      <c r="C835" s="70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88"/>
      <c r="P835" s="90"/>
      <c r="Q835" s="88"/>
      <c r="R835" s="88"/>
      <c r="S835" s="88"/>
      <c r="T835" s="59"/>
      <c r="U835" s="59"/>
      <c r="V835" s="59"/>
      <c r="W835" s="59"/>
      <c r="X835" s="59"/>
      <c r="Y835" s="59"/>
      <c r="Z835" s="59"/>
      <c r="AA835" s="59"/>
      <c r="AB835" s="59"/>
    </row>
    <row r="836">
      <c r="A836" s="59"/>
      <c r="B836" s="59"/>
      <c r="C836" s="70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88"/>
      <c r="P836" s="90"/>
      <c r="Q836" s="88"/>
      <c r="R836" s="88"/>
      <c r="S836" s="88"/>
      <c r="T836" s="59"/>
      <c r="U836" s="59"/>
      <c r="V836" s="59"/>
      <c r="W836" s="59"/>
      <c r="X836" s="59"/>
      <c r="Y836" s="59"/>
      <c r="Z836" s="59"/>
      <c r="AA836" s="59"/>
      <c r="AB836" s="59"/>
    </row>
    <row r="837">
      <c r="A837" s="59"/>
      <c r="B837" s="59"/>
      <c r="C837" s="70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88"/>
      <c r="P837" s="90"/>
      <c r="Q837" s="88"/>
      <c r="R837" s="88"/>
      <c r="S837" s="88"/>
      <c r="T837" s="59"/>
      <c r="U837" s="59"/>
      <c r="V837" s="59"/>
      <c r="W837" s="59"/>
      <c r="X837" s="59"/>
      <c r="Y837" s="59"/>
      <c r="Z837" s="59"/>
      <c r="AA837" s="59"/>
      <c r="AB837" s="59"/>
    </row>
    <row r="838">
      <c r="A838" s="59"/>
      <c r="B838" s="59"/>
      <c r="C838" s="70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88"/>
      <c r="P838" s="90"/>
      <c r="Q838" s="88"/>
      <c r="R838" s="88"/>
      <c r="S838" s="88"/>
      <c r="T838" s="59"/>
      <c r="U838" s="59"/>
      <c r="V838" s="59"/>
      <c r="W838" s="59"/>
      <c r="X838" s="59"/>
      <c r="Y838" s="59"/>
      <c r="Z838" s="59"/>
      <c r="AA838" s="59"/>
      <c r="AB838" s="59"/>
    </row>
    <row r="839">
      <c r="A839" s="59"/>
      <c r="B839" s="59"/>
      <c r="C839" s="70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88"/>
      <c r="P839" s="90"/>
      <c r="Q839" s="88"/>
      <c r="R839" s="88"/>
      <c r="S839" s="88"/>
      <c r="T839" s="59"/>
      <c r="U839" s="59"/>
      <c r="V839" s="59"/>
      <c r="W839" s="59"/>
      <c r="X839" s="59"/>
      <c r="Y839" s="59"/>
      <c r="Z839" s="59"/>
      <c r="AA839" s="59"/>
      <c r="AB839" s="59"/>
    </row>
    <row r="840">
      <c r="A840" s="59"/>
      <c r="B840" s="59"/>
      <c r="C840" s="70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88"/>
      <c r="P840" s="90"/>
      <c r="Q840" s="88"/>
      <c r="R840" s="88"/>
      <c r="S840" s="88"/>
      <c r="T840" s="59"/>
      <c r="U840" s="59"/>
      <c r="V840" s="59"/>
      <c r="W840" s="59"/>
      <c r="X840" s="59"/>
      <c r="Y840" s="59"/>
      <c r="Z840" s="59"/>
      <c r="AA840" s="59"/>
      <c r="AB840" s="59"/>
    </row>
    <row r="841">
      <c r="A841" s="59"/>
      <c r="B841" s="59"/>
      <c r="C841" s="70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88"/>
      <c r="P841" s="90"/>
      <c r="Q841" s="88"/>
      <c r="R841" s="88"/>
      <c r="S841" s="88"/>
      <c r="T841" s="59"/>
      <c r="U841" s="59"/>
      <c r="V841" s="59"/>
      <c r="W841" s="59"/>
      <c r="X841" s="59"/>
      <c r="Y841" s="59"/>
      <c r="Z841" s="59"/>
      <c r="AA841" s="59"/>
      <c r="AB841" s="59"/>
    </row>
    <row r="842">
      <c r="A842" s="59"/>
      <c r="B842" s="59"/>
      <c r="C842" s="70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88"/>
      <c r="P842" s="90"/>
      <c r="Q842" s="88"/>
      <c r="R842" s="88"/>
      <c r="S842" s="88"/>
      <c r="T842" s="59"/>
      <c r="U842" s="59"/>
      <c r="V842" s="59"/>
      <c r="W842" s="59"/>
      <c r="X842" s="59"/>
      <c r="Y842" s="59"/>
      <c r="Z842" s="59"/>
      <c r="AA842" s="59"/>
      <c r="AB842" s="59"/>
    </row>
    <row r="843">
      <c r="A843" s="59"/>
      <c r="B843" s="59"/>
      <c r="C843" s="70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88"/>
      <c r="P843" s="90"/>
      <c r="Q843" s="88"/>
      <c r="R843" s="88"/>
      <c r="S843" s="88"/>
      <c r="T843" s="59"/>
      <c r="U843" s="59"/>
      <c r="V843" s="59"/>
      <c r="W843" s="59"/>
      <c r="X843" s="59"/>
      <c r="Y843" s="59"/>
      <c r="Z843" s="59"/>
      <c r="AA843" s="59"/>
      <c r="AB843" s="59"/>
    </row>
    <row r="844">
      <c r="A844" s="59"/>
      <c r="B844" s="59"/>
      <c r="C844" s="70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88"/>
      <c r="P844" s="90"/>
      <c r="Q844" s="88"/>
      <c r="R844" s="88"/>
      <c r="S844" s="88"/>
      <c r="T844" s="59"/>
      <c r="U844" s="59"/>
      <c r="V844" s="59"/>
      <c r="W844" s="59"/>
      <c r="X844" s="59"/>
      <c r="Y844" s="59"/>
      <c r="Z844" s="59"/>
      <c r="AA844" s="59"/>
      <c r="AB844" s="59"/>
    </row>
    <row r="845">
      <c r="A845" s="59"/>
      <c r="B845" s="59"/>
      <c r="C845" s="70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88"/>
      <c r="P845" s="90"/>
      <c r="Q845" s="88"/>
      <c r="R845" s="88"/>
      <c r="S845" s="88"/>
      <c r="T845" s="59"/>
      <c r="U845" s="59"/>
      <c r="V845" s="59"/>
      <c r="W845" s="59"/>
      <c r="X845" s="59"/>
      <c r="Y845" s="59"/>
      <c r="Z845" s="59"/>
      <c r="AA845" s="59"/>
      <c r="AB845" s="59"/>
    </row>
    <row r="846">
      <c r="A846" s="59"/>
      <c r="B846" s="59"/>
      <c r="C846" s="70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88"/>
      <c r="P846" s="90"/>
      <c r="Q846" s="88"/>
      <c r="R846" s="88"/>
      <c r="S846" s="88"/>
      <c r="T846" s="59"/>
      <c r="U846" s="59"/>
      <c r="V846" s="59"/>
      <c r="W846" s="59"/>
      <c r="X846" s="59"/>
      <c r="Y846" s="59"/>
      <c r="Z846" s="59"/>
      <c r="AA846" s="59"/>
      <c r="AB846" s="59"/>
    </row>
    <row r="847">
      <c r="A847" s="59"/>
      <c r="B847" s="59"/>
      <c r="C847" s="70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88"/>
      <c r="P847" s="90"/>
      <c r="Q847" s="88"/>
      <c r="R847" s="88"/>
      <c r="S847" s="88"/>
      <c r="T847" s="59"/>
      <c r="U847" s="59"/>
      <c r="V847" s="59"/>
      <c r="W847" s="59"/>
      <c r="X847" s="59"/>
      <c r="Y847" s="59"/>
      <c r="Z847" s="59"/>
      <c r="AA847" s="59"/>
      <c r="AB847" s="59"/>
    </row>
    <row r="848">
      <c r="A848" s="59"/>
      <c r="B848" s="59"/>
      <c r="C848" s="70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88"/>
      <c r="P848" s="90"/>
      <c r="Q848" s="88"/>
      <c r="R848" s="88"/>
      <c r="S848" s="88"/>
      <c r="T848" s="59"/>
      <c r="U848" s="59"/>
      <c r="V848" s="59"/>
      <c r="W848" s="59"/>
      <c r="X848" s="59"/>
      <c r="Y848" s="59"/>
      <c r="Z848" s="59"/>
      <c r="AA848" s="59"/>
      <c r="AB848" s="59"/>
    </row>
    <row r="849">
      <c r="A849" s="59"/>
      <c r="B849" s="59"/>
      <c r="C849" s="70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88"/>
      <c r="P849" s="90"/>
      <c r="Q849" s="88"/>
      <c r="R849" s="88"/>
      <c r="S849" s="88"/>
      <c r="T849" s="59"/>
      <c r="U849" s="59"/>
      <c r="V849" s="59"/>
      <c r="W849" s="59"/>
      <c r="X849" s="59"/>
      <c r="Y849" s="59"/>
      <c r="Z849" s="59"/>
      <c r="AA849" s="59"/>
      <c r="AB849" s="59"/>
    </row>
    <row r="850">
      <c r="A850" s="59"/>
      <c r="B850" s="59"/>
      <c r="C850" s="70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88"/>
      <c r="P850" s="90"/>
      <c r="Q850" s="88"/>
      <c r="R850" s="88"/>
      <c r="S850" s="88"/>
      <c r="T850" s="59"/>
      <c r="U850" s="59"/>
      <c r="V850" s="59"/>
      <c r="W850" s="59"/>
      <c r="X850" s="59"/>
      <c r="Y850" s="59"/>
      <c r="Z850" s="59"/>
      <c r="AA850" s="59"/>
      <c r="AB850" s="59"/>
    </row>
    <row r="851">
      <c r="A851" s="59"/>
      <c r="B851" s="59"/>
      <c r="C851" s="70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88"/>
      <c r="P851" s="90"/>
      <c r="Q851" s="88"/>
      <c r="R851" s="88"/>
      <c r="S851" s="88"/>
      <c r="T851" s="59"/>
      <c r="U851" s="59"/>
      <c r="V851" s="59"/>
      <c r="W851" s="59"/>
      <c r="X851" s="59"/>
      <c r="Y851" s="59"/>
      <c r="Z851" s="59"/>
      <c r="AA851" s="59"/>
      <c r="AB851" s="59"/>
    </row>
    <row r="852">
      <c r="A852" s="59"/>
      <c r="B852" s="59"/>
      <c r="C852" s="70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88"/>
      <c r="P852" s="90"/>
      <c r="Q852" s="88"/>
      <c r="R852" s="88"/>
      <c r="S852" s="88"/>
      <c r="T852" s="59"/>
      <c r="U852" s="59"/>
      <c r="V852" s="59"/>
      <c r="W852" s="59"/>
      <c r="X852" s="59"/>
      <c r="Y852" s="59"/>
      <c r="Z852" s="59"/>
      <c r="AA852" s="59"/>
      <c r="AB852" s="59"/>
    </row>
    <row r="853">
      <c r="A853" s="59"/>
      <c r="B853" s="59"/>
      <c r="C853" s="70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88"/>
      <c r="P853" s="90"/>
      <c r="Q853" s="88"/>
      <c r="R853" s="88"/>
      <c r="S853" s="88"/>
      <c r="T853" s="59"/>
      <c r="U853" s="59"/>
      <c r="V853" s="59"/>
      <c r="W853" s="59"/>
      <c r="X853" s="59"/>
      <c r="Y853" s="59"/>
      <c r="Z853" s="59"/>
      <c r="AA853" s="59"/>
      <c r="AB853" s="59"/>
    </row>
    <row r="854">
      <c r="A854" s="59"/>
      <c r="B854" s="59"/>
      <c r="C854" s="70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88"/>
      <c r="P854" s="90"/>
      <c r="Q854" s="88"/>
      <c r="R854" s="88"/>
      <c r="S854" s="88"/>
      <c r="T854" s="59"/>
      <c r="U854" s="59"/>
      <c r="V854" s="59"/>
      <c r="W854" s="59"/>
      <c r="X854" s="59"/>
      <c r="Y854" s="59"/>
      <c r="Z854" s="59"/>
      <c r="AA854" s="59"/>
      <c r="AB854" s="59"/>
    </row>
    <row r="855">
      <c r="A855" s="59"/>
      <c r="B855" s="59"/>
      <c r="C855" s="70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88"/>
      <c r="P855" s="90"/>
      <c r="Q855" s="88"/>
      <c r="R855" s="88"/>
      <c r="S855" s="88"/>
      <c r="T855" s="59"/>
      <c r="U855" s="59"/>
      <c r="V855" s="59"/>
      <c r="W855" s="59"/>
      <c r="X855" s="59"/>
      <c r="Y855" s="59"/>
      <c r="Z855" s="59"/>
      <c r="AA855" s="59"/>
      <c r="AB855" s="59"/>
    </row>
    <row r="856">
      <c r="A856" s="59"/>
      <c r="B856" s="59"/>
      <c r="C856" s="70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88"/>
      <c r="P856" s="90"/>
      <c r="Q856" s="88"/>
      <c r="R856" s="88"/>
      <c r="S856" s="88"/>
      <c r="T856" s="59"/>
      <c r="U856" s="59"/>
      <c r="V856" s="59"/>
      <c r="W856" s="59"/>
      <c r="X856" s="59"/>
      <c r="Y856" s="59"/>
      <c r="Z856" s="59"/>
      <c r="AA856" s="59"/>
      <c r="AB856" s="59"/>
    </row>
    <row r="857">
      <c r="A857" s="59"/>
      <c r="B857" s="59"/>
      <c r="C857" s="70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88"/>
      <c r="P857" s="90"/>
      <c r="Q857" s="88"/>
      <c r="R857" s="88"/>
      <c r="S857" s="88"/>
      <c r="T857" s="59"/>
      <c r="U857" s="59"/>
      <c r="V857" s="59"/>
      <c r="W857" s="59"/>
      <c r="X857" s="59"/>
      <c r="Y857" s="59"/>
      <c r="Z857" s="59"/>
      <c r="AA857" s="59"/>
      <c r="AB857" s="59"/>
    </row>
    <row r="858">
      <c r="A858" s="59"/>
      <c r="B858" s="59"/>
      <c r="C858" s="70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88"/>
      <c r="P858" s="90"/>
      <c r="Q858" s="88"/>
      <c r="R858" s="88"/>
      <c r="S858" s="88"/>
      <c r="T858" s="59"/>
      <c r="U858" s="59"/>
      <c r="V858" s="59"/>
      <c r="W858" s="59"/>
      <c r="X858" s="59"/>
      <c r="Y858" s="59"/>
      <c r="Z858" s="59"/>
      <c r="AA858" s="59"/>
      <c r="AB858" s="59"/>
    </row>
    <row r="859">
      <c r="A859" s="59"/>
      <c r="B859" s="59"/>
      <c r="C859" s="70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88"/>
      <c r="P859" s="90"/>
      <c r="Q859" s="88"/>
      <c r="R859" s="88"/>
      <c r="S859" s="88"/>
      <c r="T859" s="59"/>
      <c r="U859" s="59"/>
      <c r="V859" s="59"/>
      <c r="W859" s="59"/>
      <c r="X859" s="59"/>
      <c r="Y859" s="59"/>
      <c r="Z859" s="59"/>
      <c r="AA859" s="59"/>
      <c r="AB859" s="59"/>
    </row>
    <row r="860">
      <c r="A860" s="59"/>
      <c r="B860" s="59"/>
      <c r="C860" s="70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88"/>
      <c r="P860" s="90"/>
      <c r="Q860" s="88"/>
      <c r="R860" s="88"/>
      <c r="S860" s="88"/>
      <c r="T860" s="59"/>
      <c r="U860" s="59"/>
      <c r="V860" s="59"/>
      <c r="W860" s="59"/>
      <c r="X860" s="59"/>
      <c r="Y860" s="59"/>
      <c r="Z860" s="59"/>
      <c r="AA860" s="59"/>
      <c r="AB860" s="59"/>
    </row>
    <row r="861">
      <c r="A861" s="59"/>
      <c r="B861" s="59"/>
      <c r="C861" s="70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88"/>
      <c r="P861" s="90"/>
      <c r="Q861" s="88"/>
      <c r="R861" s="88"/>
      <c r="S861" s="88"/>
      <c r="T861" s="59"/>
      <c r="U861" s="59"/>
      <c r="V861" s="59"/>
      <c r="W861" s="59"/>
      <c r="X861" s="59"/>
      <c r="Y861" s="59"/>
      <c r="Z861" s="59"/>
      <c r="AA861" s="59"/>
      <c r="AB861" s="59"/>
    </row>
    <row r="862">
      <c r="A862" s="59"/>
      <c r="B862" s="59"/>
      <c r="C862" s="70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88"/>
      <c r="P862" s="90"/>
      <c r="Q862" s="88"/>
      <c r="R862" s="88"/>
      <c r="S862" s="88"/>
      <c r="T862" s="59"/>
      <c r="U862" s="59"/>
      <c r="V862" s="59"/>
      <c r="W862" s="59"/>
      <c r="X862" s="59"/>
      <c r="Y862" s="59"/>
      <c r="Z862" s="59"/>
      <c r="AA862" s="59"/>
      <c r="AB862" s="59"/>
    </row>
    <row r="863">
      <c r="A863" s="59"/>
      <c r="B863" s="59"/>
      <c r="C863" s="70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88"/>
      <c r="P863" s="90"/>
      <c r="Q863" s="88"/>
      <c r="R863" s="88"/>
      <c r="S863" s="88"/>
      <c r="T863" s="59"/>
      <c r="U863" s="59"/>
      <c r="V863" s="59"/>
      <c r="W863" s="59"/>
      <c r="X863" s="59"/>
      <c r="Y863" s="59"/>
      <c r="Z863" s="59"/>
      <c r="AA863" s="59"/>
      <c r="AB863" s="59"/>
    </row>
    <row r="864">
      <c r="A864" s="59"/>
      <c r="B864" s="59"/>
      <c r="C864" s="70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88"/>
      <c r="P864" s="90"/>
      <c r="Q864" s="88"/>
      <c r="R864" s="88"/>
      <c r="S864" s="88"/>
      <c r="T864" s="59"/>
      <c r="U864" s="59"/>
      <c r="V864" s="59"/>
      <c r="W864" s="59"/>
      <c r="X864" s="59"/>
      <c r="Y864" s="59"/>
      <c r="Z864" s="59"/>
      <c r="AA864" s="59"/>
      <c r="AB864" s="59"/>
    </row>
    <row r="865">
      <c r="A865" s="59"/>
      <c r="B865" s="59"/>
      <c r="C865" s="70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88"/>
      <c r="P865" s="90"/>
      <c r="Q865" s="88"/>
      <c r="R865" s="88"/>
      <c r="S865" s="88"/>
      <c r="T865" s="59"/>
      <c r="U865" s="59"/>
      <c r="V865" s="59"/>
      <c r="W865" s="59"/>
      <c r="X865" s="59"/>
      <c r="Y865" s="59"/>
      <c r="Z865" s="59"/>
      <c r="AA865" s="59"/>
      <c r="AB865" s="59"/>
    </row>
    <row r="866">
      <c r="A866" s="59"/>
      <c r="B866" s="59"/>
      <c r="C866" s="70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88"/>
      <c r="P866" s="90"/>
      <c r="Q866" s="88"/>
      <c r="R866" s="88"/>
      <c r="S866" s="88"/>
      <c r="T866" s="59"/>
      <c r="U866" s="59"/>
      <c r="V866" s="59"/>
      <c r="W866" s="59"/>
      <c r="X866" s="59"/>
      <c r="Y866" s="59"/>
      <c r="Z866" s="59"/>
      <c r="AA866" s="59"/>
      <c r="AB866" s="59"/>
    </row>
    <row r="867">
      <c r="A867" s="59"/>
      <c r="B867" s="59"/>
      <c r="C867" s="70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88"/>
      <c r="P867" s="90"/>
      <c r="Q867" s="88"/>
      <c r="R867" s="88"/>
      <c r="S867" s="88"/>
      <c r="T867" s="59"/>
      <c r="U867" s="59"/>
      <c r="V867" s="59"/>
      <c r="W867" s="59"/>
      <c r="X867" s="59"/>
      <c r="Y867" s="59"/>
      <c r="Z867" s="59"/>
      <c r="AA867" s="59"/>
      <c r="AB867" s="59"/>
    </row>
    <row r="868">
      <c r="A868" s="59"/>
      <c r="B868" s="59"/>
      <c r="C868" s="70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88"/>
      <c r="P868" s="90"/>
      <c r="Q868" s="88"/>
      <c r="R868" s="88"/>
      <c r="S868" s="88"/>
      <c r="T868" s="59"/>
      <c r="U868" s="59"/>
      <c r="V868" s="59"/>
      <c r="W868" s="59"/>
      <c r="X868" s="59"/>
      <c r="Y868" s="59"/>
      <c r="Z868" s="59"/>
      <c r="AA868" s="59"/>
      <c r="AB868" s="59"/>
    </row>
    <row r="869">
      <c r="A869" s="59"/>
      <c r="B869" s="59"/>
      <c r="C869" s="70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88"/>
      <c r="P869" s="90"/>
      <c r="Q869" s="88"/>
      <c r="R869" s="88"/>
      <c r="S869" s="88"/>
      <c r="T869" s="59"/>
      <c r="U869" s="59"/>
      <c r="V869" s="59"/>
      <c r="W869" s="59"/>
      <c r="X869" s="59"/>
      <c r="Y869" s="59"/>
      <c r="Z869" s="59"/>
      <c r="AA869" s="59"/>
      <c r="AB869" s="59"/>
    </row>
    <row r="870">
      <c r="A870" s="59"/>
      <c r="B870" s="59"/>
      <c r="C870" s="70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88"/>
      <c r="P870" s="90"/>
      <c r="Q870" s="88"/>
      <c r="R870" s="88"/>
      <c r="S870" s="88"/>
      <c r="T870" s="59"/>
      <c r="U870" s="59"/>
      <c r="V870" s="59"/>
      <c r="W870" s="59"/>
      <c r="X870" s="59"/>
      <c r="Y870" s="59"/>
      <c r="Z870" s="59"/>
      <c r="AA870" s="59"/>
      <c r="AB870" s="59"/>
    </row>
    <row r="871">
      <c r="A871" s="59"/>
      <c r="B871" s="59"/>
      <c r="C871" s="70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88"/>
      <c r="P871" s="90"/>
      <c r="Q871" s="88"/>
      <c r="R871" s="88"/>
      <c r="S871" s="88"/>
      <c r="T871" s="59"/>
      <c r="U871" s="59"/>
      <c r="V871" s="59"/>
      <c r="W871" s="59"/>
      <c r="X871" s="59"/>
      <c r="Y871" s="59"/>
      <c r="Z871" s="59"/>
      <c r="AA871" s="59"/>
      <c r="AB871" s="59"/>
    </row>
    <row r="872">
      <c r="A872" s="59"/>
      <c r="B872" s="59"/>
      <c r="C872" s="70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88"/>
      <c r="P872" s="90"/>
      <c r="Q872" s="88"/>
      <c r="R872" s="88"/>
      <c r="S872" s="88"/>
      <c r="T872" s="59"/>
      <c r="U872" s="59"/>
      <c r="V872" s="59"/>
      <c r="W872" s="59"/>
      <c r="X872" s="59"/>
      <c r="Y872" s="59"/>
      <c r="Z872" s="59"/>
      <c r="AA872" s="59"/>
      <c r="AB872" s="59"/>
    </row>
    <row r="873">
      <c r="A873" s="59"/>
      <c r="B873" s="59"/>
      <c r="C873" s="70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88"/>
      <c r="P873" s="90"/>
      <c r="Q873" s="88"/>
      <c r="R873" s="88"/>
      <c r="S873" s="88"/>
      <c r="T873" s="59"/>
      <c r="U873" s="59"/>
      <c r="V873" s="59"/>
      <c r="W873" s="59"/>
      <c r="X873" s="59"/>
      <c r="Y873" s="59"/>
      <c r="Z873" s="59"/>
      <c r="AA873" s="59"/>
      <c r="AB873" s="59"/>
    </row>
    <row r="874">
      <c r="A874" s="59"/>
      <c r="B874" s="59"/>
      <c r="C874" s="70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88"/>
      <c r="P874" s="90"/>
      <c r="Q874" s="88"/>
      <c r="R874" s="88"/>
      <c r="S874" s="88"/>
      <c r="T874" s="59"/>
      <c r="U874" s="59"/>
      <c r="V874" s="59"/>
      <c r="W874" s="59"/>
      <c r="X874" s="59"/>
      <c r="Y874" s="59"/>
      <c r="Z874" s="59"/>
      <c r="AA874" s="59"/>
      <c r="AB874" s="59"/>
    </row>
    <row r="875">
      <c r="A875" s="59"/>
      <c r="B875" s="59"/>
      <c r="C875" s="70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88"/>
      <c r="P875" s="90"/>
      <c r="Q875" s="88"/>
      <c r="R875" s="88"/>
      <c r="S875" s="88"/>
      <c r="T875" s="59"/>
      <c r="U875" s="59"/>
      <c r="V875" s="59"/>
      <c r="W875" s="59"/>
      <c r="X875" s="59"/>
      <c r="Y875" s="59"/>
      <c r="Z875" s="59"/>
      <c r="AA875" s="59"/>
      <c r="AB875" s="59"/>
    </row>
    <row r="876">
      <c r="A876" s="59"/>
      <c r="B876" s="59"/>
      <c r="C876" s="70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88"/>
      <c r="P876" s="90"/>
      <c r="Q876" s="88"/>
      <c r="R876" s="88"/>
      <c r="S876" s="88"/>
      <c r="T876" s="59"/>
      <c r="U876" s="59"/>
      <c r="V876" s="59"/>
      <c r="W876" s="59"/>
      <c r="X876" s="59"/>
      <c r="Y876" s="59"/>
      <c r="Z876" s="59"/>
      <c r="AA876" s="59"/>
      <c r="AB876" s="59"/>
    </row>
    <row r="877">
      <c r="A877" s="59"/>
      <c r="B877" s="59"/>
      <c r="C877" s="70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88"/>
      <c r="P877" s="90"/>
      <c r="Q877" s="88"/>
      <c r="R877" s="88"/>
      <c r="S877" s="88"/>
      <c r="T877" s="59"/>
      <c r="U877" s="59"/>
      <c r="V877" s="59"/>
      <c r="W877" s="59"/>
      <c r="X877" s="59"/>
      <c r="Y877" s="59"/>
      <c r="Z877" s="59"/>
      <c r="AA877" s="59"/>
      <c r="AB877" s="59"/>
    </row>
    <row r="878">
      <c r="A878" s="59"/>
      <c r="B878" s="59"/>
      <c r="C878" s="70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88"/>
      <c r="P878" s="90"/>
      <c r="Q878" s="88"/>
      <c r="R878" s="88"/>
      <c r="S878" s="88"/>
      <c r="T878" s="59"/>
      <c r="U878" s="59"/>
      <c r="V878" s="59"/>
      <c r="W878" s="59"/>
      <c r="X878" s="59"/>
      <c r="Y878" s="59"/>
      <c r="Z878" s="59"/>
      <c r="AA878" s="59"/>
      <c r="AB878" s="59"/>
    </row>
    <row r="879">
      <c r="A879" s="59"/>
      <c r="B879" s="59"/>
      <c r="C879" s="70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88"/>
      <c r="P879" s="90"/>
      <c r="Q879" s="88"/>
      <c r="R879" s="88"/>
      <c r="S879" s="88"/>
      <c r="T879" s="59"/>
      <c r="U879" s="59"/>
      <c r="V879" s="59"/>
      <c r="W879" s="59"/>
      <c r="X879" s="59"/>
      <c r="Y879" s="59"/>
      <c r="Z879" s="59"/>
      <c r="AA879" s="59"/>
      <c r="AB879" s="59"/>
    </row>
    <row r="880">
      <c r="A880" s="59"/>
      <c r="B880" s="59"/>
      <c r="C880" s="70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88"/>
      <c r="P880" s="90"/>
      <c r="Q880" s="88"/>
      <c r="R880" s="88"/>
      <c r="S880" s="88"/>
      <c r="T880" s="59"/>
      <c r="U880" s="59"/>
      <c r="V880" s="59"/>
      <c r="W880" s="59"/>
      <c r="X880" s="59"/>
      <c r="Y880" s="59"/>
      <c r="Z880" s="59"/>
      <c r="AA880" s="59"/>
      <c r="AB880" s="59"/>
    </row>
    <row r="881">
      <c r="A881" s="59"/>
      <c r="B881" s="59"/>
      <c r="C881" s="70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88"/>
      <c r="P881" s="90"/>
      <c r="Q881" s="88"/>
      <c r="R881" s="88"/>
      <c r="S881" s="88"/>
      <c r="T881" s="59"/>
      <c r="U881" s="59"/>
      <c r="V881" s="59"/>
      <c r="W881" s="59"/>
      <c r="X881" s="59"/>
      <c r="Y881" s="59"/>
      <c r="Z881" s="59"/>
      <c r="AA881" s="59"/>
      <c r="AB881" s="59"/>
    </row>
    <row r="882">
      <c r="A882" s="59"/>
      <c r="B882" s="59"/>
      <c r="C882" s="70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88"/>
      <c r="P882" s="90"/>
      <c r="Q882" s="88"/>
      <c r="R882" s="88"/>
      <c r="S882" s="88"/>
      <c r="T882" s="59"/>
      <c r="U882" s="59"/>
      <c r="V882" s="59"/>
      <c r="W882" s="59"/>
      <c r="X882" s="59"/>
      <c r="Y882" s="59"/>
      <c r="Z882" s="59"/>
      <c r="AA882" s="59"/>
      <c r="AB882" s="59"/>
    </row>
    <row r="883">
      <c r="A883" s="59"/>
      <c r="B883" s="59"/>
      <c r="C883" s="70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88"/>
      <c r="P883" s="90"/>
      <c r="Q883" s="88"/>
      <c r="R883" s="88"/>
      <c r="S883" s="88"/>
      <c r="T883" s="59"/>
      <c r="U883" s="59"/>
      <c r="V883" s="59"/>
      <c r="W883" s="59"/>
      <c r="X883" s="59"/>
      <c r="Y883" s="59"/>
      <c r="Z883" s="59"/>
      <c r="AA883" s="59"/>
      <c r="AB883" s="59"/>
    </row>
    <row r="884">
      <c r="A884" s="59"/>
      <c r="B884" s="59"/>
      <c r="C884" s="70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88"/>
      <c r="P884" s="90"/>
      <c r="Q884" s="88"/>
      <c r="R884" s="88"/>
      <c r="S884" s="88"/>
      <c r="T884" s="59"/>
      <c r="U884" s="59"/>
      <c r="V884" s="59"/>
      <c r="W884" s="59"/>
      <c r="X884" s="59"/>
      <c r="Y884" s="59"/>
      <c r="Z884" s="59"/>
      <c r="AA884" s="59"/>
      <c r="AB884" s="59"/>
    </row>
    <row r="885">
      <c r="A885" s="59"/>
      <c r="B885" s="59"/>
      <c r="C885" s="70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88"/>
      <c r="P885" s="90"/>
      <c r="Q885" s="88"/>
      <c r="R885" s="88"/>
      <c r="S885" s="88"/>
      <c r="T885" s="59"/>
      <c r="U885" s="59"/>
      <c r="V885" s="59"/>
      <c r="W885" s="59"/>
      <c r="X885" s="59"/>
      <c r="Y885" s="59"/>
      <c r="Z885" s="59"/>
      <c r="AA885" s="59"/>
      <c r="AB885" s="59"/>
    </row>
    <row r="886">
      <c r="A886" s="59"/>
      <c r="B886" s="59"/>
      <c r="C886" s="70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88"/>
      <c r="P886" s="90"/>
      <c r="Q886" s="88"/>
      <c r="R886" s="88"/>
      <c r="S886" s="88"/>
      <c r="T886" s="59"/>
      <c r="U886" s="59"/>
      <c r="V886" s="59"/>
      <c r="W886" s="59"/>
      <c r="X886" s="59"/>
      <c r="Y886" s="59"/>
      <c r="Z886" s="59"/>
      <c r="AA886" s="59"/>
      <c r="AB886" s="59"/>
    </row>
    <row r="887">
      <c r="A887" s="59"/>
      <c r="B887" s="59"/>
      <c r="C887" s="70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88"/>
      <c r="P887" s="90"/>
      <c r="Q887" s="88"/>
      <c r="R887" s="88"/>
      <c r="S887" s="88"/>
      <c r="T887" s="59"/>
      <c r="U887" s="59"/>
      <c r="V887" s="59"/>
      <c r="W887" s="59"/>
      <c r="X887" s="59"/>
      <c r="Y887" s="59"/>
      <c r="Z887" s="59"/>
      <c r="AA887" s="59"/>
      <c r="AB887" s="59"/>
    </row>
    <row r="888">
      <c r="A888" s="59"/>
      <c r="B888" s="59"/>
      <c r="C888" s="70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88"/>
      <c r="P888" s="90"/>
      <c r="Q888" s="88"/>
      <c r="R888" s="88"/>
      <c r="S888" s="88"/>
      <c r="T888" s="59"/>
      <c r="U888" s="59"/>
      <c r="V888" s="59"/>
      <c r="W888" s="59"/>
      <c r="X888" s="59"/>
      <c r="Y888" s="59"/>
      <c r="Z888" s="59"/>
      <c r="AA888" s="59"/>
      <c r="AB888" s="59"/>
    </row>
    <row r="889">
      <c r="A889" s="59"/>
      <c r="B889" s="59"/>
      <c r="C889" s="70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88"/>
      <c r="P889" s="90"/>
      <c r="Q889" s="88"/>
      <c r="R889" s="88"/>
      <c r="S889" s="88"/>
      <c r="T889" s="59"/>
      <c r="U889" s="59"/>
      <c r="V889" s="59"/>
      <c r="W889" s="59"/>
      <c r="X889" s="59"/>
      <c r="Y889" s="59"/>
      <c r="Z889" s="59"/>
      <c r="AA889" s="59"/>
      <c r="AB889" s="59"/>
    </row>
    <row r="890">
      <c r="A890" s="59"/>
      <c r="B890" s="59"/>
      <c r="C890" s="70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88"/>
      <c r="P890" s="90"/>
      <c r="Q890" s="88"/>
      <c r="R890" s="88"/>
      <c r="S890" s="88"/>
      <c r="T890" s="59"/>
      <c r="U890" s="59"/>
      <c r="V890" s="59"/>
      <c r="W890" s="59"/>
      <c r="X890" s="59"/>
      <c r="Y890" s="59"/>
      <c r="Z890" s="59"/>
      <c r="AA890" s="59"/>
      <c r="AB890" s="59"/>
    </row>
    <row r="891">
      <c r="A891" s="59"/>
      <c r="B891" s="59"/>
      <c r="C891" s="70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88"/>
      <c r="P891" s="90"/>
      <c r="Q891" s="88"/>
      <c r="R891" s="88"/>
      <c r="S891" s="88"/>
      <c r="T891" s="59"/>
      <c r="U891" s="59"/>
      <c r="V891" s="59"/>
      <c r="W891" s="59"/>
      <c r="X891" s="59"/>
      <c r="Y891" s="59"/>
      <c r="Z891" s="59"/>
      <c r="AA891" s="59"/>
      <c r="AB891" s="59"/>
    </row>
    <row r="892">
      <c r="A892" s="59"/>
      <c r="B892" s="59"/>
      <c r="C892" s="70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88"/>
      <c r="P892" s="90"/>
      <c r="Q892" s="88"/>
      <c r="R892" s="88"/>
      <c r="S892" s="88"/>
      <c r="T892" s="59"/>
      <c r="U892" s="59"/>
      <c r="V892" s="59"/>
      <c r="W892" s="59"/>
      <c r="X892" s="59"/>
      <c r="Y892" s="59"/>
      <c r="Z892" s="59"/>
      <c r="AA892" s="59"/>
      <c r="AB892" s="59"/>
    </row>
    <row r="893">
      <c r="A893" s="59"/>
      <c r="B893" s="59"/>
      <c r="C893" s="70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88"/>
      <c r="P893" s="90"/>
      <c r="Q893" s="88"/>
      <c r="R893" s="88"/>
      <c r="S893" s="88"/>
      <c r="T893" s="59"/>
      <c r="U893" s="59"/>
      <c r="V893" s="59"/>
      <c r="W893" s="59"/>
      <c r="X893" s="59"/>
      <c r="Y893" s="59"/>
      <c r="Z893" s="59"/>
      <c r="AA893" s="59"/>
      <c r="AB893" s="59"/>
    </row>
    <row r="894">
      <c r="A894" s="59"/>
      <c r="B894" s="59"/>
      <c r="C894" s="70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88"/>
      <c r="P894" s="90"/>
      <c r="Q894" s="88"/>
      <c r="R894" s="88"/>
      <c r="S894" s="88"/>
      <c r="T894" s="59"/>
      <c r="U894" s="59"/>
      <c r="V894" s="59"/>
      <c r="W894" s="59"/>
      <c r="X894" s="59"/>
      <c r="Y894" s="59"/>
      <c r="Z894" s="59"/>
      <c r="AA894" s="59"/>
      <c r="AB894" s="59"/>
    </row>
    <row r="895">
      <c r="A895" s="59"/>
      <c r="B895" s="59"/>
      <c r="C895" s="70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88"/>
      <c r="P895" s="90"/>
      <c r="Q895" s="88"/>
      <c r="R895" s="88"/>
      <c r="S895" s="88"/>
      <c r="T895" s="59"/>
      <c r="U895" s="59"/>
      <c r="V895" s="59"/>
      <c r="W895" s="59"/>
      <c r="X895" s="59"/>
      <c r="Y895" s="59"/>
      <c r="Z895" s="59"/>
      <c r="AA895" s="59"/>
      <c r="AB895" s="59"/>
    </row>
    <row r="896">
      <c r="A896" s="59"/>
      <c r="B896" s="59"/>
      <c r="C896" s="70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88"/>
      <c r="P896" s="90"/>
      <c r="Q896" s="88"/>
      <c r="R896" s="88"/>
      <c r="S896" s="88"/>
      <c r="T896" s="59"/>
      <c r="U896" s="59"/>
      <c r="V896" s="59"/>
      <c r="W896" s="59"/>
      <c r="X896" s="59"/>
      <c r="Y896" s="59"/>
      <c r="Z896" s="59"/>
      <c r="AA896" s="59"/>
      <c r="AB896" s="59"/>
    </row>
    <row r="897">
      <c r="A897" s="59"/>
      <c r="B897" s="59"/>
      <c r="C897" s="70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88"/>
      <c r="P897" s="90"/>
      <c r="Q897" s="88"/>
      <c r="R897" s="88"/>
      <c r="S897" s="88"/>
      <c r="T897" s="59"/>
      <c r="U897" s="59"/>
      <c r="V897" s="59"/>
      <c r="W897" s="59"/>
      <c r="X897" s="59"/>
      <c r="Y897" s="59"/>
      <c r="Z897" s="59"/>
      <c r="AA897" s="59"/>
      <c r="AB897" s="59"/>
    </row>
    <row r="898">
      <c r="A898" s="59"/>
      <c r="B898" s="59"/>
      <c r="C898" s="70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88"/>
      <c r="P898" s="90"/>
      <c r="Q898" s="88"/>
      <c r="R898" s="88"/>
      <c r="S898" s="88"/>
      <c r="T898" s="59"/>
      <c r="U898" s="59"/>
      <c r="V898" s="59"/>
      <c r="W898" s="59"/>
      <c r="X898" s="59"/>
      <c r="Y898" s="59"/>
      <c r="Z898" s="59"/>
      <c r="AA898" s="59"/>
      <c r="AB898" s="59"/>
    </row>
    <row r="899">
      <c r="A899" s="59"/>
      <c r="B899" s="59"/>
      <c r="C899" s="70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88"/>
      <c r="P899" s="90"/>
      <c r="Q899" s="88"/>
      <c r="R899" s="88"/>
      <c r="S899" s="88"/>
      <c r="T899" s="59"/>
      <c r="U899" s="59"/>
      <c r="V899" s="59"/>
      <c r="W899" s="59"/>
      <c r="X899" s="59"/>
      <c r="Y899" s="59"/>
      <c r="Z899" s="59"/>
      <c r="AA899" s="59"/>
      <c r="AB899" s="59"/>
    </row>
    <row r="900">
      <c r="A900" s="59"/>
      <c r="B900" s="59"/>
      <c r="C900" s="70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88"/>
      <c r="P900" s="90"/>
      <c r="Q900" s="88"/>
      <c r="R900" s="88"/>
      <c r="S900" s="88"/>
      <c r="T900" s="59"/>
      <c r="U900" s="59"/>
      <c r="V900" s="59"/>
      <c r="W900" s="59"/>
      <c r="X900" s="59"/>
      <c r="Y900" s="59"/>
      <c r="Z900" s="59"/>
      <c r="AA900" s="59"/>
      <c r="AB900" s="59"/>
    </row>
    <row r="901">
      <c r="A901" s="59"/>
      <c r="B901" s="59"/>
      <c r="C901" s="70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88"/>
      <c r="P901" s="90"/>
      <c r="Q901" s="88"/>
      <c r="R901" s="88"/>
      <c r="S901" s="88"/>
      <c r="T901" s="59"/>
      <c r="U901" s="59"/>
      <c r="V901" s="59"/>
      <c r="W901" s="59"/>
      <c r="X901" s="59"/>
      <c r="Y901" s="59"/>
      <c r="Z901" s="59"/>
      <c r="AA901" s="59"/>
      <c r="AB901" s="59"/>
    </row>
    <row r="902">
      <c r="A902" s="59"/>
      <c r="B902" s="59"/>
      <c r="C902" s="70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88"/>
      <c r="P902" s="90"/>
      <c r="Q902" s="88"/>
      <c r="R902" s="88"/>
      <c r="S902" s="88"/>
      <c r="T902" s="59"/>
      <c r="U902" s="59"/>
      <c r="V902" s="59"/>
      <c r="W902" s="59"/>
      <c r="X902" s="59"/>
      <c r="Y902" s="59"/>
      <c r="Z902" s="59"/>
      <c r="AA902" s="59"/>
      <c r="AB902" s="59"/>
    </row>
    <row r="903">
      <c r="A903" s="59"/>
      <c r="B903" s="59"/>
      <c r="C903" s="70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88"/>
      <c r="P903" s="90"/>
      <c r="Q903" s="88"/>
      <c r="R903" s="88"/>
      <c r="S903" s="88"/>
      <c r="T903" s="59"/>
      <c r="U903" s="59"/>
      <c r="V903" s="59"/>
      <c r="W903" s="59"/>
      <c r="X903" s="59"/>
      <c r="Y903" s="59"/>
      <c r="Z903" s="59"/>
      <c r="AA903" s="59"/>
      <c r="AB903" s="59"/>
    </row>
    <row r="904">
      <c r="A904" s="59"/>
      <c r="B904" s="59"/>
      <c r="C904" s="70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88"/>
      <c r="P904" s="90"/>
      <c r="Q904" s="88"/>
      <c r="R904" s="88"/>
      <c r="S904" s="88"/>
      <c r="T904" s="59"/>
      <c r="U904" s="59"/>
      <c r="V904" s="59"/>
      <c r="W904" s="59"/>
      <c r="X904" s="59"/>
      <c r="Y904" s="59"/>
      <c r="Z904" s="59"/>
      <c r="AA904" s="59"/>
      <c r="AB904" s="59"/>
    </row>
    <row r="905">
      <c r="A905" s="59"/>
      <c r="B905" s="59"/>
      <c r="C905" s="70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88"/>
      <c r="P905" s="90"/>
      <c r="Q905" s="88"/>
      <c r="R905" s="88"/>
      <c r="S905" s="88"/>
      <c r="T905" s="59"/>
      <c r="U905" s="59"/>
      <c r="V905" s="59"/>
      <c r="W905" s="59"/>
      <c r="X905" s="59"/>
      <c r="Y905" s="59"/>
      <c r="Z905" s="59"/>
      <c r="AA905" s="59"/>
      <c r="AB905" s="59"/>
    </row>
    <row r="906">
      <c r="A906" s="59"/>
      <c r="B906" s="59"/>
      <c r="C906" s="70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88"/>
      <c r="P906" s="90"/>
      <c r="Q906" s="88"/>
      <c r="R906" s="88"/>
      <c r="S906" s="88"/>
      <c r="T906" s="59"/>
      <c r="U906" s="59"/>
      <c r="V906" s="59"/>
      <c r="W906" s="59"/>
      <c r="X906" s="59"/>
      <c r="Y906" s="59"/>
      <c r="Z906" s="59"/>
      <c r="AA906" s="59"/>
      <c r="AB906" s="59"/>
    </row>
    <row r="907">
      <c r="A907" s="59"/>
      <c r="B907" s="59"/>
      <c r="C907" s="70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88"/>
      <c r="P907" s="90"/>
      <c r="Q907" s="88"/>
      <c r="R907" s="88"/>
      <c r="S907" s="88"/>
      <c r="T907" s="59"/>
      <c r="U907" s="59"/>
      <c r="V907" s="59"/>
      <c r="W907" s="59"/>
      <c r="X907" s="59"/>
      <c r="Y907" s="59"/>
      <c r="Z907" s="59"/>
      <c r="AA907" s="59"/>
      <c r="AB907" s="59"/>
    </row>
    <row r="908">
      <c r="A908" s="59"/>
      <c r="B908" s="59"/>
      <c r="C908" s="70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88"/>
      <c r="P908" s="90"/>
      <c r="Q908" s="88"/>
      <c r="R908" s="88"/>
      <c r="S908" s="88"/>
      <c r="T908" s="59"/>
      <c r="U908" s="59"/>
      <c r="V908" s="59"/>
      <c r="W908" s="59"/>
      <c r="X908" s="59"/>
      <c r="Y908" s="59"/>
      <c r="Z908" s="59"/>
      <c r="AA908" s="59"/>
      <c r="AB908" s="59"/>
    </row>
    <row r="909">
      <c r="A909" s="59"/>
      <c r="B909" s="59"/>
      <c r="C909" s="70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88"/>
      <c r="P909" s="90"/>
      <c r="Q909" s="88"/>
      <c r="R909" s="88"/>
      <c r="S909" s="88"/>
      <c r="T909" s="59"/>
      <c r="U909" s="59"/>
      <c r="V909" s="59"/>
      <c r="W909" s="59"/>
      <c r="X909" s="59"/>
      <c r="Y909" s="59"/>
      <c r="Z909" s="59"/>
      <c r="AA909" s="59"/>
      <c r="AB909" s="59"/>
    </row>
    <row r="910">
      <c r="A910" s="59"/>
      <c r="B910" s="59"/>
      <c r="C910" s="70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88"/>
      <c r="P910" s="90"/>
      <c r="Q910" s="88"/>
      <c r="R910" s="88"/>
      <c r="S910" s="88"/>
      <c r="T910" s="59"/>
      <c r="U910" s="59"/>
      <c r="V910" s="59"/>
      <c r="W910" s="59"/>
      <c r="X910" s="59"/>
      <c r="Y910" s="59"/>
      <c r="Z910" s="59"/>
      <c r="AA910" s="59"/>
      <c r="AB910" s="59"/>
    </row>
    <row r="911">
      <c r="A911" s="59"/>
      <c r="B911" s="59"/>
      <c r="C911" s="70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88"/>
      <c r="P911" s="90"/>
      <c r="Q911" s="88"/>
      <c r="R911" s="88"/>
      <c r="S911" s="88"/>
      <c r="T911" s="59"/>
      <c r="U911" s="59"/>
      <c r="V911" s="59"/>
      <c r="W911" s="59"/>
      <c r="X911" s="59"/>
      <c r="Y911" s="59"/>
      <c r="Z911" s="59"/>
      <c r="AA911" s="59"/>
      <c r="AB911" s="59"/>
    </row>
    <row r="912">
      <c r="A912" s="59"/>
      <c r="B912" s="59"/>
      <c r="C912" s="70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88"/>
      <c r="P912" s="90"/>
      <c r="Q912" s="88"/>
      <c r="R912" s="88"/>
      <c r="S912" s="88"/>
      <c r="T912" s="59"/>
      <c r="U912" s="59"/>
      <c r="V912" s="59"/>
      <c r="W912" s="59"/>
      <c r="X912" s="59"/>
      <c r="Y912" s="59"/>
      <c r="Z912" s="59"/>
      <c r="AA912" s="59"/>
      <c r="AB912" s="59"/>
    </row>
    <row r="913">
      <c r="A913" s="59"/>
      <c r="B913" s="59"/>
      <c r="C913" s="70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88"/>
      <c r="P913" s="90"/>
      <c r="Q913" s="88"/>
      <c r="R913" s="88"/>
      <c r="S913" s="88"/>
      <c r="T913" s="59"/>
      <c r="U913" s="59"/>
      <c r="V913" s="59"/>
      <c r="W913" s="59"/>
      <c r="X913" s="59"/>
      <c r="Y913" s="59"/>
      <c r="Z913" s="59"/>
      <c r="AA913" s="59"/>
      <c r="AB913" s="59"/>
    </row>
    <row r="914">
      <c r="A914" s="59"/>
      <c r="B914" s="59"/>
      <c r="C914" s="70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88"/>
      <c r="P914" s="90"/>
      <c r="Q914" s="88"/>
      <c r="R914" s="88"/>
      <c r="S914" s="88"/>
      <c r="T914" s="59"/>
      <c r="U914" s="59"/>
      <c r="V914" s="59"/>
      <c r="W914" s="59"/>
      <c r="X914" s="59"/>
      <c r="Y914" s="59"/>
      <c r="Z914" s="59"/>
      <c r="AA914" s="59"/>
      <c r="AB914" s="59"/>
    </row>
    <row r="915">
      <c r="A915" s="59"/>
      <c r="B915" s="59"/>
      <c r="C915" s="70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88"/>
      <c r="P915" s="90"/>
      <c r="Q915" s="88"/>
      <c r="R915" s="88"/>
      <c r="S915" s="88"/>
      <c r="T915" s="59"/>
      <c r="U915" s="59"/>
      <c r="V915" s="59"/>
      <c r="W915" s="59"/>
      <c r="X915" s="59"/>
      <c r="Y915" s="59"/>
      <c r="Z915" s="59"/>
      <c r="AA915" s="59"/>
      <c r="AB915" s="59"/>
    </row>
    <row r="916">
      <c r="A916" s="59"/>
      <c r="B916" s="59"/>
      <c r="C916" s="70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88"/>
      <c r="P916" s="90"/>
      <c r="Q916" s="88"/>
      <c r="R916" s="88"/>
      <c r="S916" s="88"/>
      <c r="T916" s="59"/>
      <c r="U916" s="59"/>
      <c r="V916" s="59"/>
      <c r="W916" s="59"/>
      <c r="X916" s="59"/>
      <c r="Y916" s="59"/>
      <c r="Z916" s="59"/>
      <c r="AA916" s="59"/>
      <c r="AB916" s="59"/>
    </row>
    <row r="917">
      <c r="A917" s="59"/>
      <c r="B917" s="59"/>
      <c r="C917" s="70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88"/>
      <c r="P917" s="90"/>
      <c r="Q917" s="88"/>
      <c r="R917" s="88"/>
      <c r="S917" s="88"/>
      <c r="T917" s="59"/>
      <c r="U917" s="59"/>
      <c r="V917" s="59"/>
      <c r="W917" s="59"/>
      <c r="X917" s="59"/>
      <c r="Y917" s="59"/>
      <c r="Z917" s="59"/>
      <c r="AA917" s="59"/>
      <c r="AB917" s="59"/>
    </row>
    <row r="918">
      <c r="A918" s="59"/>
      <c r="B918" s="59"/>
      <c r="C918" s="70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88"/>
      <c r="P918" s="90"/>
      <c r="Q918" s="88"/>
      <c r="R918" s="88"/>
      <c r="S918" s="88"/>
      <c r="T918" s="59"/>
      <c r="U918" s="59"/>
      <c r="V918" s="59"/>
      <c r="W918" s="59"/>
      <c r="X918" s="59"/>
      <c r="Y918" s="59"/>
      <c r="Z918" s="59"/>
      <c r="AA918" s="59"/>
      <c r="AB918" s="59"/>
    </row>
    <row r="919">
      <c r="A919" s="59"/>
      <c r="B919" s="59"/>
      <c r="C919" s="70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88"/>
      <c r="P919" s="90"/>
      <c r="Q919" s="88"/>
      <c r="R919" s="88"/>
      <c r="S919" s="88"/>
      <c r="T919" s="59"/>
      <c r="U919" s="59"/>
      <c r="V919" s="59"/>
      <c r="W919" s="59"/>
      <c r="X919" s="59"/>
      <c r="Y919" s="59"/>
      <c r="Z919" s="59"/>
      <c r="AA919" s="59"/>
      <c r="AB919" s="59"/>
    </row>
    <row r="920">
      <c r="A920" s="59"/>
      <c r="B920" s="59"/>
      <c r="C920" s="70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88"/>
      <c r="P920" s="90"/>
      <c r="Q920" s="88"/>
      <c r="R920" s="88"/>
      <c r="S920" s="88"/>
      <c r="T920" s="59"/>
      <c r="U920" s="59"/>
      <c r="V920" s="59"/>
      <c r="W920" s="59"/>
      <c r="X920" s="59"/>
      <c r="Y920" s="59"/>
      <c r="Z920" s="59"/>
      <c r="AA920" s="59"/>
      <c r="AB920" s="59"/>
    </row>
    <row r="921">
      <c r="A921" s="59"/>
      <c r="B921" s="59"/>
      <c r="C921" s="70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88"/>
      <c r="P921" s="90"/>
      <c r="Q921" s="88"/>
      <c r="R921" s="88"/>
      <c r="S921" s="88"/>
      <c r="T921" s="59"/>
      <c r="U921" s="59"/>
      <c r="V921" s="59"/>
      <c r="W921" s="59"/>
      <c r="X921" s="59"/>
      <c r="Y921" s="59"/>
      <c r="Z921" s="59"/>
      <c r="AA921" s="59"/>
      <c r="AB921" s="59"/>
    </row>
    <row r="922">
      <c r="A922" s="59"/>
      <c r="B922" s="59"/>
      <c r="C922" s="70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88"/>
      <c r="P922" s="90"/>
      <c r="Q922" s="88"/>
      <c r="R922" s="88"/>
      <c r="S922" s="88"/>
      <c r="T922" s="59"/>
      <c r="U922" s="59"/>
      <c r="V922" s="59"/>
      <c r="W922" s="59"/>
      <c r="X922" s="59"/>
      <c r="Y922" s="59"/>
      <c r="Z922" s="59"/>
      <c r="AA922" s="59"/>
      <c r="AB922" s="59"/>
    </row>
    <row r="923">
      <c r="A923" s="59"/>
      <c r="B923" s="59"/>
      <c r="C923" s="70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88"/>
      <c r="P923" s="90"/>
      <c r="Q923" s="88"/>
      <c r="R923" s="88"/>
      <c r="S923" s="88"/>
      <c r="T923" s="59"/>
      <c r="U923" s="59"/>
      <c r="V923" s="59"/>
      <c r="W923" s="59"/>
      <c r="X923" s="59"/>
      <c r="Y923" s="59"/>
      <c r="Z923" s="59"/>
      <c r="AA923" s="59"/>
      <c r="AB923" s="59"/>
    </row>
    <row r="924">
      <c r="A924" s="59"/>
      <c r="B924" s="59"/>
      <c r="C924" s="70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88"/>
      <c r="P924" s="90"/>
      <c r="Q924" s="88"/>
      <c r="R924" s="88"/>
      <c r="S924" s="88"/>
      <c r="T924" s="59"/>
      <c r="U924" s="59"/>
      <c r="V924" s="59"/>
      <c r="W924" s="59"/>
      <c r="X924" s="59"/>
      <c r="Y924" s="59"/>
      <c r="Z924" s="59"/>
      <c r="AA924" s="59"/>
      <c r="AB924" s="59"/>
    </row>
    <row r="925">
      <c r="A925" s="59"/>
      <c r="B925" s="59"/>
      <c r="C925" s="70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88"/>
      <c r="P925" s="90"/>
      <c r="Q925" s="88"/>
      <c r="R925" s="88"/>
      <c r="S925" s="88"/>
      <c r="T925" s="59"/>
      <c r="U925" s="59"/>
      <c r="V925" s="59"/>
      <c r="W925" s="59"/>
      <c r="X925" s="59"/>
      <c r="Y925" s="59"/>
      <c r="Z925" s="59"/>
      <c r="AA925" s="59"/>
      <c r="AB925" s="59"/>
    </row>
    <row r="926">
      <c r="A926" s="59"/>
      <c r="B926" s="59"/>
      <c r="C926" s="70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88"/>
      <c r="P926" s="90"/>
      <c r="Q926" s="88"/>
      <c r="R926" s="88"/>
      <c r="S926" s="88"/>
      <c r="T926" s="59"/>
      <c r="U926" s="59"/>
      <c r="V926" s="59"/>
      <c r="W926" s="59"/>
      <c r="X926" s="59"/>
      <c r="Y926" s="59"/>
      <c r="Z926" s="59"/>
      <c r="AA926" s="59"/>
      <c r="AB926" s="59"/>
    </row>
    <row r="927">
      <c r="A927" s="59"/>
      <c r="B927" s="59"/>
      <c r="C927" s="70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88"/>
      <c r="P927" s="90"/>
      <c r="Q927" s="88"/>
      <c r="R927" s="88"/>
      <c r="S927" s="88"/>
      <c r="T927" s="59"/>
      <c r="U927" s="59"/>
      <c r="V927" s="59"/>
      <c r="W927" s="59"/>
      <c r="X927" s="59"/>
      <c r="Y927" s="59"/>
      <c r="Z927" s="59"/>
      <c r="AA927" s="59"/>
      <c r="AB927" s="59"/>
    </row>
    <row r="928">
      <c r="A928" s="59"/>
      <c r="B928" s="59"/>
      <c r="C928" s="70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88"/>
      <c r="P928" s="90"/>
      <c r="Q928" s="88"/>
      <c r="R928" s="88"/>
      <c r="S928" s="88"/>
      <c r="T928" s="59"/>
      <c r="U928" s="59"/>
      <c r="V928" s="59"/>
      <c r="W928" s="59"/>
      <c r="X928" s="59"/>
      <c r="Y928" s="59"/>
      <c r="Z928" s="59"/>
      <c r="AA928" s="59"/>
      <c r="AB928" s="59"/>
    </row>
    <row r="929">
      <c r="A929" s="59"/>
      <c r="B929" s="59"/>
      <c r="C929" s="70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88"/>
      <c r="P929" s="90"/>
      <c r="Q929" s="88"/>
      <c r="R929" s="88"/>
      <c r="S929" s="88"/>
      <c r="T929" s="59"/>
      <c r="U929" s="59"/>
      <c r="V929" s="59"/>
      <c r="W929" s="59"/>
      <c r="X929" s="59"/>
      <c r="Y929" s="59"/>
      <c r="Z929" s="59"/>
      <c r="AA929" s="59"/>
      <c r="AB929" s="59"/>
    </row>
    <row r="930">
      <c r="A930" s="59"/>
      <c r="B930" s="59"/>
      <c r="C930" s="70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88"/>
      <c r="P930" s="90"/>
      <c r="Q930" s="88"/>
      <c r="R930" s="88"/>
      <c r="S930" s="88"/>
      <c r="T930" s="59"/>
      <c r="U930" s="59"/>
      <c r="V930" s="59"/>
      <c r="W930" s="59"/>
      <c r="X930" s="59"/>
      <c r="Y930" s="59"/>
      <c r="Z930" s="59"/>
      <c r="AA930" s="59"/>
      <c r="AB930" s="59"/>
    </row>
    <row r="931">
      <c r="A931" s="59"/>
      <c r="B931" s="59"/>
      <c r="C931" s="70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88"/>
      <c r="P931" s="90"/>
      <c r="Q931" s="88"/>
      <c r="R931" s="88"/>
      <c r="S931" s="88"/>
      <c r="T931" s="59"/>
      <c r="U931" s="59"/>
      <c r="V931" s="59"/>
      <c r="W931" s="59"/>
      <c r="X931" s="59"/>
      <c r="Y931" s="59"/>
      <c r="Z931" s="59"/>
      <c r="AA931" s="59"/>
      <c r="AB931" s="59"/>
    </row>
    <row r="932">
      <c r="A932" s="59"/>
      <c r="B932" s="59"/>
      <c r="C932" s="70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88"/>
      <c r="P932" s="90"/>
      <c r="Q932" s="88"/>
      <c r="R932" s="88"/>
      <c r="S932" s="88"/>
      <c r="T932" s="59"/>
      <c r="U932" s="59"/>
      <c r="V932" s="59"/>
      <c r="W932" s="59"/>
      <c r="X932" s="59"/>
      <c r="Y932" s="59"/>
      <c r="Z932" s="59"/>
      <c r="AA932" s="59"/>
      <c r="AB932" s="59"/>
    </row>
    <row r="933">
      <c r="A933" s="59"/>
      <c r="B933" s="59"/>
      <c r="C933" s="70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88"/>
      <c r="P933" s="90"/>
      <c r="Q933" s="88"/>
      <c r="R933" s="88"/>
      <c r="S933" s="88"/>
      <c r="T933" s="59"/>
      <c r="U933" s="59"/>
      <c r="V933" s="59"/>
      <c r="W933" s="59"/>
      <c r="X933" s="59"/>
      <c r="Y933" s="59"/>
      <c r="Z933" s="59"/>
      <c r="AA933" s="59"/>
      <c r="AB933" s="59"/>
    </row>
    <row r="934">
      <c r="A934" s="59"/>
      <c r="B934" s="59"/>
      <c r="C934" s="70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88"/>
      <c r="P934" s="90"/>
      <c r="Q934" s="88"/>
      <c r="R934" s="88"/>
      <c r="S934" s="88"/>
      <c r="T934" s="59"/>
      <c r="U934" s="59"/>
      <c r="V934" s="59"/>
      <c r="W934" s="59"/>
      <c r="X934" s="59"/>
      <c r="Y934" s="59"/>
      <c r="Z934" s="59"/>
      <c r="AA934" s="59"/>
      <c r="AB934" s="59"/>
    </row>
    <row r="935">
      <c r="A935" s="59"/>
      <c r="B935" s="59"/>
      <c r="C935" s="70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88"/>
      <c r="P935" s="90"/>
      <c r="Q935" s="88"/>
      <c r="R935" s="88"/>
      <c r="S935" s="88"/>
      <c r="T935" s="59"/>
      <c r="U935" s="59"/>
      <c r="V935" s="59"/>
      <c r="W935" s="59"/>
      <c r="X935" s="59"/>
      <c r="Y935" s="59"/>
      <c r="Z935" s="59"/>
      <c r="AA935" s="59"/>
      <c r="AB935" s="59"/>
    </row>
    <row r="936">
      <c r="A936" s="59"/>
      <c r="B936" s="59"/>
      <c r="C936" s="70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88"/>
      <c r="P936" s="90"/>
      <c r="Q936" s="88"/>
      <c r="R936" s="88"/>
      <c r="S936" s="88"/>
      <c r="T936" s="59"/>
      <c r="U936" s="59"/>
      <c r="V936" s="59"/>
      <c r="W936" s="59"/>
      <c r="X936" s="59"/>
      <c r="Y936" s="59"/>
      <c r="Z936" s="59"/>
      <c r="AA936" s="59"/>
      <c r="AB936" s="59"/>
    </row>
    <row r="937">
      <c r="A937" s="59"/>
      <c r="B937" s="59"/>
      <c r="C937" s="70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88"/>
      <c r="P937" s="90"/>
      <c r="Q937" s="88"/>
      <c r="R937" s="88"/>
      <c r="S937" s="88"/>
      <c r="T937" s="59"/>
      <c r="U937" s="59"/>
      <c r="V937" s="59"/>
      <c r="W937" s="59"/>
      <c r="X937" s="59"/>
      <c r="Y937" s="59"/>
      <c r="Z937" s="59"/>
      <c r="AA937" s="59"/>
      <c r="AB937" s="59"/>
    </row>
    <row r="938">
      <c r="A938" s="59"/>
      <c r="B938" s="59"/>
      <c r="C938" s="70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88"/>
      <c r="P938" s="90"/>
      <c r="Q938" s="88"/>
      <c r="R938" s="88"/>
      <c r="S938" s="88"/>
      <c r="T938" s="59"/>
      <c r="U938" s="59"/>
      <c r="V938" s="59"/>
      <c r="W938" s="59"/>
      <c r="X938" s="59"/>
      <c r="Y938" s="59"/>
      <c r="Z938" s="59"/>
      <c r="AA938" s="59"/>
      <c r="AB938" s="59"/>
    </row>
    <row r="939">
      <c r="A939" s="59"/>
      <c r="B939" s="59"/>
      <c r="C939" s="70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88"/>
      <c r="P939" s="90"/>
      <c r="Q939" s="88"/>
      <c r="R939" s="88"/>
      <c r="S939" s="88"/>
      <c r="T939" s="59"/>
      <c r="U939" s="59"/>
      <c r="V939" s="59"/>
      <c r="W939" s="59"/>
      <c r="X939" s="59"/>
      <c r="Y939" s="59"/>
      <c r="Z939" s="59"/>
      <c r="AA939" s="59"/>
      <c r="AB939" s="59"/>
    </row>
    <row r="940">
      <c r="A940" s="59"/>
      <c r="B940" s="59"/>
      <c r="C940" s="70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88"/>
      <c r="P940" s="90"/>
      <c r="Q940" s="88"/>
      <c r="R940" s="88"/>
      <c r="S940" s="88"/>
      <c r="T940" s="59"/>
      <c r="U940" s="59"/>
      <c r="V940" s="59"/>
      <c r="W940" s="59"/>
      <c r="X940" s="59"/>
      <c r="Y940" s="59"/>
      <c r="Z940" s="59"/>
      <c r="AA940" s="59"/>
      <c r="AB940" s="59"/>
    </row>
    <row r="941">
      <c r="A941" s="59"/>
      <c r="B941" s="59"/>
      <c r="C941" s="70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88"/>
      <c r="P941" s="90"/>
      <c r="Q941" s="88"/>
      <c r="R941" s="88"/>
      <c r="S941" s="88"/>
      <c r="T941" s="59"/>
      <c r="U941" s="59"/>
      <c r="V941" s="59"/>
      <c r="W941" s="59"/>
      <c r="X941" s="59"/>
      <c r="Y941" s="59"/>
      <c r="Z941" s="59"/>
      <c r="AA941" s="59"/>
      <c r="AB941" s="59"/>
    </row>
    <row r="942">
      <c r="A942" s="59"/>
      <c r="B942" s="59"/>
      <c r="C942" s="70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88"/>
      <c r="P942" s="90"/>
      <c r="Q942" s="88"/>
      <c r="R942" s="88"/>
      <c r="S942" s="88"/>
      <c r="T942" s="59"/>
      <c r="U942" s="59"/>
      <c r="V942" s="59"/>
      <c r="W942" s="59"/>
      <c r="X942" s="59"/>
      <c r="Y942" s="59"/>
      <c r="Z942" s="59"/>
      <c r="AA942" s="59"/>
      <c r="AB942" s="59"/>
    </row>
    <row r="943">
      <c r="A943" s="59"/>
      <c r="B943" s="59"/>
      <c r="C943" s="70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88"/>
      <c r="P943" s="90"/>
      <c r="Q943" s="88"/>
      <c r="R943" s="88"/>
      <c r="S943" s="88"/>
      <c r="T943" s="59"/>
      <c r="U943" s="59"/>
      <c r="V943" s="59"/>
      <c r="W943" s="59"/>
      <c r="X943" s="59"/>
      <c r="Y943" s="59"/>
      <c r="Z943" s="59"/>
      <c r="AA943" s="59"/>
      <c r="AB943" s="59"/>
    </row>
    <row r="944">
      <c r="A944" s="59"/>
      <c r="B944" s="59"/>
      <c r="C944" s="70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88"/>
      <c r="P944" s="90"/>
      <c r="Q944" s="88"/>
      <c r="R944" s="88"/>
      <c r="S944" s="88"/>
      <c r="T944" s="59"/>
      <c r="U944" s="59"/>
      <c r="V944" s="59"/>
      <c r="W944" s="59"/>
      <c r="X944" s="59"/>
      <c r="Y944" s="59"/>
      <c r="Z944" s="59"/>
      <c r="AA944" s="59"/>
      <c r="AB944" s="59"/>
    </row>
    <row r="945">
      <c r="A945" s="59"/>
      <c r="B945" s="59"/>
      <c r="C945" s="70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88"/>
      <c r="P945" s="90"/>
      <c r="Q945" s="88"/>
      <c r="R945" s="88"/>
      <c r="S945" s="88"/>
      <c r="T945" s="59"/>
      <c r="U945" s="59"/>
      <c r="V945" s="59"/>
      <c r="W945" s="59"/>
      <c r="X945" s="59"/>
      <c r="Y945" s="59"/>
      <c r="Z945" s="59"/>
      <c r="AA945" s="59"/>
      <c r="AB945" s="59"/>
    </row>
    <row r="946">
      <c r="A946" s="59"/>
      <c r="B946" s="59"/>
      <c r="C946" s="70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88"/>
      <c r="P946" s="90"/>
      <c r="Q946" s="88"/>
      <c r="R946" s="88"/>
      <c r="S946" s="88"/>
      <c r="T946" s="59"/>
      <c r="U946" s="59"/>
      <c r="V946" s="59"/>
      <c r="W946" s="59"/>
      <c r="X946" s="59"/>
      <c r="Y946" s="59"/>
      <c r="Z946" s="59"/>
      <c r="AA946" s="59"/>
      <c r="AB946" s="59"/>
    </row>
    <row r="947">
      <c r="A947" s="59"/>
      <c r="B947" s="59"/>
      <c r="C947" s="70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88"/>
      <c r="P947" s="90"/>
      <c r="Q947" s="88"/>
      <c r="R947" s="88"/>
      <c r="S947" s="88"/>
      <c r="T947" s="59"/>
      <c r="U947" s="59"/>
      <c r="V947" s="59"/>
      <c r="W947" s="59"/>
      <c r="X947" s="59"/>
      <c r="Y947" s="59"/>
      <c r="Z947" s="59"/>
      <c r="AA947" s="59"/>
      <c r="AB947" s="59"/>
    </row>
    <row r="948">
      <c r="A948" s="59"/>
      <c r="B948" s="59"/>
      <c r="C948" s="70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88"/>
      <c r="P948" s="90"/>
      <c r="Q948" s="88"/>
      <c r="R948" s="88"/>
      <c r="S948" s="88"/>
      <c r="T948" s="59"/>
      <c r="U948" s="59"/>
      <c r="V948" s="59"/>
      <c r="W948" s="59"/>
      <c r="X948" s="59"/>
      <c r="Y948" s="59"/>
      <c r="Z948" s="59"/>
      <c r="AA948" s="59"/>
      <c r="AB948" s="59"/>
    </row>
    <row r="949">
      <c r="A949" s="59"/>
      <c r="B949" s="59"/>
      <c r="C949" s="70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88"/>
      <c r="P949" s="90"/>
      <c r="Q949" s="88"/>
      <c r="R949" s="88"/>
      <c r="S949" s="88"/>
      <c r="T949" s="59"/>
      <c r="U949" s="59"/>
      <c r="V949" s="59"/>
      <c r="W949" s="59"/>
      <c r="X949" s="59"/>
      <c r="Y949" s="59"/>
      <c r="Z949" s="59"/>
      <c r="AA949" s="59"/>
      <c r="AB949" s="59"/>
    </row>
    <row r="950">
      <c r="A950" s="59"/>
      <c r="B950" s="59"/>
      <c r="C950" s="70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88"/>
      <c r="P950" s="90"/>
      <c r="Q950" s="88"/>
      <c r="R950" s="88"/>
      <c r="S950" s="88"/>
      <c r="T950" s="59"/>
      <c r="U950" s="59"/>
      <c r="V950" s="59"/>
      <c r="W950" s="59"/>
      <c r="X950" s="59"/>
      <c r="Y950" s="59"/>
      <c r="Z950" s="59"/>
      <c r="AA950" s="59"/>
      <c r="AB950" s="59"/>
    </row>
    <row r="951">
      <c r="A951" s="59"/>
      <c r="B951" s="59"/>
      <c r="C951" s="70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88"/>
      <c r="P951" s="90"/>
      <c r="Q951" s="88"/>
      <c r="R951" s="88"/>
      <c r="S951" s="88"/>
      <c r="T951" s="59"/>
      <c r="U951" s="59"/>
      <c r="V951" s="59"/>
      <c r="W951" s="59"/>
      <c r="X951" s="59"/>
      <c r="Y951" s="59"/>
      <c r="Z951" s="59"/>
      <c r="AA951" s="59"/>
      <c r="AB951" s="59"/>
    </row>
    <row r="952">
      <c r="A952" s="59"/>
      <c r="B952" s="59"/>
      <c r="C952" s="70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88"/>
      <c r="P952" s="90"/>
      <c r="Q952" s="88"/>
      <c r="R952" s="88"/>
      <c r="S952" s="88"/>
      <c r="T952" s="59"/>
      <c r="U952" s="59"/>
      <c r="V952" s="59"/>
      <c r="W952" s="59"/>
      <c r="X952" s="59"/>
      <c r="Y952" s="59"/>
      <c r="Z952" s="59"/>
      <c r="AA952" s="59"/>
      <c r="AB952" s="59"/>
    </row>
    <row r="953">
      <c r="A953" s="59"/>
      <c r="B953" s="59"/>
      <c r="C953" s="70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88"/>
      <c r="P953" s="90"/>
      <c r="Q953" s="88"/>
      <c r="R953" s="88"/>
      <c r="S953" s="88"/>
      <c r="T953" s="59"/>
      <c r="U953" s="59"/>
      <c r="V953" s="59"/>
      <c r="W953" s="59"/>
      <c r="X953" s="59"/>
      <c r="Y953" s="59"/>
      <c r="Z953" s="59"/>
      <c r="AA953" s="59"/>
      <c r="AB953" s="59"/>
    </row>
    <row r="954">
      <c r="A954" s="59"/>
      <c r="B954" s="59"/>
      <c r="C954" s="70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88"/>
      <c r="P954" s="90"/>
      <c r="Q954" s="88"/>
      <c r="R954" s="88"/>
      <c r="S954" s="88"/>
      <c r="T954" s="59"/>
      <c r="U954" s="59"/>
      <c r="V954" s="59"/>
      <c r="W954" s="59"/>
      <c r="X954" s="59"/>
      <c r="Y954" s="59"/>
      <c r="Z954" s="59"/>
      <c r="AA954" s="59"/>
      <c r="AB954" s="59"/>
    </row>
    <row r="955">
      <c r="A955" s="59"/>
      <c r="B955" s="59"/>
      <c r="C955" s="70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88"/>
      <c r="P955" s="90"/>
      <c r="Q955" s="88"/>
      <c r="R955" s="88"/>
      <c r="S955" s="88"/>
      <c r="T955" s="59"/>
      <c r="U955" s="59"/>
      <c r="V955" s="59"/>
      <c r="W955" s="59"/>
      <c r="X955" s="59"/>
      <c r="Y955" s="59"/>
      <c r="Z955" s="59"/>
      <c r="AA955" s="59"/>
      <c r="AB955" s="59"/>
    </row>
    <row r="956">
      <c r="A956" s="59"/>
      <c r="B956" s="59"/>
      <c r="C956" s="70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88"/>
      <c r="P956" s="90"/>
      <c r="Q956" s="88"/>
      <c r="R956" s="88"/>
      <c r="S956" s="88"/>
      <c r="T956" s="59"/>
      <c r="U956" s="59"/>
      <c r="V956" s="59"/>
      <c r="W956" s="59"/>
      <c r="X956" s="59"/>
      <c r="Y956" s="59"/>
      <c r="Z956" s="59"/>
      <c r="AA956" s="59"/>
      <c r="AB956" s="59"/>
    </row>
    <row r="957">
      <c r="A957" s="59"/>
      <c r="B957" s="59"/>
      <c r="C957" s="70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88"/>
      <c r="P957" s="90"/>
      <c r="Q957" s="88"/>
      <c r="R957" s="88"/>
      <c r="S957" s="88"/>
      <c r="T957" s="59"/>
      <c r="U957" s="59"/>
      <c r="V957" s="59"/>
      <c r="W957" s="59"/>
      <c r="X957" s="59"/>
      <c r="Y957" s="59"/>
      <c r="Z957" s="59"/>
      <c r="AA957" s="59"/>
      <c r="AB957" s="59"/>
    </row>
    <row r="958">
      <c r="A958" s="59"/>
      <c r="B958" s="59"/>
      <c r="C958" s="70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88"/>
      <c r="P958" s="90"/>
      <c r="Q958" s="88"/>
      <c r="R958" s="88"/>
      <c r="S958" s="88"/>
      <c r="T958" s="59"/>
      <c r="U958" s="59"/>
      <c r="V958" s="59"/>
      <c r="W958" s="59"/>
      <c r="X958" s="59"/>
      <c r="Y958" s="59"/>
      <c r="Z958" s="59"/>
      <c r="AA958" s="59"/>
      <c r="AB958" s="59"/>
    </row>
    <row r="959">
      <c r="A959" s="59"/>
      <c r="B959" s="59"/>
      <c r="C959" s="70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88"/>
      <c r="P959" s="90"/>
      <c r="Q959" s="88"/>
      <c r="R959" s="88"/>
      <c r="S959" s="88"/>
      <c r="T959" s="59"/>
      <c r="U959" s="59"/>
      <c r="V959" s="59"/>
      <c r="W959" s="59"/>
      <c r="X959" s="59"/>
      <c r="Y959" s="59"/>
      <c r="Z959" s="59"/>
      <c r="AA959" s="59"/>
      <c r="AB959" s="59"/>
    </row>
    <row r="960">
      <c r="A960" s="59"/>
      <c r="B960" s="59"/>
      <c r="C960" s="70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88"/>
      <c r="P960" s="90"/>
      <c r="Q960" s="88"/>
      <c r="R960" s="88"/>
      <c r="S960" s="88"/>
      <c r="T960" s="59"/>
      <c r="U960" s="59"/>
      <c r="V960" s="59"/>
      <c r="W960" s="59"/>
      <c r="X960" s="59"/>
      <c r="Y960" s="59"/>
      <c r="Z960" s="59"/>
      <c r="AA960" s="59"/>
      <c r="AB960" s="59"/>
    </row>
    <row r="961">
      <c r="A961" s="59"/>
      <c r="B961" s="59"/>
      <c r="C961" s="70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88"/>
      <c r="P961" s="90"/>
      <c r="Q961" s="88"/>
      <c r="R961" s="88"/>
      <c r="S961" s="88"/>
      <c r="T961" s="59"/>
      <c r="U961" s="59"/>
      <c r="V961" s="59"/>
      <c r="W961" s="59"/>
      <c r="X961" s="59"/>
      <c r="Y961" s="59"/>
      <c r="Z961" s="59"/>
      <c r="AA961" s="59"/>
      <c r="AB961" s="59"/>
    </row>
    <row r="962">
      <c r="A962" s="59"/>
      <c r="B962" s="59"/>
      <c r="C962" s="70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88"/>
      <c r="P962" s="90"/>
      <c r="Q962" s="88"/>
      <c r="R962" s="88"/>
      <c r="S962" s="88"/>
      <c r="T962" s="59"/>
      <c r="U962" s="59"/>
      <c r="V962" s="59"/>
      <c r="W962" s="59"/>
      <c r="X962" s="59"/>
      <c r="Y962" s="59"/>
      <c r="Z962" s="59"/>
      <c r="AA962" s="59"/>
      <c r="AB962" s="59"/>
    </row>
    <row r="963">
      <c r="A963" s="59"/>
      <c r="B963" s="59"/>
      <c r="C963" s="70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88"/>
      <c r="P963" s="90"/>
      <c r="Q963" s="88"/>
      <c r="R963" s="88"/>
      <c r="S963" s="88"/>
      <c r="T963" s="59"/>
      <c r="U963" s="59"/>
      <c r="V963" s="59"/>
      <c r="W963" s="59"/>
      <c r="X963" s="59"/>
      <c r="Y963" s="59"/>
      <c r="Z963" s="59"/>
      <c r="AA963" s="59"/>
      <c r="AB963" s="59"/>
    </row>
    <row r="964">
      <c r="A964" s="59"/>
      <c r="B964" s="59"/>
      <c r="C964" s="70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88"/>
      <c r="P964" s="90"/>
      <c r="Q964" s="88"/>
      <c r="R964" s="88"/>
      <c r="S964" s="88"/>
      <c r="T964" s="59"/>
      <c r="U964" s="59"/>
      <c r="V964" s="59"/>
      <c r="W964" s="59"/>
      <c r="X964" s="59"/>
      <c r="Y964" s="59"/>
      <c r="Z964" s="59"/>
      <c r="AA964" s="59"/>
      <c r="AB964" s="59"/>
    </row>
    <row r="965">
      <c r="A965" s="59"/>
      <c r="B965" s="59"/>
      <c r="C965" s="70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88"/>
      <c r="P965" s="90"/>
      <c r="Q965" s="88"/>
      <c r="R965" s="88"/>
      <c r="S965" s="88"/>
      <c r="T965" s="59"/>
      <c r="U965" s="59"/>
      <c r="V965" s="59"/>
      <c r="W965" s="59"/>
      <c r="X965" s="59"/>
      <c r="Y965" s="59"/>
      <c r="Z965" s="59"/>
      <c r="AA965" s="59"/>
      <c r="AB965" s="59"/>
    </row>
    <row r="966">
      <c r="A966" s="59"/>
      <c r="B966" s="59"/>
      <c r="C966" s="70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88"/>
      <c r="P966" s="90"/>
      <c r="Q966" s="88"/>
      <c r="R966" s="88"/>
      <c r="S966" s="88"/>
      <c r="T966" s="59"/>
      <c r="U966" s="59"/>
      <c r="V966" s="59"/>
      <c r="W966" s="59"/>
      <c r="X966" s="59"/>
      <c r="Y966" s="59"/>
      <c r="Z966" s="59"/>
      <c r="AA966" s="59"/>
      <c r="AB966" s="59"/>
    </row>
    <row r="967">
      <c r="A967" s="59"/>
      <c r="B967" s="59"/>
      <c r="C967" s="70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88"/>
      <c r="P967" s="90"/>
      <c r="Q967" s="88"/>
      <c r="R967" s="88"/>
      <c r="S967" s="88"/>
      <c r="T967" s="59"/>
      <c r="U967" s="59"/>
      <c r="V967" s="59"/>
      <c r="W967" s="59"/>
      <c r="X967" s="59"/>
      <c r="Y967" s="59"/>
      <c r="Z967" s="59"/>
      <c r="AA967" s="59"/>
      <c r="AB967" s="59"/>
    </row>
    <row r="968">
      <c r="A968" s="59"/>
      <c r="B968" s="59"/>
      <c r="C968" s="70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88"/>
      <c r="P968" s="90"/>
      <c r="Q968" s="88"/>
      <c r="R968" s="88"/>
      <c r="S968" s="88"/>
      <c r="T968" s="59"/>
      <c r="U968" s="59"/>
      <c r="V968" s="59"/>
      <c r="W968" s="59"/>
      <c r="X968" s="59"/>
      <c r="Y968" s="59"/>
      <c r="Z968" s="59"/>
      <c r="AA968" s="59"/>
      <c r="AB968" s="59"/>
    </row>
    <row r="969">
      <c r="A969" s="59"/>
      <c r="B969" s="59"/>
      <c r="C969" s="70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88"/>
      <c r="P969" s="90"/>
      <c r="Q969" s="88"/>
      <c r="R969" s="88"/>
      <c r="S969" s="88"/>
      <c r="T969" s="59"/>
      <c r="U969" s="59"/>
      <c r="V969" s="59"/>
      <c r="W969" s="59"/>
      <c r="X969" s="59"/>
      <c r="Y969" s="59"/>
      <c r="Z969" s="59"/>
      <c r="AA969" s="59"/>
      <c r="AB969" s="59"/>
    </row>
    <row r="970">
      <c r="A970" s="59"/>
      <c r="B970" s="59"/>
      <c r="C970" s="70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88"/>
      <c r="P970" s="90"/>
      <c r="Q970" s="88"/>
      <c r="R970" s="88"/>
      <c r="S970" s="88"/>
      <c r="T970" s="59"/>
      <c r="U970" s="59"/>
      <c r="V970" s="59"/>
      <c r="W970" s="59"/>
      <c r="X970" s="59"/>
      <c r="Y970" s="59"/>
      <c r="Z970" s="59"/>
      <c r="AA970" s="59"/>
      <c r="AB970" s="59"/>
    </row>
    <row r="971">
      <c r="A971" s="59"/>
      <c r="B971" s="59"/>
      <c r="C971" s="70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88"/>
      <c r="P971" s="90"/>
      <c r="Q971" s="88"/>
      <c r="R971" s="88"/>
      <c r="S971" s="88"/>
      <c r="T971" s="59"/>
      <c r="U971" s="59"/>
      <c r="V971" s="59"/>
      <c r="W971" s="59"/>
      <c r="X971" s="59"/>
      <c r="Y971" s="59"/>
      <c r="Z971" s="59"/>
      <c r="AA971" s="59"/>
      <c r="AB971" s="59"/>
    </row>
    <row r="972">
      <c r="A972" s="59"/>
      <c r="B972" s="59"/>
      <c r="C972" s="70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88"/>
      <c r="P972" s="90"/>
      <c r="Q972" s="88"/>
      <c r="R972" s="88"/>
      <c r="S972" s="88"/>
      <c r="T972" s="59"/>
      <c r="U972" s="59"/>
      <c r="V972" s="59"/>
      <c r="W972" s="59"/>
      <c r="X972" s="59"/>
      <c r="Y972" s="59"/>
      <c r="Z972" s="59"/>
      <c r="AA972" s="59"/>
      <c r="AB972" s="59"/>
    </row>
    <row r="973">
      <c r="A973" s="59"/>
      <c r="B973" s="59"/>
      <c r="C973" s="70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88"/>
      <c r="P973" s="90"/>
      <c r="Q973" s="88"/>
      <c r="R973" s="88"/>
      <c r="S973" s="88"/>
      <c r="T973" s="59"/>
      <c r="U973" s="59"/>
      <c r="V973" s="59"/>
      <c r="W973" s="59"/>
      <c r="X973" s="59"/>
      <c r="Y973" s="59"/>
      <c r="Z973" s="59"/>
      <c r="AA973" s="59"/>
      <c r="AB973" s="59"/>
    </row>
    <row r="974">
      <c r="A974" s="59"/>
      <c r="B974" s="59"/>
      <c r="C974" s="70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88"/>
      <c r="P974" s="90"/>
      <c r="Q974" s="88"/>
      <c r="R974" s="88"/>
      <c r="S974" s="88"/>
      <c r="T974" s="59"/>
      <c r="U974" s="59"/>
      <c r="V974" s="59"/>
      <c r="W974" s="59"/>
      <c r="X974" s="59"/>
      <c r="Y974" s="59"/>
      <c r="Z974" s="59"/>
      <c r="AA974" s="59"/>
      <c r="AB974" s="59"/>
    </row>
    <row r="975">
      <c r="A975" s="59"/>
      <c r="B975" s="59"/>
      <c r="C975" s="70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88"/>
      <c r="P975" s="90"/>
      <c r="Q975" s="88"/>
      <c r="R975" s="88"/>
      <c r="S975" s="88"/>
      <c r="T975" s="59"/>
      <c r="U975" s="59"/>
      <c r="V975" s="59"/>
      <c r="W975" s="59"/>
      <c r="X975" s="59"/>
      <c r="Y975" s="59"/>
      <c r="Z975" s="59"/>
      <c r="AA975" s="59"/>
      <c r="AB975" s="59"/>
    </row>
    <row r="976">
      <c r="A976" s="59"/>
      <c r="B976" s="59"/>
      <c r="C976" s="70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88"/>
      <c r="P976" s="90"/>
      <c r="Q976" s="88"/>
      <c r="R976" s="88"/>
      <c r="S976" s="88"/>
      <c r="T976" s="59"/>
      <c r="U976" s="59"/>
      <c r="V976" s="59"/>
      <c r="W976" s="59"/>
      <c r="X976" s="59"/>
      <c r="Y976" s="59"/>
      <c r="Z976" s="59"/>
      <c r="AA976" s="59"/>
      <c r="AB976" s="59"/>
    </row>
    <row r="977">
      <c r="A977" s="59"/>
      <c r="B977" s="59"/>
      <c r="C977" s="70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88"/>
      <c r="P977" s="90"/>
      <c r="Q977" s="88"/>
      <c r="R977" s="88"/>
      <c r="S977" s="88"/>
      <c r="T977" s="59"/>
      <c r="U977" s="59"/>
      <c r="V977" s="59"/>
      <c r="W977" s="59"/>
      <c r="X977" s="59"/>
      <c r="Y977" s="59"/>
      <c r="Z977" s="59"/>
      <c r="AA977" s="59"/>
      <c r="AB977" s="59"/>
    </row>
    <row r="978">
      <c r="A978" s="59"/>
      <c r="B978" s="59"/>
      <c r="C978" s="70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88"/>
      <c r="P978" s="90"/>
      <c r="Q978" s="88"/>
      <c r="R978" s="88"/>
      <c r="S978" s="88"/>
      <c r="T978" s="59"/>
      <c r="U978" s="59"/>
      <c r="V978" s="59"/>
      <c r="W978" s="59"/>
      <c r="X978" s="59"/>
      <c r="Y978" s="59"/>
      <c r="Z978" s="59"/>
      <c r="AA978" s="59"/>
      <c r="AB978" s="59"/>
    </row>
    <row r="979">
      <c r="A979" s="59"/>
      <c r="B979" s="59"/>
      <c r="C979" s="70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88"/>
      <c r="P979" s="90"/>
      <c r="Q979" s="88"/>
      <c r="R979" s="88"/>
      <c r="S979" s="88"/>
      <c r="T979" s="59"/>
      <c r="U979" s="59"/>
      <c r="V979" s="59"/>
      <c r="W979" s="59"/>
      <c r="X979" s="59"/>
      <c r="Y979" s="59"/>
      <c r="Z979" s="59"/>
      <c r="AA979" s="59"/>
      <c r="AB979" s="59"/>
    </row>
    <row r="980">
      <c r="A980" s="59"/>
      <c r="B980" s="59"/>
      <c r="C980" s="70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88"/>
      <c r="P980" s="90"/>
      <c r="Q980" s="88"/>
      <c r="R980" s="88"/>
      <c r="S980" s="88"/>
      <c r="T980" s="59"/>
      <c r="U980" s="59"/>
      <c r="V980" s="59"/>
      <c r="W980" s="59"/>
      <c r="X980" s="59"/>
      <c r="Y980" s="59"/>
      <c r="Z980" s="59"/>
      <c r="AA980" s="59"/>
      <c r="AB980" s="59"/>
    </row>
    <row r="981">
      <c r="A981" s="59"/>
      <c r="B981" s="59"/>
      <c r="C981" s="70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88"/>
      <c r="P981" s="90"/>
      <c r="Q981" s="88"/>
      <c r="R981" s="88"/>
      <c r="S981" s="88"/>
      <c r="T981" s="59"/>
      <c r="U981" s="59"/>
      <c r="V981" s="59"/>
      <c r="W981" s="59"/>
      <c r="X981" s="59"/>
      <c r="Y981" s="59"/>
      <c r="Z981" s="59"/>
      <c r="AA981" s="59"/>
      <c r="AB981" s="59"/>
    </row>
    <row r="982">
      <c r="A982" s="59"/>
      <c r="B982" s="59"/>
      <c r="C982" s="70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88"/>
      <c r="P982" s="90"/>
      <c r="Q982" s="88"/>
      <c r="R982" s="88"/>
      <c r="S982" s="88"/>
      <c r="T982" s="59"/>
      <c r="U982" s="59"/>
      <c r="V982" s="59"/>
      <c r="W982" s="59"/>
      <c r="X982" s="59"/>
      <c r="Y982" s="59"/>
      <c r="Z982" s="59"/>
      <c r="AA982" s="59"/>
      <c r="AB982" s="59"/>
    </row>
    <row r="983">
      <c r="A983" s="59"/>
      <c r="B983" s="59"/>
      <c r="C983" s="70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88"/>
      <c r="P983" s="90"/>
      <c r="Q983" s="88"/>
      <c r="R983" s="88"/>
      <c r="S983" s="88"/>
      <c r="T983" s="59"/>
      <c r="U983" s="59"/>
      <c r="V983" s="59"/>
      <c r="W983" s="59"/>
      <c r="X983" s="59"/>
      <c r="Y983" s="59"/>
      <c r="Z983" s="59"/>
      <c r="AA983" s="59"/>
      <c r="AB983" s="59"/>
    </row>
    <row r="984">
      <c r="A984" s="59"/>
      <c r="B984" s="59"/>
      <c r="C984" s="70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88"/>
      <c r="P984" s="90"/>
      <c r="Q984" s="88"/>
      <c r="R984" s="88"/>
      <c r="S984" s="88"/>
      <c r="T984" s="59"/>
      <c r="U984" s="59"/>
      <c r="V984" s="59"/>
      <c r="W984" s="59"/>
      <c r="X984" s="59"/>
      <c r="Y984" s="59"/>
      <c r="Z984" s="59"/>
      <c r="AA984" s="59"/>
      <c r="AB984" s="59"/>
    </row>
    <row r="985">
      <c r="A985" s="59"/>
      <c r="B985" s="59"/>
      <c r="C985" s="70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88"/>
      <c r="P985" s="90"/>
      <c r="Q985" s="88"/>
      <c r="R985" s="88"/>
      <c r="S985" s="88"/>
      <c r="T985" s="59"/>
      <c r="U985" s="59"/>
      <c r="V985" s="59"/>
      <c r="W985" s="59"/>
      <c r="X985" s="59"/>
      <c r="Y985" s="59"/>
      <c r="Z985" s="59"/>
      <c r="AA985" s="59"/>
      <c r="AB985" s="59"/>
    </row>
    <row r="986">
      <c r="A986" s="59"/>
      <c r="B986" s="59"/>
      <c r="C986" s="70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88"/>
      <c r="P986" s="90"/>
      <c r="Q986" s="88"/>
      <c r="R986" s="88"/>
      <c r="S986" s="88"/>
      <c r="T986" s="59"/>
      <c r="U986" s="59"/>
      <c r="V986" s="59"/>
      <c r="W986" s="59"/>
      <c r="X986" s="59"/>
      <c r="Y986" s="59"/>
      <c r="Z986" s="59"/>
      <c r="AA986" s="59"/>
      <c r="AB986" s="59"/>
    </row>
    <row r="987">
      <c r="A987" s="59"/>
      <c r="B987" s="59"/>
      <c r="C987" s="70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88"/>
      <c r="P987" s="90"/>
      <c r="Q987" s="88"/>
      <c r="R987" s="88"/>
      <c r="S987" s="88"/>
      <c r="T987" s="59"/>
      <c r="U987" s="59"/>
      <c r="V987" s="59"/>
      <c r="W987" s="59"/>
      <c r="X987" s="59"/>
      <c r="Y987" s="59"/>
      <c r="Z987" s="59"/>
      <c r="AA987" s="59"/>
      <c r="AB987" s="59"/>
    </row>
    <row r="988">
      <c r="A988" s="59"/>
      <c r="B988" s="59"/>
      <c r="C988" s="70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88"/>
      <c r="P988" s="90"/>
      <c r="Q988" s="88"/>
      <c r="R988" s="88"/>
      <c r="S988" s="88"/>
      <c r="T988" s="59"/>
      <c r="U988" s="59"/>
      <c r="V988" s="59"/>
      <c r="W988" s="59"/>
      <c r="X988" s="59"/>
      <c r="Y988" s="59"/>
      <c r="Z988" s="59"/>
      <c r="AA988" s="59"/>
      <c r="AB988" s="59"/>
    </row>
    <row r="989">
      <c r="A989" s="59"/>
      <c r="B989" s="59"/>
      <c r="C989" s="70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88"/>
      <c r="P989" s="90"/>
      <c r="Q989" s="88"/>
      <c r="R989" s="88"/>
      <c r="S989" s="88"/>
      <c r="T989" s="59"/>
      <c r="U989" s="59"/>
      <c r="V989" s="59"/>
      <c r="W989" s="59"/>
      <c r="X989" s="59"/>
      <c r="Y989" s="59"/>
      <c r="Z989" s="59"/>
      <c r="AA989" s="59"/>
      <c r="AB989" s="59"/>
    </row>
    <row r="990">
      <c r="A990" s="59"/>
      <c r="B990" s="59"/>
      <c r="C990" s="70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88"/>
      <c r="P990" s="90"/>
      <c r="Q990" s="88"/>
      <c r="R990" s="88"/>
      <c r="S990" s="88"/>
      <c r="T990" s="59"/>
      <c r="U990" s="59"/>
      <c r="V990" s="59"/>
      <c r="W990" s="59"/>
      <c r="X990" s="59"/>
      <c r="Y990" s="59"/>
      <c r="Z990" s="59"/>
      <c r="AA990" s="59"/>
      <c r="AB990" s="59"/>
    </row>
    <row r="991">
      <c r="A991" s="59"/>
      <c r="B991" s="59"/>
      <c r="C991" s="70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88"/>
      <c r="P991" s="90"/>
      <c r="Q991" s="88"/>
      <c r="R991" s="88"/>
      <c r="S991" s="88"/>
      <c r="T991" s="59"/>
      <c r="U991" s="59"/>
      <c r="V991" s="59"/>
      <c r="W991" s="59"/>
      <c r="X991" s="59"/>
      <c r="Y991" s="59"/>
      <c r="Z991" s="59"/>
      <c r="AA991" s="59"/>
      <c r="AB991" s="59"/>
    </row>
    <row r="992">
      <c r="A992" s="59"/>
      <c r="B992" s="59"/>
      <c r="C992" s="70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88"/>
      <c r="P992" s="90"/>
      <c r="Q992" s="88"/>
      <c r="R992" s="88"/>
      <c r="S992" s="88"/>
      <c r="T992" s="59"/>
      <c r="U992" s="59"/>
      <c r="V992" s="59"/>
      <c r="W992" s="59"/>
      <c r="X992" s="59"/>
      <c r="Y992" s="59"/>
      <c r="Z992" s="59"/>
      <c r="AA992" s="59"/>
      <c r="AB992" s="59"/>
    </row>
    <row r="993">
      <c r="A993" s="59"/>
      <c r="B993" s="59"/>
      <c r="C993" s="70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88"/>
      <c r="P993" s="90"/>
      <c r="Q993" s="88"/>
      <c r="R993" s="88"/>
      <c r="S993" s="88"/>
      <c r="T993" s="59"/>
      <c r="U993" s="59"/>
      <c r="V993" s="59"/>
      <c r="W993" s="59"/>
      <c r="X993" s="59"/>
      <c r="Y993" s="59"/>
      <c r="Z993" s="59"/>
      <c r="AA993" s="59"/>
      <c r="AB993" s="59"/>
    </row>
    <row r="994">
      <c r="A994" s="59"/>
      <c r="B994" s="59"/>
      <c r="C994" s="70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88"/>
      <c r="P994" s="90"/>
      <c r="Q994" s="88"/>
      <c r="R994" s="88"/>
      <c r="S994" s="88"/>
      <c r="T994" s="59"/>
      <c r="U994" s="59"/>
      <c r="V994" s="59"/>
      <c r="W994" s="59"/>
      <c r="X994" s="59"/>
      <c r="Y994" s="59"/>
      <c r="Z994" s="59"/>
      <c r="AA994" s="59"/>
      <c r="AB994" s="59"/>
    </row>
    <row r="995">
      <c r="A995" s="59"/>
      <c r="B995" s="59"/>
      <c r="C995" s="70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88"/>
      <c r="P995" s="90"/>
      <c r="Q995" s="88"/>
      <c r="R995" s="88"/>
      <c r="S995" s="88"/>
      <c r="T995" s="59"/>
      <c r="U995" s="59"/>
      <c r="V995" s="59"/>
      <c r="W995" s="59"/>
      <c r="X995" s="59"/>
      <c r="Y995" s="59"/>
      <c r="Z995" s="59"/>
      <c r="AA995" s="59"/>
      <c r="AB995" s="59"/>
    </row>
    <row r="996">
      <c r="A996" s="59"/>
      <c r="B996" s="59"/>
      <c r="C996" s="70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88"/>
      <c r="P996" s="90"/>
      <c r="Q996" s="88"/>
      <c r="R996" s="88"/>
      <c r="S996" s="88"/>
      <c r="T996" s="59"/>
      <c r="U996" s="59"/>
      <c r="V996" s="59"/>
      <c r="W996" s="59"/>
      <c r="X996" s="59"/>
      <c r="Y996" s="59"/>
      <c r="Z996" s="59"/>
      <c r="AA996" s="59"/>
      <c r="AB996" s="59"/>
    </row>
    <row r="997">
      <c r="A997" s="59"/>
      <c r="B997" s="59"/>
      <c r="C997" s="70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88"/>
      <c r="P997" s="90"/>
      <c r="Q997" s="88"/>
      <c r="R997" s="88"/>
      <c r="S997" s="88"/>
      <c r="T997" s="59"/>
      <c r="U997" s="59"/>
      <c r="V997" s="59"/>
      <c r="W997" s="59"/>
      <c r="X997" s="59"/>
      <c r="Y997" s="59"/>
      <c r="Z997" s="59"/>
      <c r="AA997" s="59"/>
      <c r="AB997" s="59"/>
    </row>
    <row r="998">
      <c r="A998" s="59"/>
      <c r="B998" s="59"/>
      <c r="C998" s="70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88"/>
      <c r="P998" s="90"/>
      <c r="Q998" s="88"/>
      <c r="R998" s="88"/>
      <c r="S998" s="88"/>
      <c r="T998" s="59"/>
      <c r="U998" s="59"/>
      <c r="V998" s="59"/>
      <c r="W998" s="59"/>
      <c r="X998" s="59"/>
      <c r="Y998" s="59"/>
      <c r="Z998" s="59"/>
      <c r="AA998" s="59"/>
      <c r="AB998" s="59"/>
    </row>
  </sheetData>
  <autoFilter ref="$A$3:$D$101">
    <sortState ref="A3:D101">
      <sortCondition descending="1" ref="D3:D101"/>
    </sortState>
  </autoFilter>
  <mergeCells count="15">
    <mergeCell ref="Q1:Q3"/>
    <mergeCell ref="R1:R3"/>
    <mergeCell ref="S1:S3"/>
    <mergeCell ref="E2:F2"/>
    <mergeCell ref="G2:H2"/>
    <mergeCell ref="I2:J2"/>
    <mergeCell ref="K2:L2"/>
    <mergeCell ref="E1:F1"/>
    <mergeCell ref="G1:H1"/>
    <mergeCell ref="I1:J1"/>
    <mergeCell ref="K1:L1"/>
    <mergeCell ref="M1:N1"/>
    <mergeCell ref="O1:O3"/>
    <mergeCell ref="P1:P3"/>
    <mergeCell ref="M2:N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25"/>
    <col customWidth="1" min="3" max="3" width="18.88"/>
    <col customWidth="1" min="5" max="5" width="20.13"/>
    <col customWidth="1" min="6" max="6" width="18.38"/>
    <col customWidth="1" min="7" max="8" width="19.0"/>
    <col customWidth="1" min="9" max="9" width="20.0"/>
    <col customWidth="1" min="10" max="10" width="18.63"/>
    <col customWidth="1" min="11" max="11" width="19.5"/>
    <col customWidth="1" min="12" max="12" width="18.63"/>
    <col customWidth="1" min="13" max="13" width="19.38"/>
    <col customWidth="1" min="14" max="14" width="18.38"/>
  </cols>
  <sheetData>
    <row r="1">
      <c r="D1" s="59"/>
      <c r="E1" s="60" t="s">
        <v>71</v>
      </c>
      <c r="F1" s="12"/>
      <c r="G1" s="61" t="s">
        <v>72</v>
      </c>
      <c r="H1" s="12"/>
      <c r="I1" s="62" t="s">
        <v>73</v>
      </c>
      <c r="J1" s="12"/>
      <c r="K1" s="63" t="s">
        <v>74</v>
      </c>
      <c r="L1" s="12"/>
      <c r="M1" s="64" t="s">
        <v>75</v>
      </c>
      <c r="N1" s="12"/>
      <c r="O1" s="65" t="s">
        <v>76</v>
      </c>
      <c r="P1" s="66" t="s">
        <v>77</v>
      </c>
      <c r="Q1" s="67" t="s">
        <v>78</v>
      </c>
      <c r="R1" s="68" t="s">
        <v>79</v>
      </c>
      <c r="S1" s="69" t="s">
        <v>80</v>
      </c>
      <c r="T1" s="59"/>
      <c r="U1" s="59"/>
      <c r="V1" s="91"/>
      <c r="W1" s="59"/>
      <c r="X1" s="59"/>
      <c r="Y1" s="59"/>
      <c r="Z1" s="59"/>
      <c r="AA1" s="59"/>
      <c r="AB1" s="59"/>
      <c r="AC1" s="59"/>
      <c r="AD1" s="59"/>
      <c r="AE1" s="59"/>
      <c r="AF1" s="59"/>
    </row>
    <row r="2">
      <c r="A2" s="59"/>
      <c r="B2" s="59"/>
      <c r="C2" s="70"/>
      <c r="D2" s="59"/>
      <c r="E2" s="71">
        <v>39706.0</v>
      </c>
      <c r="F2" s="12"/>
      <c r="G2" s="72">
        <v>40304.0</v>
      </c>
      <c r="H2" s="12"/>
      <c r="I2" s="73">
        <v>40763.0</v>
      </c>
      <c r="J2" s="12"/>
      <c r="K2" s="74">
        <v>42240.0</v>
      </c>
      <c r="L2" s="12"/>
      <c r="M2" s="75">
        <v>43881.0</v>
      </c>
      <c r="N2" s="12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</row>
    <row r="3">
      <c r="A3" s="92" t="s">
        <v>4</v>
      </c>
      <c r="B3" s="92" t="s">
        <v>280</v>
      </c>
      <c r="C3" s="93" t="s">
        <v>281</v>
      </c>
      <c r="D3" s="78" t="s">
        <v>7</v>
      </c>
      <c r="E3" s="79" t="s">
        <v>81</v>
      </c>
      <c r="F3" s="79" t="s">
        <v>82</v>
      </c>
      <c r="G3" s="80" t="s">
        <v>83</v>
      </c>
      <c r="H3" s="80" t="s">
        <v>84</v>
      </c>
      <c r="I3" s="81" t="s">
        <v>85</v>
      </c>
      <c r="J3" s="81" t="s">
        <v>86</v>
      </c>
      <c r="K3" s="82" t="s">
        <v>87</v>
      </c>
      <c r="L3" s="82" t="s">
        <v>88</v>
      </c>
      <c r="M3" s="83" t="s">
        <v>89</v>
      </c>
      <c r="N3" s="83" t="s">
        <v>90</v>
      </c>
      <c r="T3" s="59"/>
      <c r="U3" s="59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</row>
    <row r="4" hidden="1">
      <c r="A4" s="59" t="s">
        <v>282</v>
      </c>
      <c r="B4" s="59" t="s">
        <v>283</v>
      </c>
      <c r="C4" s="70">
        <v>3.3207944761E10</v>
      </c>
      <c r="D4" s="88" t="e">
        <v>#DIV/0!</v>
      </c>
      <c r="E4" s="94" t="e">
        <v>#N/A</v>
      </c>
      <c r="F4" s="94" t="e">
        <v>#N/A</v>
      </c>
      <c r="G4" s="94" t="e">
        <v>#N/A</v>
      </c>
      <c r="H4" s="59" t="e">
        <v>#N/A</v>
      </c>
      <c r="I4" s="94" t="e">
        <v>#N/A</v>
      </c>
      <c r="J4" s="59" t="e">
        <v>#N/A</v>
      </c>
      <c r="K4" s="94" t="e">
        <v>#N/A</v>
      </c>
      <c r="L4" s="94" t="e">
        <v>#N/A</v>
      </c>
      <c r="M4" s="94" t="e">
        <v>#N/A</v>
      </c>
      <c r="N4" s="59" t="e">
        <v>#N/A</v>
      </c>
      <c r="O4" s="88" t="e">
        <v>#N/A</v>
      </c>
      <c r="P4" s="95" t="e">
        <v>#N/A</v>
      </c>
      <c r="Q4" s="88" t="e">
        <v>#N/A</v>
      </c>
      <c r="R4" s="88" t="e">
        <v>#N/A</v>
      </c>
      <c r="S4" s="88" t="e">
        <v>#N/A</v>
      </c>
      <c r="T4" s="59"/>
      <c r="U4" s="59"/>
      <c r="V4" s="91"/>
      <c r="W4" s="91"/>
      <c r="X4" s="91"/>
      <c r="Y4" s="91"/>
      <c r="Z4" s="91"/>
      <c r="AA4" s="96"/>
      <c r="AB4" s="97"/>
      <c r="AC4" s="91"/>
      <c r="AD4" s="91"/>
      <c r="AE4" s="91"/>
      <c r="AF4" s="91"/>
    </row>
    <row r="5" hidden="1">
      <c r="A5" s="59" t="s">
        <v>284</v>
      </c>
      <c r="B5" s="59" t="s">
        <v>285</v>
      </c>
      <c r="C5" s="70">
        <v>3.2408364694E10</v>
      </c>
      <c r="D5" s="88" t="e">
        <v>#DIV/0!</v>
      </c>
      <c r="E5" s="94" t="e">
        <v>#N/A</v>
      </c>
      <c r="F5" s="94" t="e">
        <v>#N/A</v>
      </c>
      <c r="G5" s="94" t="e">
        <v>#N/A</v>
      </c>
      <c r="H5" s="59" t="e">
        <v>#N/A</v>
      </c>
      <c r="I5" s="94" t="e">
        <v>#N/A</v>
      </c>
      <c r="J5" s="59" t="e">
        <v>#N/A</v>
      </c>
      <c r="K5" s="94" t="e">
        <v>#N/A</v>
      </c>
      <c r="L5" s="94" t="e">
        <v>#N/A</v>
      </c>
      <c r="M5" s="94" t="e">
        <v>#N/A</v>
      </c>
      <c r="N5" s="59" t="e">
        <v>#N/A</v>
      </c>
      <c r="O5" s="88" t="e">
        <v>#N/A</v>
      </c>
      <c r="P5" s="95" t="e">
        <v>#N/A</v>
      </c>
      <c r="Q5" s="88" t="e">
        <v>#N/A</v>
      </c>
      <c r="R5" s="88" t="e">
        <v>#N/A</v>
      </c>
      <c r="S5" s="88" t="e">
        <v>#N/A</v>
      </c>
      <c r="T5" s="59"/>
      <c r="U5" s="59"/>
      <c r="V5" s="91"/>
      <c r="W5" s="91"/>
      <c r="X5" s="91"/>
      <c r="Y5" s="91"/>
      <c r="Z5" s="91"/>
      <c r="AA5" s="96"/>
      <c r="AB5" s="97"/>
      <c r="AC5" s="91"/>
      <c r="AD5" s="91"/>
      <c r="AE5" s="91"/>
      <c r="AF5" s="91"/>
    </row>
    <row r="6" hidden="1">
      <c r="A6" s="59" t="s">
        <v>286</v>
      </c>
      <c r="B6" s="59" t="s">
        <v>287</v>
      </c>
      <c r="C6" s="70">
        <v>3.1220259044E10</v>
      </c>
      <c r="D6" s="88" t="e">
        <v>#DIV/0!</v>
      </c>
      <c r="E6" s="94" t="e">
        <v>#N/A</v>
      </c>
      <c r="F6" s="94" t="e">
        <v>#N/A</v>
      </c>
      <c r="G6" s="94" t="e">
        <v>#N/A</v>
      </c>
      <c r="H6" s="59" t="e">
        <v>#N/A</v>
      </c>
      <c r="I6" s="94" t="e">
        <v>#N/A</v>
      </c>
      <c r="J6" s="59" t="e">
        <v>#N/A</v>
      </c>
      <c r="K6" s="94" t="e">
        <v>#N/A</v>
      </c>
      <c r="L6" s="94" t="e">
        <v>#N/A</v>
      </c>
      <c r="M6" s="94" t="e">
        <v>#N/A</v>
      </c>
      <c r="N6" s="59" t="e">
        <v>#N/A</v>
      </c>
      <c r="O6" s="88" t="e">
        <v>#N/A</v>
      </c>
      <c r="P6" s="95" t="e">
        <v>#N/A</v>
      </c>
      <c r="Q6" s="88" t="e">
        <v>#N/A</v>
      </c>
      <c r="R6" s="88" t="e">
        <v>#N/A</v>
      </c>
      <c r="S6" s="88" t="e">
        <v>#N/A</v>
      </c>
      <c r="T6" s="59"/>
      <c r="U6" s="59"/>
      <c r="V6" s="91"/>
      <c r="W6" s="91"/>
      <c r="X6" s="91"/>
      <c r="Y6" s="91"/>
      <c r="Z6" s="91"/>
      <c r="AA6" s="96"/>
      <c r="AB6" s="97"/>
      <c r="AC6" s="91"/>
      <c r="AD6" s="91"/>
      <c r="AE6" s="91"/>
      <c r="AF6" s="91"/>
    </row>
    <row r="7" hidden="1">
      <c r="A7" s="59" t="s">
        <v>288</v>
      </c>
      <c r="B7" s="59" t="s">
        <v>289</v>
      </c>
      <c r="C7" s="70">
        <v>2.9790070366E10</v>
      </c>
      <c r="D7" s="88" t="e">
        <v>#DIV/0!</v>
      </c>
      <c r="E7" s="94" t="e">
        <v>#N/A</v>
      </c>
      <c r="F7" s="94" t="e">
        <v>#N/A</v>
      </c>
      <c r="G7" s="94" t="e">
        <v>#N/A</v>
      </c>
      <c r="H7" s="59" t="e">
        <v>#N/A</v>
      </c>
      <c r="I7" s="94" t="e">
        <v>#N/A</v>
      </c>
      <c r="J7" s="59" t="e">
        <v>#N/A</v>
      </c>
      <c r="K7" s="94" t="e">
        <v>#N/A</v>
      </c>
      <c r="L7" s="94" t="e">
        <v>#N/A</v>
      </c>
      <c r="M7" s="94" t="e">
        <v>#N/A</v>
      </c>
      <c r="N7" s="59" t="e">
        <v>#N/A</v>
      </c>
      <c r="O7" s="88" t="e">
        <v>#N/A</v>
      </c>
      <c r="P7" s="95" t="e">
        <v>#N/A</v>
      </c>
      <c r="Q7" s="88" t="e">
        <v>#N/A</v>
      </c>
      <c r="R7" s="88" t="e">
        <v>#N/A</v>
      </c>
      <c r="S7" s="88" t="e">
        <v>#N/A</v>
      </c>
      <c r="T7" s="59"/>
      <c r="U7" s="59"/>
      <c r="V7" s="91"/>
      <c r="W7" s="91"/>
      <c r="X7" s="91"/>
      <c r="Y7" s="91"/>
      <c r="Z7" s="91"/>
      <c r="AA7" s="96"/>
      <c r="AB7" s="97"/>
      <c r="AC7" s="91"/>
      <c r="AD7" s="91"/>
      <c r="AE7" s="91"/>
      <c r="AF7" s="91"/>
    </row>
    <row r="8" hidden="1">
      <c r="A8" s="59" t="s">
        <v>290</v>
      </c>
      <c r="B8" s="59" t="s">
        <v>291</v>
      </c>
      <c r="C8" s="70">
        <v>1.2429838646E10</v>
      </c>
      <c r="D8" s="88" t="e">
        <v>#DIV/0!</v>
      </c>
      <c r="E8" s="94" t="e">
        <v>#N/A</v>
      </c>
      <c r="F8" s="94" t="e">
        <v>#N/A</v>
      </c>
      <c r="G8" s="94" t="e">
        <v>#N/A</v>
      </c>
      <c r="H8" s="59" t="e">
        <v>#N/A</v>
      </c>
      <c r="I8" s="94" t="e">
        <v>#N/A</v>
      </c>
      <c r="J8" s="59" t="e">
        <v>#N/A</v>
      </c>
      <c r="K8" s="94" t="e">
        <v>#N/A</v>
      </c>
      <c r="L8" s="94" t="e">
        <v>#N/A</v>
      </c>
      <c r="M8" s="94" t="e">
        <v>#N/A</v>
      </c>
      <c r="N8" s="59" t="e">
        <v>#N/A</v>
      </c>
      <c r="O8" s="88" t="e">
        <v>#N/A</v>
      </c>
      <c r="P8" s="95" t="e">
        <v>#N/A</v>
      </c>
      <c r="Q8" s="88" t="e">
        <v>#N/A</v>
      </c>
      <c r="R8" s="88" t="e">
        <v>#N/A</v>
      </c>
      <c r="S8" s="88" t="e">
        <v>#N/A</v>
      </c>
      <c r="T8" s="59"/>
      <c r="U8" s="59"/>
      <c r="V8" s="91"/>
      <c r="W8" s="91"/>
      <c r="X8" s="91"/>
      <c r="Y8" s="91"/>
      <c r="Z8" s="91"/>
      <c r="AA8" s="96"/>
      <c r="AB8" s="97"/>
      <c r="AC8" s="91"/>
      <c r="AD8" s="91"/>
      <c r="AE8" s="91"/>
      <c r="AF8" s="91"/>
    </row>
    <row r="9" hidden="1">
      <c r="A9" s="59" t="s">
        <v>292</v>
      </c>
      <c r="B9" s="59" t="s">
        <v>293</v>
      </c>
      <c r="C9" s="70">
        <v>1.2423105243E10</v>
      </c>
      <c r="D9" s="88" t="e">
        <v>#DIV/0!</v>
      </c>
      <c r="E9" s="94" t="e">
        <v>#N/A</v>
      </c>
      <c r="F9" s="94" t="e">
        <v>#N/A</v>
      </c>
      <c r="G9" s="94" t="e">
        <v>#N/A</v>
      </c>
      <c r="H9" s="59" t="e">
        <v>#N/A</v>
      </c>
      <c r="I9" s="94" t="e">
        <v>#N/A</v>
      </c>
      <c r="J9" s="59" t="e">
        <v>#N/A</v>
      </c>
      <c r="K9" s="94" t="e">
        <v>#N/A</v>
      </c>
      <c r="L9" s="94" t="e">
        <v>#N/A</v>
      </c>
      <c r="M9" s="94" t="e">
        <v>#N/A</v>
      </c>
      <c r="N9" s="59" t="e">
        <v>#N/A</v>
      </c>
      <c r="O9" s="88" t="e">
        <v>#N/A</v>
      </c>
      <c r="P9" s="95" t="e">
        <v>#N/A</v>
      </c>
      <c r="Q9" s="88" t="e">
        <v>#N/A</v>
      </c>
      <c r="R9" s="88" t="e">
        <v>#N/A</v>
      </c>
      <c r="S9" s="88" t="e">
        <v>#N/A</v>
      </c>
      <c r="T9" s="59"/>
      <c r="U9" s="59"/>
      <c r="V9" s="91"/>
      <c r="W9" s="91"/>
      <c r="X9" s="91"/>
      <c r="Y9" s="91"/>
      <c r="Z9" s="91"/>
      <c r="AA9" s="96"/>
      <c r="AB9" s="97"/>
      <c r="AC9" s="91"/>
      <c r="AD9" s="91"/>
      <c r="AE9" s="91"/>
      <c r="AF9" s="91"/>
    </row>
    <row r="10" hidden="1">
      <c r="A10" s="59" t="s">
        <v>294</v>
      </c>
      <c r="B10" s="59" t="s">
        <v>295</v>
      </c>
      <c r="C10" s="70">
        <v>6.711764821E9</v>
      </c>
      <c r="D10" s="88" t="e">
        <v>#DIV/0!</v>
      </c>
      <c r="E10" s="94" t="e">
        <v>#N/A</v>
      </c>
      <c r="F10" s="94" t="e">
        <v>#N/A</v>
      </c>
      <c r="G10" s="94" t="e">
        <v>#N/A</v>
      </c>
      <c r="H10" s="59" t="e">
        <v>#N/A</v>
      </c>
      <c r="I10" s="94" t="e">
        <v>#N/A</v>
      </c>
      <c r="J10" s="59" t="e">
        <v>#N/A</v>
      </c>
      <c r="K10" s="94" t="e">
        <v>#N/A</v>
      </c>
      <c r="L10" s="94" t="e">
        <v>#N/A</v>
      </c>
      <c r="M10" s="94" t="e">
        <v>#N/A</v>
      </c>
      <c r="N10" s="59" t="e">
        <v>#N/A</v>
      </c>
      <c r="O10" s="88" t="e">
        <v>#N/A</v>
      </c>
      <c r="P10" s="95" t="e">
        <v>#N/A</v>
      </c>
      <c r="Q10" s="88" t="e">
        <v>#N/A</v>
      </c>
      <c r="R10" s="88" t="e">
        <v>#N/A</v>
      </c>
      <c r="S10" s="88" t="e">
        <v>#N/A</v>
      </c>
      <c r="T10" s="59"/>
      <c r="U10" s="59"/>
      <c r="V10" s="91"/>
      <c r="W10" s="91"/>
      <c r="X10" s="91"/>
      <c r="Y10" s="91"/>
      <c r="Z10" s="91"/>
      <c r="AA10" s="96"/>
      <c r="AB10" s="97"/>
      <c r="AC10" s="91"/>
      <c r="AD10" s="91"/>
      <c r="AE10" s="91"/>
      <c r="AF10" s="91"/>
    </row>
    <row r="11">
      <c r="A11" s="59" t="s">
        <v>8</v>
      </c>
      <c r="B11" s="59" t="s">
        <v>9</v>
      </c>
      <c r="C11" s="70">
        <v>6.1501576519E10</v>
      </c>
      <c r="D11" s="86">
        <v>0.28614571536428834</v>
      </c>
      <c r="E11" s="94" t="e">
        <v>#N/A</v>
      </c>
      <c r="F11" s="94" t="e">
        <v>#N/A</v>
      </c>
      <c r="G11" s="94" t="e">
        <v>#N/A</v>
      </c>
      <c r="H11" s="59" t="e">
        <v>#N/A</v>
      </c>
      <c r="I11" s="94" t="e">
        <v>#N/A</v>
      </c>
      <c r="J11" s="59" t="e">
        <v>#N/A</v>
      </c>
      <c r="K11" s="94" t="e">
        <v>#N/A</v>
      </c>
      <c r="L11" s="94" t="e">
        <v>#N/A</v>
      </c>
      <c r="M11" s="94">
        <v>18.91</v>
      </c>
      <c r="N11" s="59">
        <v>26.49</v>
      </c>
      <c r="O11" s="88" t="e">
        <v>#N/A</v>
      </c>
      <c r="P11" s="95" t="e">
        <v>#N/A</v>
      </c>
      <c r="Q11" s="88" t="e">
        <v>#N/A</v>
      </c>
      <c r="R11" s="88" t="e">
        <v>#N/A</v>
      </c>
      <c r="S11" s="88">
        <v>0.28614571536428834</v>
      </c>
      <c r="T11" s="59"/>
      <c r="U11" s="59"/>
      <c r="V11" s="91"/>
      <c r="W11" s="91"/>
      <c r="X11" s="91"/>
      <c r="Y11" s="91"/>
      <c r="Z11" s="91"/>
      <c r="AA11" s="96"/>
      <c r="AB11" s="97"/>
      <c r="AC11" s="91"/>
      <c r="AD11" s="91"/>
      <c r="AE11" s="91"/>
      <c r="AF11" s="91"/>
    </row>
    <row r="12">
      <c r="A12" s="59" t="s">
        <v>10</v>
      </c>
      <c r="B12" s="59" t="s">
        <v>11</v>
      </c>
      <c r="C12" s="70">
        <v>1.5758298983E10</v>
      </c>
      <c r="D12" s="86">
        <v>-6.623482415459841E-4</v>
      </c>
      <c r="E12" s="94">
        <v>36.23</v>
      </c>
      <c r="F12" s="94">
        <v>39.2</v>
      </c>
      <c r="G12" s="94">
        <v>36.03</v>
      </c>
      <c r="H12" s="59">
        <v>35.04</v>
      </c>
      <c r="I12" s="94">
        <v>31.89</v>
      </c>
      <c r="J12" s="59">
        <v>30.69</v>
      </c>
      <c r="K12" s="94">
        <v>48.61</v>
      </c>
      <c r="L12" s="94">
        <v>47.01</v>
      </c>
      <c r="M12" s="94">
        <v>48.2</v>
      </c>
      <c r="N12" s="59">
        <v>49.3</v>
      </c>
      <c r="O12" s="88">
        <v>0.07576530612244912</v>
      </c>
      <c r="P12" s="95">
        <v>-0.028253424657534304</v>
      </c>
      <c r="Q12" s="88">
        <v>-0.03910068426197456</v>
      </c>
      <c r="R12" s="88">
        <v>-0.0340353116358222</v>
      </c>
      <c r="S12" s="88">
        <v>0.022312373225152015</v>
      </c>
      <c r="T12" s="59"/>
      <c r="U12" s="59"/>
      <c r="V12" s="91"/>
      <c r="W12" s="91"/>
      <c r="X12" s="91"/>
      <c r="Y12" s="91"/>
      <c r="Z12" s="91"/>
      <c r="AA12" s="96"/>
      <c r="AB12" s="97"/>
      <c r="AC12" s="91"/>
      <c r="AD12" s="91"/>
      <c r="AE12" s="91"/>
      <c r="AF12" s="91"/>
    </row>
    <row r="13">
      <c r="A13" s="59" t="s">
        <v>12</v>
      </c>
      <c r="B13" s="59" t="s">
        <v>13</v>
      </c>
      <c r="C13" s="70">
        <v>1.8092581399E10</v>
      </c>
      <c r="D13" s="86">
        <v>-0.01091195207238561</v>
      </c>
      <c r="E13" s="94">
        <v>61.85</v>
      </c>
      <c r="F13" s="94">
        <v>63.05</v>
      </c>
      <c r="G13" s="94">
        <v>64.05</v>
      </c>
      <c r="H13" s="59">
        <v>61.5</v>
      </c>
      <c r="I13" s="94">
        <v>67.18</v>
      </c>
      <c r="J13" s="59">
        <v>64.08</v>
      </c>
      <c r="K13" s="94">
        <v>113.97</v>
      </c>
      <c r="L13" s="94">
        <v>109.56</v>
      </c>
      <c r="M13" s="94">
        <v>164.82</v>
      </c>
      <c r="N13" s="59">
        <v>174.69</v>
      </c>
      <c r="O13" s="88">
        <v>0.019032513877874635</v>
      </c>
      <c r="P13" s="95">
        <v>-0.041463414634146295</v>
      </c>
      <c r="Q13" s="88">
        <v>-0.0483770287141075</v>
      </c>
      <c r="R13" s="88">
        <v>-0.04025191675794082</v>
      </c>
      <c r="S13" s="88">
        <v>0.05650008586639192</v>
      </c>
      <c r="T13" s="59"/>
      <c r="U13" s="59"/>
      <c r="V13" s="91"/>
      <c r="W13" s="91"/>
      <c r="X13" s="91"/>
      <c r="Y13" s="91"/>
      <c r="Z13" s="91"/>
      <c r="AA13" s="96"/>
      <c r="AB13" s="97"/>
      <c r="AC13" s="91"/>
      <c r="AD13" s="91"/>
      <c r="AE13" s="91"/>
      <c r="AF13" s="91"/>
    </row>
    <row r="14">
      <c r="A14" s="59" t="s">
        <v>14</v>
      </c>
      <c r="B14" s="59" t="s">
        <v>15</v>
      </c>
      <c r="C14" s="70">
        <v>4.7654977339E10</v>
      </c>
      <c r="D14" s="86">
        <v>-0.013271966264975076</v>
      </c>
      <c r="E14" s="94">
        <v>33.47</v>
      </c>
      <c r="F14" s="94">
        <v>34.08</v>
      </c>
      <c r="G14" s="94">
        <v>35.74</v>
      </c>
      <c r="H14" s="59">
        <v>34.84</v>
      </c>
      <c r="I14" s="94">
        <v>36.48</v>
      </c>
      <c r="J14" s="59">
        <v>35.61</v>
      </c>
      <c r="K14" s="94">
        <v>56.21</v>
      </c>
      <c r="L14" s="94">
        <v>54.52</v>
      </c>
      <c r="M14" s="94">
        <v>53.54</v>
      </c>
      <c r="N14" s="59">
        <v>53.38</v>
      </c>
      <c r="O14" s="88">
        <v>0.017899061032863834</v>
      </c>
      <c r="P14" s="95">
        <v>-0.02583237657864519</v>
      </c>
      <c r="Q14" s="88">
        <v>-0.024431339511373138</v>
      </c>
      <c r="R14" s="88">
        <v>-0.030997798972853954</v>
      </c>
      <c r="S14" s="88">
        <v>-0.002997377294866927</v>
      </c>
      <c r="T14" s="59"/>
      <c r="U14" s="59"/>
      <c r="V14" s="91"/>
      <c r="W14" s="91"/>
      <c r="X14" s="91"/>
      <c r="Y14" s="91"/>
      <c r="Z14" s="91"/>
      <c r="AA14" s="96"/>
      <c r="AB14" s="97"/>
      <c r="AC14" s="91"/>
      <c r="AD14" s="91"/>
      <c r="AE14" s="91"/>
      <c r="AF14" s="91"/>
    </row>
    <row r="15">
      <c r="A15" s="59" t="s">
        <v>16</v>
      </c>
      <c r="B15" s="59" t="s">
        <v>17</v>
      </c>
      <c r="C15" s="70">
        <v>1.4957124704E10</v>
      </c>
      <c r="D15" s="86">
        <v>-0.015033223044225663</v>
      </c>
      <c r="E15" s="94">
        <v>24.38</v>
      </c>
      <c r="F15" s="94">
        <v>21.48</v>
      </c>
      <c r="G15" s="94">
        <v>24.22</v>
      </c>
      <c r="H15" s="59">
        <v>21.65</v>
      </c>
      <c r="I15" s="94">
        <v>29.38</v>
      </c>
      <c r="J15" s="59">
        <v>26.21</v>
      </c>
      <c r="K15" s="94">
        <v>40.42</v>
      </c>
      <c r="L15" s="94">
        <v>38.61</v>
      </c>
      <c r="M15" s="94">
        <v>5.68</v>
      </c>
      <c r="N15" s="59">
        <v>8.69</v>
      </c>
      <c r="O15" s="88">
        <v>-0.13500931098696456</v>
      </c>
      <c r="P15" s="95">
        <v>-0.11870669745958431</v>
      </c>
      <c r="Q15" s="88">
        <v>-0.12094620373903082</v>
      </c>
      <c r="R15" s="88">
        <v>-0.04687904687904694</v>
      </c>
      <c r="S15" s="88">
        <v>0.34637514384349827</v>
      </c>
      <c r="T15" s="59"/>
      <c r="U15" s="59"/>
      <c r="V15" s="91"/>
      <c r="W15" s="91"/>
      <c r="X15" s="91"/>
      <c r="Y15" s="91"/>
      <c r="Z15" s="91"/>
      <c r="AA15" s="96"/>
      <c r="AB15" s="97"/>
      <c r="AC15" s="91"/>
      <c r="AD15" s="91"/>
      <c r="AE15" s="91"/>
      <c r="AF15" s="91"/>
    </row>
    <row r="16">
      <c r="A16" s="59" t="s">
        <v>19</v>
      </c>
      <c r="B16" s="59" t="s">
        <v>20</v>
      </c>
      <c r="C16" s="70">
        <v>4.1967141889E10</v>
      </c>
      <c r="D16" s="86">
        <v>-0.017775710067840282</v>
      </c>
      <c r="E16" s="94">
        <v>58.73</v>
      </c>
      <c r="F16" s="94">
        <v>61.68</v>
      </c>
      <c r="G16" s="94">
        <v>58.61</v>
      </c>
      <c r="H16" s="59">
        <v>58.47</v>
      </c>
      <c r="I16" s="94">
        <v>61.41</v>
      </c>
      <c r="J16" s="59">
        <v>60.25</v>
      </c>
      <c r="K16" s="94">
        <v>111.41</v>
      </c>
      <c r="L16" s="94">
        <v>106.38</v>
      </c>
      <c r="M16" s="94">
        <v>143.84</v>
      </c>
      <c r="N16" s="59">
        <v>134.71</v>
      </c>
      <c r="O16" s="88">
        <v>0.04782749675745789</v>
      </c>
      <c r="P16" s="95">
        <v>-0.0023943902856165653</v>
      </c>
      <c r="Q16" s="88">
        <v>-0.019253112033194963</v>
      </c>
      <c r="R16" s="88">
        <v>-0.04728332393307014</v>
      </c>
      <c r="S16" s="88">
        <v>-0.06777522084477763</v>
      </c>
      <c r="T16" s="59"/>
      <c r="U16" s="59"/>
      <c r="V16" s="91"/>
      <c r="W16" s="91"/>
      <c r="X16" s="91"/>
      <c r="Y16" s="91"/>
      <c r="Z16" s="91"/>
      <c r="AA16" s="96"/>
      <c r="AB16" s="97"/>
      <c r="AC16" s="91"/>
      <c r="AD16" s="91"/>
      <c r="AE16" s="91"/>
      <c r="AF16" s="91"/>
    </row>
    <row r="17">
      <c r="A17" s="59" t="s">
        <v>21</v>
      </c>
      <c r="B17" s="59" t="s">
        <v>22</v>
      </c>
      <c r="C17" s="70">
        <v>3.3764584067E10</v>
      </c>
      <c r="D17" s="86">
        <v>-0.024950809995427637</v>
      </c>
      <c r="E17" s="94">
        <v>13.63</v>
      </c>
      <c r="F17" s="94">
        <v>13.3</v>
      </c>
      <c r="G17" s="94">
        <v>11.37</v>
      </c>
      <c r="H17" s="59">
        <v>10.78</v>
      </c>
      <c r="I17" s="94">
        <v>11.78</v>
      </c>
      <c r="J17" s="59">
        <v>11.16</v>
      </c>
      <c r="K17" s="94">
        <v>34.93</v>
      </c>
      <c r="L17" s="94">
        <v>33.77</v>
      </c>
      <c r="M17" s="94">
        <v>29.71</v>
      </c>
      <c r="N17" s="59">
        <v>31.1</v>
      </c>
      <c r="O17" s="88">
        <v>-0.024812030075187973</v>
      </c>
      <c r="P17" s="95">
        <v>-0.05473098330241186</v>
      </c>
      <c r="Q17" s="88">
        <v>-0.05555555555555548</v>
      </c>
      <c r="R17" s="88">
        <v>-0.03435001480604076</v>
      </c>
      <c r="S17" s="88">
        <v>0.04469453376205789</v>
      </c>
      <c r="T17" s="59"/>
      <c r="U17" s="59"/>
      <c r="V17" s="91"/>
      <c r="W17" s="91"/>
      <c r="X17" s="91"/>
      <c r="Y17" s="91"/>
      <c r="Z17" s="91"/>
      <c r="AA17" s="96"/>
      <c r="AB17" s="97"/>
      <c r="AC17" s="91"/>
      <c r="AD17" s="91"/>
      <c r="AE17" s="91"/>
      <c r="AF17" s="91"/>
    </row>
    <row r="18">
      <c r="A18" s="59" t="s">
        <v>23</v>
      </c>
      <c r="B18" s="59" t="s">
        <v>24</v>
      </c>
      <c r="C18" s="70">
        <v>9.944216904E10</v>
      </c>
      <c r="D18" s="86">
        <v>-0.025144227344068664</v>
      </c>
      <c r="E18" s="94">
        <v>24.99</v>
      </c>
      <c r="F18" s="94">
        <v>23.92</v>
      </c>
      <c r="G18" s="94">
        <v>19.88</v>
      </c>
      <c r="H18" s="59">
        <v>19.18</v>
      </c>
      <c r="I18" s="94">
        <v>18.88</v>
      </c>
      <c r="J18" s="59">
        <v>18.41</v>
      </c>
      <c r="K18" s="94">
        <v>105.33</v>
      </c>
      <c r="L18" s="94">
        <v>100.66</v>
      </c>
      <c r="M18" s="94">
        <v>67.01</v>
      </c>
      <c r="N18" s="59">
        <v>68.9</v>
      </c>
      <c r="O18" s="88">
        <v>-0.044732441471571766</v>
      </c>
      <c r="P18" s="95">
        <v>-0.036496350364963466</v>
      </c>
      <c r="Q18" s="88">
        <v>-0.025529603476371475</v>
      </c>
      <c r="R18" s="88">
        <v>-0.04639380091396783</v>
      </c>
      <c r="S18" s="88">
        <v>0.02743105950653121</v>
      </c>
      <c r="T18" s="59"/>
      <c r="U18" s="59"/>
      <c r="V18" s="91"/>
      <c r="W18" s="91"/>
      <c r="X18" s="91"/>
      <c r="Y18" s="91"/>
      <c r="Z18" s="91"/>
      <c r="AA18" s="96"/>
      <c r="AB18" s="97"/>
      <c r="AC18" s="91"/>
      <c r="AD18" s="91"/>
      <c r="AE18" s="91"/>
      <c r="AF18" s="91"/>
    </row>
    <row r="19">
      <c r="A19" s="59" t="s">
        <v>25</v>
      </c>
      <c r="B19" s="59" t="s">
        <v>26</v>
      </c>
      <c r="C19" s="70">
        <v>2.5845194089E10</v>
      </c>
      <c r="D19" s="86">
        <v>-0.028610947453336765</v>
      </c>
      <c r="E19" s="94">
        <v>54.28</v>
      </c>
      <c r="F19" s="94">
        <v>55.68</v>
      </c>
      <c r="G19" s="94">
        <v>54.74</v>
      </c>
      <c r="H19" s="59">
        <v>52.84</v>
      </c>
      <c r="I19" s="94">
        <v>53.36</v>
      </c>
      <c r="J19" s="59">
        <v>51.67</v>
      </c>
      <c r="K19" s="94">
        <v>67.46</v>
      </c>
      <c r="L19" s="94">
        <v>65.74</v>
      </c>
      <c r="M19" s="94">
        <v>67.15</v>
      </c>
      <c r="N19" s="59">
        <v>62.56</v>
      </c>
      <c r="O19" s="88">
        <v>0.025143678160919516</v>
      </c>
      <c r="P19" s="95">
        <v>-0.03595760787282359</v>
      </c>
      <c r="Q19" s="88">
        <v>-0.03270756725372552</v>
      </c>
      <c r="R19" s="88">
        <v>-0.0261636750836629</v>
      </c>
      <c r="S19" s="88">
        <v>-0.07336956521739135</v>
      </c>
      <c r="T19" s="59"/>
      <c r="U19" s="59"/>
      <c r="V19" s="91"/>
      <c r="W19" s="91"/>
      <c r="X19" s="91"/>
      <c r="Y19" s="91"/>
      <c r="Z19" s="91"/>
      <c r="AA19" s="96"/>
      <c r="AB19" s="97"/>
      <c r="AC19" s="91"/>
      <c r="AD19" s="91"/>
      <c r="AE19" s="91"/>
      <c r="AF19" s="91"/>
    </row>
    <row r="20">
      <c r="A20" s="59" t="s">
        <v>27</v>
      </c>
      <c r="B20" s="59" t="s">
        <v>28</v>
      </c>
      <c r="C20" s="70">
        <v>8.1454886644E10</v>
      </c>
      <c r="D20" s="86">
        <v>-0.029991448155148127</v>
      </c>
      <c r="E20" s="94">
        <v>20.38</v>
      </c>
      <c r="F20" s="94">
        <v>20.45</v>
      </c>
      <c r="G20" s="94">
        <v>27.48</v>
      </c>
      <c r="H20" s="59">
        <v>23.58</v>
      </c>
      <c r="I20" s="94">
        <v>46.81</v>
      </c>
      <c r="J20" s="59">
        <v>44.96</v>
      </c>
      <c r="K20" s="94">
        <v>527.18</v>
      </c>
      <c r="L20" s="94">
        <v>504.58</v>
      </c>
      <c r="M20" s="94">
        <v>397.65</v>
      </c>
      <c r="N20" s="59">
        <v>440.83</v>
      </c>
      <c r="O20" s="88">
        <v>0.0034229828850855888</v>
      </c>
      <c r="P20" s="95">
        <v>-0.1653944020356235</v>
      </c>
      <c r="Q20" s="88">
        <v>-0.04114768683274025</v>
      </c>
      <c r="R20" s="88">
        <v>-0.04478972610884293</v>
      </c>
      <c r="S20" s="88">
        <v>0.09795159131638048</v>
      </c>
      <c r="T20" s="59"/>
      <c r="U20" s="59"/>
      <c r="V20" s="91"/>
      <c r="W20" s="91"/>
      <c r="X20" s="91"/>
      <c r="Y20" s="91"/>
      <c r="Z20" s="91"/>
      <c r="AA20" s="96"/>
      <c r="AB20" s="97"/>
      <c r="AC20" s="91"/>
      <c r="AD20" s="91"/>
      <c r="AE20" s="91"/>
      <c r="AF20" s="91"/>
    </row>
    <row r="21">
      <c r="A21" s="59" t="s">
        <v>296</v>
      </c>
      <c r="B21" s="59" t="s">
        <v>297</v>
      </c>
      <c r="C21" s="70">
        <v>1.5910077182E10</v>
      </c>
      <c r="D21" s="86">
        <v>-0.033767960458392</v>
      </c>
      <c r="E21" s="94">
        <v>53.63</v>
      </c>
      <c r="F21" s="94">
        <v>51.31</v>
      </c>
      <c r="G21" s="94">
        <v>61.06</v>
      </c>
      <c r="H21" s="59">
        <v>58.43</v>
      </c>
      <c r="I21" s="94">
        <v>73.88</v>
      </c>
      <c r="J21" s="59">
        <v>70.48</v>
      </c>
      <c r="K21" s="94">
        <v>109.9</v>
      </c>
      <c r="L21" s="94">
        <v>108.12</v>
      </c>
      <c r="M21" s="94">
        <v>109.34</v>
      </c>
      <c r="N21" s="59">
        <v>107.84</v>
      </c>
      <c r="O21" s="88">
        <v>-0.0452153576300916</v>
      </c>
      <c r="P21" s="95">
        <v>-0.045011124422385806</v>
      </c>
      <c r="Q21" s="88">
        <v>-0.04824063564131656</v>
      </c>
      <c r="R21" s="88">
        <v>-0.0164631890492046</v>
      </c>
      <c r="S21" s="88">
        <v>-0.013909495548961424</v>
      </c>
      <c r="T21" s="59"/>
      <c r="U21" s="59"/>
      <c r="V21" s="91"/>
      <c r="W21" s="91"/>
      <c r="X21" s="91"/>
      <c r="Y21" s="91"/>
      <c r="Z21" s="91"/>
      <c r="AA21" s="96"/>
      <c r="AB21" s="97"/>
      <c r="AC21" s="91"/>
      <c r="AD21" s="91"/>
      <c r="AE21" s="91"/>
      <c r="AF21" s="91"/>
    </row>
    <row r="22">
      <c r="A22" s="59" t="s">
        <v>298</v>
      </c>
      <c r="B22" s="59" t="s">
        <v>299</v>
      </c>
      <c r="C22" s="70">
        <v>2.5370878706E10</v>
      </c>
      <c r="D22" s="86">
        <v>-0.03668968512635582</v>
      </c>
      <c r="E22" s="94">
        <v>8.85</v>
      </c>
      <c r="F22" s="94">
        <v>9.25</v>
      </c>
      <c r="G22" s="94">
        <v>10.23</v>
      </c>
      <c r="H22" s="59">
        <v>10.06</v>
      </c>
      <c r="I22" s="94">
        <v>13.96</v>
      </c>
      <c r="J22" s="59">
        <v>13.38</v>
      </c>
      <c r="K22" s="94">
        <v>30.69</v>
      </c>
      <c r="L22" s="94">
        <v>29.67</v>
      </c>
      <c r="M22" s="94">
        <v>48.26</v>
      </c>
      <c r="N22" s="59">
        <v>42.63</v>
      </c>
      <c r="O22" s="88">
        <v>0.04324324324324328</v>
      </c>
      <c r="P22" s="95">
        <v>-0.01689860834990059</v>
      </c>
      <c r="Q22" s="88">
        <v>-0.043348281016442454</v>
      </c>
      <c r="R22" s="88">
        <v>-0.03437815975733062</v>
      </c>
      <c r="S22" s="88">
        <v>-0.1320666197513487</v>
      </c>
      <c r="T22" s="59"/>
      <c r="U22" s="59"/>
      <c r="V22" s="91"/>
      <c r="W22" s="91"/>
      <c r="X22" s="91"/>
      <c r="Y22" s="91"/>
      <c r="Z22" s="91"/>
      <c r="AA22" s="96"/>
      <c r="AB22" s="97"/>
      <c r="AC22" s="91"/>
      <c r="AD22" s="91"/>
      <c r="AE22" s="91"/>
      <c r="AF22" s="91"/>
    </row>
    <row r="23">
      <c r="A23" s="59" t="s">
        <v>300</v>
      </c>
      <c r="B23" s="59" t="s">
        <v>301</v>
      </c>
      <c r="C23" s="70">
        <v>3.35012636978E11</v>
      </c>
      <c r="D23" s="86">
        <v>-0.03917810431053396</v>
      </c>
      <c r="E23" s="94">
        <v>46.09</v>
      </c>
      <c r="F23" s="94">
        <v>46.04</v>
      </c>
      <c r="G23" s="94">
        <v>35.19</v>
      </c>
      <c r="H23" s="59">
        <v>34.62</v>
      </c>
      <c r="I23" s="94">
        <v>36.24</v>
      </c>
      <c r="J23" s="59">
        <v>34.8</v>
      </c>
      <c r="K23" s="94">
        <v>84.53</v>
      </c>
      <c r="L23" s="94">
        <v>80.73</v>
      </c>
      <c r="M23" s="94">
        <v>141.01</v>
      </c>
      <c r="N23" s="59">
        <v>129.38</v>
      </c>
      <c r="O23" s="88">
        <v>-0.001086012163336322</v>
      </c>
      <c r="P23" s="95">
        <v>-0.016464471403812835</v>
      </c>
      <c r="Q23" s="88">
        <v>-0.04137931034482773</v>
      </c>
      <c r="R23" s="88">
        <v>-0.04707048185309051</v>
      </c>
      <c r="S23" s="88">
        <v>-0.08989024578760238</v>
      </c>
      <c r="T23" s="59"/>
      <c r="U23" s="59"/>
      <c r="V23" s="91"/>
      <c r="W23" s="91"/>
      <c r="X23" s="91"/>
      <c r="Y23" s="91"/>
      <c r="Z23" s="91"/>
      <c r="AA23" s="96"/>
      <c r="AB23" s="97"/>
      <c r="AC23" s="91"/>
      <c r="AD23" s="91"/>
      <c r="AE23" s="91"/>
      <c r="AF23" s="91"/>
    </row>
    <row r="24">
      <c r="A24" s="59" t="s">
        <v>33</v>
      </c>
      <c r="B24" s="59" t="s">
        <v>34</v>
      </c>
      <c r="C24" s="70">
        <v>3.84580373294E11</v>
      </c>
      <c r="D24" s="86">
        <v>-0.03921159928896585</v>
      </c>
      <c r="E24" s="94">
        <v>59.78</v>
      </c>
      <c r="F24" s="94">
        <v>61.63</v>
      </c>
      <c r="G24" s="94">
        <v>53.74</v>
      </c>
      <c r="H24" s="59">
        <v>52.4</v>
      </c>
      <c r="I24" s="94">
        <v>50.85</v>
      </c>
      <c r="J24" s="59">
        <v>48.92</v>
      </c>
      <c r="K24" s="94">
        <v>66.54</v>
      </c>
      <c r="L24" s="94">
        <v>63.95</v>
      </c>
      <c r="M24" s="94">
        <v>119.63</v>
      </c>
      <c r="N24" s="59">
        <v>106.76</v>
      </c>
      <c r="O24" s="88">
        <v>0.030017848450430006</v>
      </c>
      <c r="P24" s="95">
        <v>-0.02557251908396953</v>
      </c>
      <c r="Q24" s="88">
        <v>-0.039452166802943577</v>
      </c>
      <c r="R24" s="88">
        <v>-0.04050039093041444</v>
      </c>
      <c r="S24" s="88">
        <v>-0.12055076807793172</v>
      </c>
      <c r="T24" s="59"/>
      <c r="U24" s="59"/>
      <c r="V24" s="91"/>
      <c r="W24" s="91"/>
      <c r="X24" s="91"/>
      <c r="Y24" s="91"/>
      <c r="Z24" s="91"/>
      <c r="AA24" s="96"/>
      <c r="AB24" s="97"/>
      <c r="AC24" s="91"/>
      <c r="AD24" s="91"/>
      <c r="AE24" s="91"/>
      <c r="AF24" s="91"/>
    </row>
    <row r="25">
      <c r="A25" s="59" t="s">
        <v>37</v>
      </c>
      <c r="B25" s="59" t="s">
        <v>38</v>
      </c>
      <c r="C25" s="70">
        <v>3.21756168244E11</v>
      </c>
      <c r="D25" s="86">
        <v>-0.04551691565696297</v>
      </c>
      <c r="E25" s="94">
        <v>70.44</v>
      </c>
      <c r="F25" s="94">
        <v>72.14</v>
      </c>
      <c r="G25" s="94">
        <v>62.68</v>
      </c>
      <c r="H25" s="59">
        <v>60.31</v>
      </c>
      <c r="I25" s="94">
        <v>60.59</v>
      </c>
      <c r="J25" s="59">
        <v>59.29</v>
      </c>
      <c r="K25" s="94">
        <v>71.84</v>
      </c>
      <c r="L25" s="94">
        <v>69.14</v>
      </c>
      <c r="M25" s="94">
        <v>124.87</v>
      </c>
      <c r="N25" s="59">
        <v>108.5</v>
      </c>
      <c r="O25" s="88">
        <v>0.023565289714444177</v>
      </c>
      <c r="P25" s="95">
        <v>-0.039296965677333734</v>
      </c>
      <c r="Q25" s="88">
        <v>-0.02192612582222979</v>
      </c>
      <c r="R25" s="88">
        <v>-0.03905120046282908</v>
      </c>
      <c r="S25" s="88">
        <v>-0.1508755760368664</v>
      </c>
      <c r="T25" s="59"/>
      <c r="U25" s="59"/>
      <c r="V25" s="91"/>
      <c r="W25" s="91"/>
      <c r="X25" s="91"/>
      <c r="Y25" s="91"/>
      <c r="Z25" s="91"/>
      <c r="AA25" s="96"/>
      <c r="AB25" s="97"/>
      <c r="AC25" s="91"/>
      <c r="AD25" s="91"/>
      <c r="AE25" s="91"/>
      <c r="AF25" s="91"/>
    </row>
    <row r="26">
      <c r="A26" s="59" t="s">
        <v>302</v>
      </c>
      <c r="B26" s="59" t="s">
        <v>303</v>
      </c>
      <c r="C26" s="70">
        <v>1.7416126954E10</v>
      </c>
      <c r="D26" s="86">
        <v>-0.046403912152360706</v>
      </c>
      <c r="E26" s="94">
        <v>15.11</v>
      </c>
      <c r="F26" s="94">
        <v>15.38</v>
      </c>
      <c r="G26" s="94">
        <v>19.25</v>
      </c>
      <c r="H26" s="59">
        <v>18.35</v>
      </c>
      <c r="I26" s="94">
        <v>19.02</v>
      </c>
      <c r="J26" s="59">
        <v>18.34</v>
      </c>
      <c r="K26" s="94">
        <v>33.45</v>
      </c>
      <c r="L26" s="94">
        <v>32.29</v>
      </c>
      <c r="M26" s="94">
        <v>30.68</v>
      </c>
      <c r="N26" s="59">
        <v>27.21</v>
      </c>
      <c r="O26" s="88">
        <v>0.01755526657997408</v>
      </c>
      <c r="P26" s="95">
        <v>-0.04904632152588548</v>
      </c>
      <c r="Q26" s="88">
        <v>-0.03707742639040348</v>
      </c>
      <c r="R26" s="88">
        <v>-0.03592443480953867</v>
      </c>
      <c r="S26" s="88">
        <v>-0.12752664461594998</v>
      </c>
      <c r="T26" s="59"/>
      <c r="U26" s="59"/>
      <c r="V26" s="91"/>
      <c r="W26" s="91"/>
      <c r="X26" s="91"/>
      <c r="Y26" s="91"/>
      <c r="Z26" s="91"/>
      <c r="AA26" s="96"/>
      <c r="AB26" s="97"/>
      <c r="AC26" s="91"/>
      <c r="AD26" s="91"/>
      <c r="AE26" s="91"/>
      <c r="AF26" s="91"/>
    </row>
    <row r="27">
      <c r="A27" s="59" t="s">
        <v>304</v>
      </c>
      <c r="B27" s="59" t="s">
        <v>305</v>
      </c>
      <c r="C27" s="70">
        <v>3.121031521E10</v>
      </c>
      <c r="D27" s="86">
        <v>-0.049855581716340705</v>
      </c>
      <c r="E27" s="94">
        <v>41.16</v>
      </c>
      <c r="F27" s="94">
        <v>44.13</v>
      </c>
      <c r="G27" s="94">
        <v>45.73</v>
      </c>
      <c r="H27" s="59">
        <v>44.34</v>
      </c>
      <c r="I27" s="94">
        <v>53.27</v>
      </c>
      <c r="J27" s="59">
        <v>50.41</v>
      </c>
      <c r="K27" s="94">
        <v>66.06</v>
      </c>
      <c r="L27" s="94">
        <v>63.37</v>
      </c>
      <c r="M27" s="94">
        <v>94.35</v>
      </c>
      <c r="N27" s="59">
        <v>79.55</v>
      </c>
      <c r="O27" s="88">
        <v>0.06730115567641073</v>
      </c>
      <c r="P27" s="95">
        <v>-0.03134866937302646</v>
      </c>
      <c r="Q27" s="88">
        <v>-0.0567347748462608</v>
      </c>
      <c r="R27" s="88">
        <v>-0.042449108410920075</v>
      </c>
      <c r="S27" s="88">
        <v>-0.18604651162790695</v>
      </c>
      <c r="T27" s="59"/>
      <c r="U27" s="59"/>
      <c r="V27" s="91"/>
      <c r="W27" s="91"/>
      <c r="X27" s="91"/>
      <c r="Y27" s="91"/>
      <c r="Z27" s="91"/>
      <c r="AA27" s="96"/>
      <c r="AB27" s="97"/>
      <c r="AC27" s="91"/>
      <c r="AD27" s="91"/>
      <c r="AE27" s="91"/>
      <c r="AF27" s="91"/>
    </row>
    <row r="28">
      <c r="A28" s="59" t="s">
        <v>306</v>
      </c>
      <c r="B28" s="59" t="s">
        <v>307</v>
      </c>
      <c r="C28" s="70">
        <v>3.3104413029E10</v>
      </c>
      <c r="D28" s="86">
        <v>-0.05146525933722942</v>
      </c>
      <c r="E28" s="94">
        <v>39.54</v>
      </c>
      <c r="F28" s="94">
        <v>38.38</v>
      </c>
      <c r="G28" s="94">
        <v>54.93</v>
      </c>
      <c r="H28" s="59">
        <v>53.39</v>
      </c>
      <c r="I28" s="94">
        <v>54.41</v>
      </c>
      <c r="J28" s="59">
        <v>54.13</v>
      </c>
      <c r="K28" s="94">
        <v>18.14</v>
      </c>
      <c r="L28" s="94">
        <v>16.89</v>
      </c>
      <c r="M28" s="94">
        <v>45.58</v>
      </c>
      <c r="N28" s="59">
        <v>40.73</v>
      </c>
      <c r="O28" s="88">
        <v>-0.030224075039082764</v>
      </c>
      <c r="P28" s="95">
        <v>-0.02884435287507022</v>
      </c>
      <c r="Q28" s="88">
        <v>-0.0051727323111027896</v>
      </c>
      <c r="R28" s="88">
        <v>-0.07400828892835998</v>
      </c>
      <c r="S28" s="88">
        <v>-0.11907684753253135</v>
      </c>
      <c r="T28" s="59"/>
      <c r="U28" s="59"/>
      <c r="V28" s="91"/>
      <c r="W28" s="91"/>
      <c r="X28" s="91"/>
      <c r="Y28" s="91"/>
      <c r="Z28" s="91"/>
      <c r="AA28" s="96"/>
      <c r="AB28" s="97"/>
      <c r="AC28" s="91"/>
      <c r="AD28" s="91"/>
      <c r="AE28" s="91"/>
      <c r="AF28" s="91"/>
    </row>
    <row r="29">
      <c r="A29" s="59" t="s">
        <v>308</v>
      </c>
      <c r="B29" s="59" t="s">
        <v>309</v>
      </c>
      <c r="C29" s="70">
        <v>1.2120741974E10</v>
      </c>
      <c r="D29" s="86">
        <v>-0.05391059938611731</v>
      </c>
      <c r="E29" s="94">
        <v>50.4</v>
      </c>
      <c r="F29" s="94">
        <v>54.62</v>
      </c>
      <c r="G29" s="94">
        <v>61.77</v>
      </c>
      <c r="H29" s="59">
        <v>57.83</v>
      </c>
      <c r="I29" s="94">
        <v>68.13</v>
      </c>
      <c r="J29" s="59">
        <v>64.26</v>
      </c>
      <c r="K29" s="94">
        <v>67.24</v>
      </c>
      <c r="L29" s="94">
        <v>65.16</v>
      </c>
      <c r="M29" s="94">
        <v>72.45</v>
      </c>
      <c r="N29" s="59">
        <v>61.06</v>
      </c>
      <c r="O29" s="88">
        <v>0.07726107652874403</v>
      </c>
      <c r="P29" s="95">
        <v>-0.06813072799584999</v>
      </c>
      <c r="Q29" s="88">
        <v>-0.06022408963585418</v>
      </c>
      <c r="R29" s="88">
        <v>-0.03192142418661753</v>
      </c>
      <c r="S29" s="88">
        <v>-0.18653783164100884</v>
      </c>
      <c r="T29" s="59"/>
      <c r="U29" s="59"/>
      <c r="V29" s="91"/>
      <c r="W29" s="91"/>
      <c r="X29" s="91"/>
      <c r="Y29" s="91"/>
      <c r="Z29" s="91"/>
      <c r="AA29" s="96"/>
      <c r="AB29" s="97"/>
      <c r="AC29" s="91"/>
      <c r="AD29" s="91"/>
      <c r="AE29" s="91"/>
      <c r="AF29" s="91"/>
    </row>
    <row r="30">
      <c r="A30" s="59" t="s">
        <v>41</v>
      </c>
      <c r="B30" s="59" t="s">
        <v>42</v>
      </c>
      <c r="C30" s="70">
        <v>4.52540967536E11</v>
      </c>
      <c r="D30" s="86">
        <v>-0.054527497732741625</v>
      </c>
      <c r="E30" s="94">
        <v>70.45</v>
      </c>
      <c r="F30" s="94">
        <v>69.61</v>
      </c>
      <c r="G30" s="94">
        <v>65.33</v>
      </c>
      <c r="H30" s="59">
        <v>63.31</v>
      </c>
      <c r="I30" s="94">
        <v>62.71</v>
      </c>
      <c r="J30" s="59">
        <v>61.12</v>
      </c>
      <c r="K30" s="94">
        <v>95.56</v>
      </c>
      <c r="L30" s="94">
        <v>92.82</v>
      </c>
      <c r="M30" s="94">
        <v>149.14</v>
      </c>
      <c r="N30" s="59">
        <v>127.13</v>
      </c>
      <c r="O30" s="88">
        <v>-0.01206723171958057</v>
      </c>
      <c r="P30" s="95">
        <v>-0.03190649186542404</v>
      </c>
      <c r="Q30" s="88">
        <v>-0.02601439790575922</v>
      </c>
      <c r="R30" s="88">
        <v>-0.0295195001077355</v>
      </c>
      <c r="S30" s="88">
        <v>-0.17312986706520878</v>
      </c>
      <c r="T30" s="59"/>
      <c r="U30" s="59"/>
      <c r="V30" s="91"/>
      <c r="W30" s="91"/>
      <c r="X30" s="91"/>
      <c r="Y30" s="91"/>
      <c r="Z30" s="91"/>
      <c r="AA30" s="96"/>
      <c r="AB30" s="97"/>
      <c r="AC30" s="91"/>
      <c r="AD30" s="91"/>
      <c r="AE30" s="91"/>
      <c r="AF30" s="91"/>
    </row>
    <row r="31">
      <c r="A31" s="59" t="s">
        <v>95</v>
      </c>
      <c r="B31" s="59" t="s">
        <v>310</v>
      </c>
      <c r="C31" s="70">
        <v>2.21284368334E11</v>
      </c>
      <c r="D31" s="86">
        <v>-0.05620692521049815</v>
      </c>
      <c r="E31" s="94">
        <v>67.36</v>
      </c>
      <c r="F31" s="94">
        <v>68.95</v>
      </c>
      <c r="G31" s="94">
        <v>59.31</v>
      </c>
      <c r="H31" s="59">
        <v>57.31</v>
      </c>
      <c r="I31" s="94">
        <v>76.74</v>
      </c>
      <c r="J31" s="59">
        <v>70.62</v>
      </c>
      <c r="K31" s="94">
        <v>138.99</v>
      </c>
      <c r="L31" s="94">
        <v>132.97</v>
      </c>
      <c r="M31" s="94">
        <v>322.05</v>
      </c>
      <c r="N31" s="59">
        <v>283.18</v>
      </c>
      <c r="O31" s="88">
        <v>0.023060188542422092</v>
      </c>
      <c r="P31" s="95">
        <v>-0.034897923573547374</v>
      </c>
      <c r="Q31" s="88">
        <v>-0.08666100254885287</v>
      </c>
      <c r="R31" s="88">
        <v>-0.045273369933067686</v>
      </c>
      <c r="S31" s="88">
        <v>-0.13726251853944488</v>
      </c>
      <c r="T31" s="59"/>
      <c r="U31" s="59"/>
      <c r="V31" s="91"/>
      <c r="W31" s="91"/>
      <c r="X31" s="91"/>
      <c r="Y31" s="91"/>
      <c r="Z31" s="91"/>
      <c r="AA31" s="96"/>
      <c r="AB31" s="97"/>
      <c r="AC31" s="91"/>
      <c r="AD31" s="91"/>
      <c r="AE31" s="91"/>
      <c r="AF31" s="91"/>
    </row>
    <row r="32">
      <c r="A32" s="59" t="s">
        <v>311</v>
      </c>
      <c r="B32" s="59" t="s">
        <v>312</v>
      </c>
      <c r="C32" s="70">
        <v>3.491972846E10</v>
      </c>
      <c r="D32" s="86">
        <v>-0.05629125843585394</v>
      </c>
      <c r="E32" s="94">
        <v>36.42</v>
      </c>
      <c r="F32" s="94">
        <v>39.5</v>
      </c>
      <c r="G32" s="94">
        <v>47.56</v>
      </c>
      <c r="H32" s="59">
        <v>46.42</v>
      </c>
      <c r="I32" s="94">
        <v>56.15</v>
      </c>
      <c r="J32" s="59">
        <v>54.59</v>
      </c>
      <c r="K32" s="94">
        <v>89.52</v>
      </c>
      <c r="L32" s="94">
        <v>86.47</v>
      </c>
      <c r="M32" s="94">
        <v>160.06</v>
      </c>
      <c r="N32" s="59">
        <v>125.93</v>
      </c>
      <c r="O32" s="88">
        <v>0.07797468354430376</v>
      </c>
      <c r="P32" s="95">
        <v>-0.024558380008616987</v>
      </c>
      <c r="Q32" s="88">
        <v>-0.028576662392379465</v>
      </c>
      <c r="R32" s="88">
        <v>-0.03527234879148834</v>
      </c>
      <c r="S32" s="88">
        <v>-0.27102358453108866</v>
      </c>
      <c r="T32" s="59"/>
      <c r="U32" s="59"/>
      <c r="V32" s="91"/>
      <c r="W32" s="91"/>
      <c r="X32" s="91"/>
      <c r="Y32" s="91"/>
      <c r="Z32" s="91"/>
      <c r="AA32" s="96"/>
      <c r="AB32" s="97"/>
      <c r="AC32" s="91"/>
      <c r="AD32" s="91"/>
      <c r="AE32" s="91"/>
      <c r="AF32" s="91"/>
    </row>
    <row r="33">
      <c r="A33" s="59" t="s">
        <v>45</v>
      </c>
      <c r="B33" s="59" t="s">
        <v>46</v>
      </c>
      <c r="C33" s="70">
        <v>3.135812268E10</v>
      </c>
      <c r="D33" s="86">
        <v>-0.056689532671741004</v>
      </c>
      <c r="E33" s="94">
        <v>34.94</v>
      </c>
      <c r="F33" s="94">
        <v>34.27</v>
      </c>
      <c r="G33" s="94">
        <v>35.62</v>
      </c>
      <c r="H33" s="59">
        <v>34.87</v>
      </c>
      <c r="I33" s="94">
        <v>37.03</v>
      </c>
      <c r="J33" s="59">
        <v>35.22</v>
      </c>
      <c r="K33" s="94">
        <v>85.61</v>
      </c>
      <c r="L33" s="94">
        <v>82.27</v>
      </c>
      <c r="M33" s="94">
        <v>51.86</v>
      </c>
      <c r="N33" s="59">
        <v>45.08</v>
      </c>
      <c r="O33" s="88">
        <v>-0.01955062737087816</v>
      </c>
      <c r="P33" s="95">
        <v>-0.02150845999426441</v>
      </c>
      <c r="Q33" s="88">
        <v>-0.05139125496876781</v>
      </c>
      <c r="R33" s="88">
        <v>-0.04059803087395167</v>
      </c>
      <c r="S33" s="88">
        <v>-0.15039929015084297</v>
      </c>
      <c r="T33" s="59"/>
      <c r="U33" s="59"/>
      <c r="V33" s="91"/>
      <c r="W33" s="91"/>
      <c r="X33" s="91"/>
      <c r="Y33" s="91"/>
      <c r="Z33" s="91"/>
      <c r="AA33" s="96"/>
      <c r="AB33" s="97"/>
      <c r="AC33" s="91"/>
      <c r="AD33" s="91"/>
      <c r="AE33" s="91"/>
      <c r="AF33" s="91"/>
    </row>
    <row r="34">
      <c r="A34" s="59" t="s">
        <v>313</v>
      </c>
      <c r="B34" s="59" t="s">
        <v>314</v>
      </c>
      <c r="C34" s="70">
        <v>2.7841197655E10</v>
      </c>
      <c r="D34" s="86">
        <v>-0.05798133769356317</v>
      </c>
      <c r="E34" s="94">
        <v>44.97</v>
      </c>
      <c r="F34" s="94">
        <v>42.82</v>
      </c>
      <c r="G34" s="94">
        <v>59.91</v>
      </c>
      <c r="H34" s="59">
        <v>55.58</v>
      </c>
      <c r="I34" s="94">
        <v>54.42</v>
      </c>
      <c r="J34" s="59">
        <v>50.63</v>
      </c>
      <c r="K34" s="94">
        <v>65.95</v>
      </c>
      <c r="L34" s="94">
        <v>62.88</v>
      </c>
      <c r="M34" s="94">
        <v>133.2</v>
      </c>
      <c r="N34" s="59">
        <v>128.31</v>
      </c>
      <c r="O34" s="88">
        <v>-0.05021018215787012</v>
      </c>
      <c r="P34" s="95">
        <v>-0.07790572148254765</v>
      </c>
      <c r="Q34" s="88">
        <v>-0.07485680426624529</v>
      </c>
      <c r="R34" s="88">
        <v>-0.04882315521628499</v>
      </c>
      <c r="S34" s="88">
        <v>-0.03811082534486779</v>
      </c>
      <c r="T34" s="59"/>
      <c r="U34" s="59"/>
      <c r="V34" s="91"/>
      <c r="W34" s="91"/>
      <c r="X34" s="91"/>
      <c r="Y34" s="91"/>
      <c r="Z34" s="91"/>
      <c r="AA34" s="96"/>
      <c r="AB34" s="97"/>
      <c r="AC34" s="91"/>
      <c r="AD34" s="91"/>
      <c r="AE34" s="91"/>
      <c r="AF34" s="91"/>
    </row>
    <row r="35">
      <c r="A35" s="59" t="s">
        <v>315</v>
      </c>
      <c r="B35" s="59" t="s">
        <v>316</v>
      </c>
      <c r="C35" s="70">
        <v>8.2690844595E10</v>
      </c>
      <c r="D35" s="86">
        <v>-0.05831147242789562</v>
      </c>
      <c r="E35" s="94">
        <v>20.66</v>
      </c>
      <c r="F35" s="94">
        <v>20.91</v>
      </c>
      <c r="G35" s="94">
        <v>21.4</v>
      </c>
      <c r="H35" s="59">
        <v>20.76</v>
      </c>
      <c r="I35" s="94">
        <v>25.89</v>
      </c>
      <c r="J35" s="59">
        <v>24.54</v>
      </c>
      <c r="K35" s="94">
        <v>53.94</v>
      </c>
      <c r="L35" s="94">
        <v>52.14</v>
      </c>
      <c r="M35" s="94">
        <v>45.22</v>
      </c>
      <c r="N35" s="59">
        <v>38.22</v>
      </c>
      <c r="O35" s="88">
        <v>0.011956001912960305</v>
      </c>
      <c r="P35" s="95">
        <v>-0.03082851637764918</v>
      </c>
      <c r="Q35" s="88">
        <v>-0.055012224938875365</v>
      </c>
      <c r="R35" s="88">
        <v>-0.03452243958573067</v>
      </c>
      <c r="S35" s="88">
        <v>-0.18315018315018317</v>
      </c>
      <c r="T35" s="59"/>
      <c r="U35" s="59"/>
      <c r="V35" s="91"/>
      <c r="W35" s="91"/>
      <c r="X35" s="91"/>
      <c r="Y35" s="91"/>
      <c r="Z35" s="91"/>
      <c r="AA35" s="96"/>
      <c r="AB35" s="97"/>
      <c r="AC35" s="91"/>
      <c r="AD35" s="91"/>
      <c r="AE35" s="91"/>
      <c r="AF35" s="91"/>
    </row>
    <row r="36">
      <c r="A36" s="59" t="s">
        <v>49</v>
      </c>
      <c r="B36" s="59" t="s">
        <v>50</v>
      </c>
      <c r="C36" s="70">
        <v>1.56947177994E11</v>
      </c>
      <c r="D36" s="86">
        <v>-0.058407241475735484</v>
      </c>
      <c r="E36" s="94">
        <v>31.98</v>
      </c>
      <c r="F36" s="94">
        <v>31.08</v>
      </c>
      <c r="G36" s="94">
        <v>27.38</v>
      </c>
      <c r="H36" s="59">
        <v>26.36</v>
      </c>
      <c r="I36" s="94">
        <v>35.05</v>
      </c>
      <c r="J36" s="59">
        <v>33.12</v>
      </c>
      <c r="K36" s="94">
        <v>46.1</v>
      </c>
      <c r="L36" s="94">
        <v>44.74</v>
      </c>
      <c r="M36" s="94">
        <v>57.91</v>
      </c>
      <c r="N36" s="59">
        <v>50.99</v>
      </c>
      <c r="O36" s="88">
        <v>-0.028957528957529028</v>
      </c>
      <c r="P36" s="95">
        <v>-0.03869499241274657</v>
      </c>
      <c r="Q36" s="88">
        <v>-0.05827294685990338</v>
      </c>
      <c r="R36" s="88">
        <v>-0.030397854269110403</v>
      </c>
      <c r="S36" s="88">
        <v>-0.135712884879388</v>
      </c>
      <c r="T36" s="59"/>
      <c r="U36" s="59"/>
      <c r="V36" s="91"/>
      <c r="W36" s="91"/>
      <c r="X36" s="91"/>
      <c r="Y36" s="91"/>
      <c r="Z36" s="91"/>
      <c r="AA36" s="96"/>
      <c r="AB36" s="97"/>
      <c r="AC36" s="91"/>
      <c r="AD36" s="91"/>
      <c r="AE36" s="91"/>
      <c r="AF36" s="91"/>
    </row>
    <row r="37">
      <c r="A37" s="59" t="s">
        <v>317</v>
      </c>
      <c r="B37" s="59" t="s">
        <v>318</v>
      </c>
      <c r="C37" s="70">
        <v>6.6701432795E10</v>
      </c>
      <c r="D37" s="86">
        <v>-0.05910530043923765</v>
      </c>
      <c r="E37" s="94">
        <v>83.63</v>
      </c>
      <c r="F37" s="94">
        <v>79.66</v>
      </c>
      <c r="G37" s="94">
        <v>74.31</v>
      </c>
      <c r="H37" s="59">
        <v>71.81</v>
      </c>
      <c r="I37" s="94">
        <v>77.24</v>
      </c>
      <c r="J37" s="59">
        <v>74.5</v>
      </c>
      <c r="K37" s="94">
        <v>138.36</v>
      </c>
      <c r="L37" s="94">
        <v>134.74</v>
      </c>
      <c r="M37" s="94">
        <v>249.58</v>
      </c>
      <c r="N37" s="59">
        <v>217.55</v>
      </c>
      <c r="O37" s="88">
        <v>-0.04983680642731608</v>
      </c>
      <c r="P37" s="95">
        <v>-0.03481409274474307</v>
      </c>
      <c r="Q37" s="88">
        <v>-0.03677852348993282</v>
      </c>
      <c r="R37" s="88">
        <v>-0.02686655781505124</v>
      </c>
      <c r="S37" s="88">
        <v>-0.14723052171914502</v>
      </c>
      <c r="T37" s="59"/>
      <c r="U37" s="59"/>
      <c r="V37" s="91"/>
      <c r="W37" s="91"/>
      <c r="X37" s="91"/>
      <c r="Y37" s="91"/>
      <c r="Z37" s="91"/>
      <c r="AA37" s="96"/>
      <c r="AB37" s="97"/>
      <c r="AC37" s="91"/>
      <c r="AD37" s="91"/>
      <c r="AE37" s="91"/>
      <c r="AF37" s="91"/>
    </row>
    <row r="38">
      <c r="A38" s="59" t="s">
        <v>319</v>
      </c>
      <c r="B38" s="59" t="s">
        <v>320</v>
      </c>
      <c r="C38" s="70">
        <v>2.9004205125E10</v>
      </c>
      <c r="D38" s="86">
        <v>-0.06010791323551584</v>
      </c>
      <c r="E38" s="94">
        <v>22.66</v>
      </c>
      <c r="F38" s="94">
        <v>22.35</v>
      </c>
      <c r="G38" s="94">
        <v>26.72</v>
      </c>
      <c r="H38" s="59">
        <v>25.09</v>
      </c>
      <c r="I38" s="94">
        <v>29.61</v>
      </c>
      <c r="J38" s="59">
        <v>27.94</v>
      </c>
      <c r="K38" s="94">
        <v>51.3</v>
      </c>
      <c r="L38" s="94">
        <v>48.77</v>
      </c>
      <c r="M38" s="94">
        <v>102.88</v>
      </c>
      <c r="N38" s="59">
        <v>92.68</v>
      </c>
      <c r="O38" s="88">
        <v>-0.013870246085011128</v>
      </c>
      <c r="P38" s="95">
        <v>-0.06496612196094058</v>
      </c>
      <c r="Q38" s="88">
        <v>-0.05977093772369356</v>
      </c>
      <c r="R38" s="88">
        <v>-0.05187615337297506</v>
      </c>
      <c r="S38" s="88">
        <v>-0.11005610703495887</v>
      </c>
      <c r="T38" s="59"/>
      <c r="U38" s="59"/>
      <c r="V38" s="91"/>
      <c r="W38" s="91"/>
      <c r="X38" s="91"/>
      <c r="Y38" s="91"/>
      <c r="Z38" s="91"/>
      <c r="AA38" s="96"/>
      <c r="AB38" s="97"/>
      <c r="AC38" s="91"/>
      <c r="AD38" s="91"/>
      <c r="AE38" s="91"/>
      <c r="AF38" s="91"/>
    </row>
    <row r="39">
      <c r="A39" s="59" t="s">
        <v>321</v>
      </c>
      <c r="B39" s="59" t="s">
        <v>322</v>
      </c>
      <c r="C39" s="70">
        <v>2.0782336799E10</v>
      </c>
      <c r="D39" s="86">
        <v>-0.06033686623106086</v>
      </c>
      <c r="E39" s="94">
        <v>3.38</v>
      </c>
      <c r="F39" s="94">
        <v>3.46</v>
      </c>
      <c r="G39" s="94">
        <v>4.38</v>
      </c>
      <c r="H39" s="59">
        <v>4.1</v>
      </c>
      <c r="I39" s="94">
        <v>5.42</v>
      </c>
      <c r="J39" s="59">
        <v>4.95</v>
      </c>
      <c r="K39" s="94">
        <v>12.53</v>
      </c>
      <c r="L39" s="94">
        <v>11.83</v>
      </c>
      <c r="M39" s="94">
        <v>26.27</v>
      </c>
      <c r="N39" s="59">
        <v>23.83</v>
      </c>
      <c r="O39" s="88">
        <v>0.023121387283237014</v>
      </c>
      <c r="P39" s="95">
        <v>-0.06829268292682933</v>
      </c>
      <c r="Q39" s="88">
        <v>-0.0949494949494949</v>
      </c>
      <c r="R39" s="88">
        <v>-0.059171597633136036</v>
      </c>
      <c r="S39" s="88">
        <v>-0.10239194292908105</v>
      </c>
      <c r="T39" s="59"/>
      <c r="U39" s="59"/>
      <c r="V39" s="91"/>
      <c r="W39" s="91"/>
      <c r="X39" s="91"/>
      <c r="Y39" s="91"/>
      <c r="Z39" s="91"/>
      <c r="AA39" s="96"/>
      <c r="AB39" s="97"/>
      <c r="AC39" s="91"/>
      <c r="AD39" s="91"/>
      <c r="AE39" s="91"/>
      <c r="AF39" s="91"/>
    </row>
    <row r="40">
      <c r="A40" s="59" t="s">
        <v>53</v>
      </c>
      <c r="B40" s="59" t="s">
        <v>54</v>
      </c>
      <c r="C40" s="70">
        <v>1.45533287051E11</v>
      </c>
      <c r="D40" s="86">
        <v>-0.06148137540022151</v>
      </c>
      <c r="E40" s="94">
        <v>60.88</v>
      </c>
      <c r="F40" s="94">
        <v>62.19</v>
      </c>
      <c r="G40" s="94">
        <v>57.59</v>
      </c>
      <c r="H40" s="59">
        <v>54.46</v>
      </c>
      <c r="I40" s="94">
        <v>52.12</v>
      </c>
      <c r="J40" s="59">
        <v>49.88</v>
      </c>
      <c r="K40" s="94">
        <v>155.19</v>
      </c>
      <c r="L40" s="94">
        <v>147.64</v>
      </c>
      <c r="M40" s="94">
        <v>221.69</v>
      </c>
      <c r="N40" s="59">
        <v>188.68</v>
      </c>
      <c r="O40" s="88">
        <v>0.02106447981990666</v>
      </c>
      <c r="P40" s="95">
        <v>-0.0574733749540948</v>
      </c>
      <c r="Q40" s="88">
        <v>-0.04490777866880503</v>
      </c>
      <c r="R40" s="88">
        <v>-0.051137903007315175</v>
      </c>
      <c r="S40" s="88">
        <v>-0.1749523001907992</v>
      </c>
      <c r="T40" s="59"/>
      <c r="U40" s="59"/>
      <c r="V40" s="91"/>
      <c r="W40" s="91"/>
      <c r="X40" s="91"/>
      <c r="Y40" s="91"/>
      <c r="Z40" s="91"/>
      <c r="AA40" s="96"/>
      <c r="AB40" s="97"/>
      <c r="AC40" s="91"/>
      <c r="AD40" s="91"/>
      <c r="AE40" s="91"/>
      <c r="AF40" s="91"/>
    </row>
    <row r="41">
      <c r="A41" s="59" t="s">
        <v>323</v>
      </c>
      <c r="B41" s="59" t="s">
        <v>324</v>
      </c>
      <c r="C41" s="70">
        <v>6.1588695845E10</v>
      </c>
      <c r="D41" s="86">
        <v>-0.06278945841615019</v>
      </c>
      <c r="E41" s="94">
        <v>76.45</v>
      </c>
      <c r="F41" s="94">
        <v>78.18</v>
      </c>
      <c r="G41" s="94">
        <v>84.27</v>
      </c>
      <c r="H41" s="59">
        <v>80.21</v>
      </c>
      <c r="I41" s="94">
        <v>84.15</v>
      </c>
      <c r="J41" s="59">
        <v>82.8</v>
      </c>
      <c r="K41" s="94">
        <v>64.98</v>
      </c>
      <c r="L41" s="94">
        <v>61.95</v>
      </c>
      <c r="M41" s="94">
        <v>76.07</v>
      </c>
      <c r="N41" s="59">
        <v>62.34</v>
      </c>
      <c r="O41" s="88">
        <v>0.022128421591199845</v>
      </c>
      <c r="P41" s="95">
        <v>-0.050617130033661674</v>
      </c>
      <c r="Q41" s="88">
        <v>-0.01630434782608706</v>
      </c>
      <c r="R41" s="88">
        <v>-0.048910411622276044</v>
      </c>
      <c r="S41" s="88">
        <v>-0.22024382418992602</v>
      </c>
      <c r="T41" s="59"/>
      <c r="U41" s="59"/>
      <c r="V41" s="91"/>
      <c r="W41" s="91"/>
      <c r="X41" s="91"/>
      <c r="Y41" s="91"/>
      <c r="Z41" s="91"/>
      <c r="AA41" s="96"/>
      <c r="AB41" s="97"/>
      <c r="AC41" s="91"/>
      <c r="AD41" s="91"/>
      <c r="AE41" s="91"/>
      <c r="AF41" s="91"/>
    </row>
    <row r="42">
      <c r="A42" s="59" t="s">
        <v>325</v>
      </c>
      <c r="B42" s="59" t="s">
        <v>326</v>
      </c>
      <c r="C42" s="70">
        <v>3.2398584941E10</v>
      </c>
      <c r="D42" s="86">
        <v>-0.06437159208881496</v>
      </c>
      <c r="E42" s="94">
        <v>20.5</v>
      </c>
      <c r="F42" s="94">
        <v>20.33</v>
      </c>
      <c r="G42" s="94">
        <v>31.28</v>
      </c>
      <c r="H42" s="59">
        <v>29.91</v>
      </c>
      <c r="I42" s="94">
        <v>36.81</v>
      </c>
      <c r="J42" s="59">
        <v>34.63</v>
      </c>
      <c r="K42" s="94">
        <v>101.8</v>
      </c>
      <c r="L42" s="94">
        <v>98.53</v>
      </c>
      <c r="M42" s="94">
        <v>94.31</v>
      </c>
      <c r="N42" s="59">
        <v>80.5</v>
      </c>
      <c r="O42" s="88">
        <v>-0.008362026561731515</v>
      </c>
      <c r="P42" s="95">
        <v>-0.04580407890337683</v>
      </c>
      <c r="Q42" s="88">
        <v>-0.06295119838290499</v>
      </c>
      <c r="R42" s="88">
        <v>-0.03318786156500554</v>
      </c>
      <c r="S42" s="88">
        <v>-0.17155279503105592</v>
      </c>
      <c r="T42" s="59"/>
      <c r="U42" s="59"/>
      <c r="V42" s="91"/>
      <c r="W42" s="91"/>
      <c r="X42" s="91"/>
      <c r="Y42" s="91"/>
      <c r="Z42" s="91"/>
      <c r="AA42" s="96"/>
      <c r="AB42" s="97"/>
      <c r="AC42" s="91"/>
      <c r="AD42" s="91"/>
      <c r="AE42" s="91"/>
      <c r="AF42" s="91"/>
    </row>
    <row r="43">
      <c r="A43" s="59" t="s">
        <v>99</v>
      </c>
      <c r="B43" s="59" t="s">
        <v>327</v>
      </c>
      <c r="C43" s="70">
        <v>2.49034716619E11</v>
      </c>
      <c r="D43" s="86">
        <v>-0.0650422284044653</v>
      </c>
      <c r="E43" s="94">
        <v>68.39</v>
      </c>
      <c r="F43" s="94">
        <v>72.35</v>
      </c>
      <c r="G43" s="94">
        <v>65.69</v>
      </c>
      <c r="H43" s="59">
        <v>64.57</v>
      </c>
      <c r="I43" s="94">
        <v>64.67</v>
      </c>
      <c r="J43" s="59">
        <v>62.97</v>
      </c>
      <c r="K43" s="94">
        <v>96.25</v>
      </c>
      <c r="L43" s="94">
        <v>91.83</v>
      </c>
      <c r="M43" s="94">
        <v>145.6</v>
      </c>
      <c r="N43" s="59">
        <v>113.09</v>
      </c>
      <c r="O43" s="88">
        <v>0.05473393227366958</v>
      </c>
      <c r="P43" s="95">
        <v>-0.01734551649372781</v>
      </c>
      <c r="Q43" s="88">
        <v>-0.02699698269016997</v>
      </c>
      <c r="R43" s="88">
        <v>-0.04813241859958621</v>
      </c>
      <c r="S43" s="88">
        <v>-0.28747015651251207</v>
      </c>
      <c r="T43" s="59"/>
      <c r="U43" s="59"/>
      <c r="V43" s="91"/>
      <c r="W43" s="91"/>
      <c r="X43" s="91"/>
      <c r="Y43" s="91"/>
      <c r="Z43" s="91"/>
      <c r="AA43" s="96"/>
      <c r="AB43" s="97"/>
      <c r="AC43" s="91"/>
      <c r="AD43" s="91"/>
      <c r="AE43" s="91"/>
      <c r="AF43" s="91"/>
    </row>
    <row r="44">
      <c r="A44" s="59" t="s">
        <v>328</v>
      </c>
      <c r="B44" s="59" t="s">
        <v>329</v>
      </c>
      <c r="C44" s="70">
        <v>6.295287E9</v>
      </c>
      <c r="D44" s="86">
        <v>-0.06602905156085671</v>
      </c>
      <c r="E44" s="94">
        <v>28.27</v>
      </c>
      <c r="F44" s="94">
        <v>28.69</v>
      </c>
      <c r="G44" s="94">
        <v>31.65</v>
      </c>
      <c r="H44" s="59">
        <v>30.58</v>
      </c>
      <c r="I44" s="94">
        <v>39.14</v>
      </c>
      <c r="J44" s="59">
        <v>35.79</v>
      </c>
      <c r="K44" s="94">
        <v>75.99</v>
      </c>
      <c r="L44" s="94">
        <v>74.08</v>
      </c>
      <c r="M44" s="94">
        <v>85.4</v>
      </c>
      <c r="N44" s="59">
        <v>71.74</v>
      </c>
      <c r="O44" s="88">
        <v>0.014639247124433659</v>
      </c>
      <c r="P44" s="95">
        <v>-0.03499018966644867</v>
      </c>
      <c r="Q44" s="88">
        <v>-0.09360156468287235</v>
      </c>
      <c r="R44" s="88">
        <v>-0.025782937365010753</v>
      </c>
      <c r="S44" s="88">
        <v>-0.19040981321438544</v>
      </c>
      <c r="T44" s="59"/>
      <c r="U44" s="59"/>
      <c r="V44" s="91"/>
      <c r="W44" s="91"/>
      <c r="X44" s="91"/>
      <c r="Y44" s="91"/>
      <c r="Z44" s="91"/>
      <c r="AA44" s="96"/>
      <c r="AB44" s="97"/>
      <c r="AC44" s="91"/>
      <c r="AD44" s="91"/>
      <c r="AE44" s="91"/>
      <c r="AF44" s="91"/>
    </row>
    <row r="45">
      <c r="A45" s="59" t="s">
        <v>330</v>
      </c>
      <c r="B45" s="59" t="s">
        <v>331</v>
      </c>
      <c r="C45" s="70">
        <v>1.4666955802E10</v>
      </c>
      <c r="D45" s="86">
        <v>-0.06659559394327079</v>
      </c>
      <c r="E45" s="94">
        <v>19.84</v>
      </c>
      <c r="F45" s="94">
        <v>19.97</v>
      </c>
      <c r="G45" s="94">
        <v>26.03</v>
      </c>
      <c r="H45" s="59">
        <v>24.46</v>
      </c>
      <c r="I45" s="94">
        <v>26.41</v>
      </c>
      <c r="J45" s="59">
        <v>24.64</v>
      </c>
      <c r="K45" s="94">
        <v>68.27</v>
      </c>
      <c r="L45" s="94">
        <v>65.95</v>
      </c>
      <c r="M45" s="94">
        <v>172.86</v>
      </c>
      <c r="N45" s="59">
        <v>147.96</v>
      </c>
      <c r="O45" s="88">
        <v>0.006509764646970406</v>
      </c>
      <c r="P45" s="95">
        <v>-0.06418642681929682</v>
      </c>
      <c r="Q45" s="88">
        <v>-0.07183441558441557</v>
      </c>
      <c r="R45" s="88">
        <v>-0.03517816527672469</v>
      </c>
      <c r="S45" s="88">
        <v>-0.1682887266828873</v>
      </c>
      <c r="T45" s="59"/>
      <c r="U45" s="59"/>
      <c r="V45" s="91"/>
      <c r="W45" s="91"/>
      <c r="X45" s="91"/>
      <c r="Y45" s="91"/>
      <c r="Z45" s="91"/>
      <c r="AA45" s="96"/>
      <c r="AB45" s="97"/>
      <c r="AC45" s="91"/>
      <c r="AD45" s="91"/>
      <c r="AE45" s="91"/>
      <c r="AF45" s="91"/>
    </row>
    <row r="46">
      <c r="A46" s="59" t="s">
        <v>101</v>
      </c>
      <c r="B46" s="59" t="s">
        <v>332</v>
      </c>
      <c r="C46" s="70">
        <v>5.735089626E10</v>
      </c>
      <c r="D46" s="86">
        <v>-0.06681363711120854</v>
      </c>
      <c r="E46" s="94">
        <v>16.47</v>
      </c>
      <c r="F46" s="94">
        <v>16.79</v>
      </c>
      <c r="G46" s="94">
        <v>11.15</v>
      </c>
      <c r="H46" s="59">
        <v>10.56</v>
      </c>
      <c r="I46" s="94">
        <v>11.43</v>
      </c>
      <c r="J46" s="59">
        <v>10.9</v>
      </c>
      <c r="K46" s="94">
        <v>27.22</v>
      </c>
      <c r="L46" s="94">
        <v>26.16</v>
      </c>
      <c r="M46" s="94">
        <v>63.74</v>
      </c>
      <c r="N46" s="59">
        <v>52.76</v>
      </c>
      <c r="O46" s="88">
        <v>0.019058963668850525</v>
      </c>
      <c r="P46" s="95">
        <v>-0.055871212121212106</v>
      </c>
      <c r="Q46" s="88">
        <v>-0.048623853211009115</v>
      </c>
      <c r="R46" s="88">
        <v>-0.04051987767584093</v>
      </c>
      <c r="S46" s="88">
        <v>-0.20811220621683102</v>
      </c>
      <c r="T46" s="59"/>
      <c r="U46" s="59"/>
      <c r="V46" s="91"/>
      <c r="W46" s="91"/>
      <c r="X46" s="91"/>
      <c r="Y46" s="91"/>
      <c r="Z46" s="91"/>
      <c r="AA46" s="96"/>
      <c r="AB46" s="97"/>
      <c r="AC46" s="91"/>
      <c r="AD46" s="91"/>
      <c r="AE46" s="91"/>
      <c r="AF46" s="91"/>
    </row>
    <row r="47">
      <c r="A47" s="59" t="s">
        <v>57</v>
      </c>
      <c r="B47" s="59" t="s">
        <v>58</v>
      </c>
      <c r="C47" s="70">
        <v>2.57913971065E11</v>
      </c>
      <c r="D47" s="86">
        <v>-0.06714610529515662</v>
      </c>
      <c r="E47" s="94">
        <v>25.86</v>
      </c>
      <c r="F47" s="94">
        <v>27.38</v>
      </c>
      <c r="G47" s="94">
        <v>26.88</v>
      </c>
      <c r="H47" s="59">
        <v>26.34</v>
      </c>
      <c r="I47" s="94">
        <v>33.39</v>
      </c>
      <c r="J47" s="59">
        <v>32.56</v>
      </c>
      <c r="K47" s="94">
        <v>39.53</v>
      </c>
      <c r="L47" s="94">
        <v>38.38</v>
      </c>
      <c r="M47" s="94">
        <v>59.53</v>
      </c>
      <c r="N47" s="59">
        <v>45.26</v>
      </c>
      <c r="O47" s="88">
        <v>0.05551497443389334</v>
      </c>
      <c r="P47" s="95">
        <v>-0.020501138952163978</v>
      </c>
      <c r="Q47" s="88">
        <v>-0.02549140049140044</v>
      </c>
      <c r="R47" s="88">
        <v>-0.02996352266805624</v>
      </c>
      <c r="S47" s="88">
        <v>-0.31528943879805577</v>
      </c>
      <c r="T47" s="59"/>
      <c r="U47" s="59"/>
      <c r="V47" s="91"/>
      <c r="W47" s="91"/>
      <c r="X47" s="91"/>
      <c r="Y47" s="91"/>
      <c r="Z47" s="91"/>
      <c r="AA47" s="96"/>
      <c r="AB47" s="97"/>
      <c r="AC47" s="91"/>
      <c r="AD47" s="91"/>
      <c r="AE47" s="91"/>
      <c r="AF47" s="91"/>
    </row>
    <row r="48">
      <c r="A48" s="59" t="s">
        <v>103</v>
      </c>
      <c r="B48" s="59" t="s">
        <v>333</v>
      </c>
      <c r="C48" s="70">
        <v>8.4796925411E10</v>
      </c>
      <c r="D48" s="86">
        <v>-0.06776413735894331</v>
      </c>
      <c r="E48" s="94">
        <v>20.77</v>
      </c>
      <c r="F48" s="94">
        <v>21.69</v>
      </c>
      <c r="G48" s="94">
        <v>19.57</v>
      </c>
      <c r="H48" s="59">
        <v>19.68</v>
      </c>
      <c r="I48" s="94">
        <v>22.83</v>
      </c>
      <c r="J48" s="59">
        <v>22.07</v>
      </c>
      <c r="K48" s="94">
        <v>43.2</v>
      </c>
      <c r="L48" s="94">
        <v>41.96</v>
      </c>
      <c r="M48" s="94">
        <v>59.66</v>
      </c>
      <c r="N48" s="59">
        <v>45.1</v>
      </c>
      <c r="O48" s="88">
        <v>0.042415859843245814</v>
      </c>
      <c r="P48" s="95">
        <v>0.0055894308943089145</v>
      </c>
      <c r="Q48" s="88">
        <v>-0.034435885817852195</v>
      </c>
      <c r="R48" s="88">
        <v>-0.029551954242135414</v>
      </c>
      <c r="S48" s="88">
        <v>-0.3228381374722837</v>
      </c>
      <c r="T48" s="59"/>
      <c r="U48" s="59"/>
      <c r="V48" s="91"/>
      <c r="W48" s="91"/>
      <c r="X48" s="91"/>
      <c r="Y48" s="91"/>
      <c r="Z48" s="91"/>
      <c r="AA48" s="96"/>
      <c r="AB48" s="97"/>
      <c r="AC48" s="91"/>
      <c r="AD48" s="91"/>
      <c r="AE48" s="91"/>
      <c r="AF48" s="91"/>
    </row>
    <row r="49">
      <c r="A49" s="59" t="s">
        <v>334</v>
      </c>
      <c r="B49" s="59" t="s">
        <v>335</v>
      </c>
      <c r="C49" s="70">
        <v>1.73913632677E11</v>
      </c>
      <c r="D49" s="86">
        <v>-0.06834712241263083</v>
      </c>
      <c r="E49" s="94">
        <v>56.57</v>
      </c>
      <c r="F49" s="94">
        <v>58.48</v>
      </c>
      <c r="G49" s="94">
        <v>50.87</v>
      </c>
      <c r="H49" s="59">
        <v>48.72</v>
      </c>
      <c r="I49" s="94">
        <v>50.23</v>
      </c>
      <c r="J49" s="59">
        <v>48.06</v>
      </c>
      <c r="K49" s="94">
        <v>47.13</v>
      </c>
      <c r="L49" s="94">
        <v>43.7</v>
      </c>
      <c r="M49" s="94">
        <v>88.88</v>
      </c>
      <c r="N49" s="59">
        <v>73.66</v>
      </c>
      <c r="O49" s="88">
        <v>0.03266073871409023</v>
      </c>
      <c r="P49" s="95">
        <v>-0.04412972085385876</v>
      </c>
      <c r="Q49" s="88">
        <v>-0.045151893466500094</v>
      </c>
      <c r="R49" s="88">
        <v>-0.07848970251716246</v>
      </c>
      <c r="S49" s="88">
        <v>-0.20662503393972304</v>
      </c>
      <c r="T49" s="59"/>
      <c r="U49" s="59"/>
      <c r="V49" s="91"/>
      <c r="W49" s="91"/>
      <c r="X49" s="91"/>
      <c r="Y49" s="91"/>
      <c r="Z49" s="91"/>
      <c r="AA49" s="96"/>
      <c r="AB49" s="97"/>
      <c r="AC49" s="91"/>
      <c r="AD49" s="91"/>
      <c r="AE49" s="91"/>
      <c r="AF49" s="91"/>
    </row>
    <row r="50">
      <c r="A50" s="59" t="s">
        <v>336</v>
      </c>
      <c r="B50" s="59" t="s">
        <v>337</v>
      </c>
      <c r="C50" s="70">
        <v>1.7958465073E10</v>
      </c>
      <c r="D50" s="86">
        <v>-0.06945838588401551</v>
      </c>
      <c r="E50" s="94">
        <v>15.79</v>
      </c>
      <c r="F50" s="94">
        <v>15.98</v>
      </c>
      <c r="G50" s="94">
        <v>17.32</v>
      </c>
      <c r="H50" s="59">
        <v>16.69</v>
      </c>
      <c r="I50" s="94">
        <v>19.27</v>
      </c>
      <c r="J50" s="59">
        <v>18.51</v>
      </c>
      <c r="K50" s="94">
        <v>43.35</v>
      </c>
      <c r="L50" s="94">
        <v>42.49</v>
      </c>
      <c r="M50" s="94">
        <v>76.15</v>
      </c>
      <c r="N50" s="59">
        <v>60.43</v>
      </c>
      <c r="O50" s="88">
        <v>0.011889862327909968</v>
      </c>
      <c r="P50" s="95">
        <v>-0.037747153984421744</v>
      </c>
      <c r="Q50" s="88">
        <v>-0.041058887088060395</v>
      </c>
      <c r="R50" s="88">
        <v>-0.020240056483878544</v>
      </c>
      <c r="S50" s="88">
        <v>-0.2601356941916268</v>
      </c>
      <c r="T50" s="59"/>
      <c r="U50" s="59"/>
      <c r="V50" s="91"/>
      <c r="W50" s="91"/>
      <c r="X50" s="91"/>
      <c r="Y50" s="91"/>
      <c r="Z50" s="91"/>
      <c r="AA50" s="96"/>
      <c r="AB50" s="97"/>
      <c r="AC50" s="91"/>
      <c r="AD50" s="91"/>
      <c r="AE50" s="91"/>
      <c r="AF50" s="91"/>
    </row>
    <row r="51">
      <c r="A51" s="59" t="s">
        <v>338</v>
      </c>
      <c r="B51" s="59" t="s">
        <v>339</v>
      </c>
      <c r="C51" s="70">
        <v>4.074775696E10</v>
      </c>
      <c r="D51" s="86">
        <v>-0.07005935269250511</v>
      </c>
      <c r="E51" s="94">
        <v>45.7</v>
      </c>
      <c r="F51" s="94">
        <v>47.57</v>
      </c>
      <c r="G51" s="94">
        <v>49.34</v>
      </c>
      <c r="H51" s="59">
        <v>47.74</v>
      </c>
      <c r="I51" s="94">
        <v>47.78</v>
      </c>
      <c r="J51" s="59">
        <v>44.96</v>
      </c>
      <c r="K51" s="94">
        <v>109.9</v>
      </c>
      <c r="L51" s="94">
        <v>105.35</v>
      </c>
      <c r="M51" s="94">
        <v>207.68</v>
      </c>
      <c r="N51" s="59">
        <v>166.12</v>
      </c>
      <c r="O51" s="88">
        <v>0.03931048980449858</v>
      </c>
      <c r="P51" s="95">
        <v>-0.03351487222454967</v>
      </c>
      <c r="Q51" s="88">
        <v>-0.06272241992882563</v>
      </c>
      <c r="R51" s="88">
        <v>-0.04318936877076423</v>
      </c>
      <c r="S51" s="88">
        <v>-0.25018059234288464</v>
      </c>
      <c r="T51" s="59"/>
      <c r="U51" s="59"/>
      <c r="V51" s="91"/>
      <c r="W51" s="91"/>
      <c r="X51" s="91"/>
      <c r="Y51" s="91"/>
      <c r="Z51" s="91"/>
      <c r="AA51" s="96"/>
      <c r="AB51" s="97"/>
      <c r="AC51" s="91"/>
      <c r="AD51" s="91"/>
      <c r="AE51" s="91"/>
      <c r="AF51" s="91"/>
    </row>
    <row r="52">
      <c r="A52" s="59" t="s">
        <v>340</v>
      </c>
      <c r="B52" s="59" t="s">
        <v>341</v>
      </c>
      <c r="C52" s="70">
        <v>2.6944901035E11</v>
      </c>
      <c r="D52" s="86">
        <v>-0.0718816538779818</v>
      </c>
      <c r="E52" s="94">
        <v>17.69</v>
      </c>
      <c r="F52" s="94">
        <v>17.1</v>
      </c>
      <c r="G52" s="94">
        <v>16.02</v>
      </c>
      <c r="H52" s="59">
        <v>15.59</v>
      </c>
      <c r="I52" s="94">
        <v>16.57</v>
      </c>
      <c r="J52" s="59">
        <v>15.78</v>
      </c>
      <c r="K52" s="94">
        <v>31.77</v>
      </c>
      <c r="L52" s="94">
        <v>30.44</v>
      </c>
      <c r="M52" s="94">
        <v>34.41</v>
      </c>
      <c r="N52" s="59">
        <v>28.59</v>
      </c>
      <c r="O52" s="88">
        <v>-0.034502923976608174</v>
      </c>
      <c r="P52" s="95">
        <v>-0.02758178319435534</v>
      </c>
      <c r="Q52" s="88">
        <v>-0.05006337135614708</v>
      </c>
      <c r="R52" s="88">
        <v>-0.043692509855453296</v>
      </c>
      <c r="S52" s="88">
        <v>-0.20356768100734512</v>
      </c>
      <c r="T52" s="59"/>
      <c r="U52" s="59"/>
      <c r="V52" s="91"/>
      <c r="W52" s="91"/>
      <c r="X52" s="91"/>
      <c r="Y52" s="91"/>
      <c r="Z52" s="91"/>
      <c r="AA52" s="96"/>
      <c r="AB52" s="97"/>
      <c r="AC52" s="91"/>
      <c r="AD52" s="91"/>
      <c r="AE52" s="91"/>
      <c r="AF52" s="91"/>
    </row>
    <row r="53">
      <c r="A53" s="59" t="s">
        <v>342</v>
      </c>
      <c r="B53" s="59" t="s">
        <v>343</v>
      </c>
      <c r="C53" s="70">
        <v>7.5754626272E10</v>
      </c>
      <c r="D53" s="86">
        <v>-0.07331022124566862</v>
      </c>
      <c r="E53" s="94">
        <v>53.83</v>
      </c>
      <c r="F53" s="94">
        <v>55.4</v>
      </c>
      <c r="G53" s="94">
        <v>56.99</v>
      </c>
      <c r="H53" s="59">
        <v>54.3</v>
      </c>
      <c r="I53" s="94">
        <v>48.65</v>
      </c>
      <c r="J53" s="59">
        <v>46.44</v>
      </c>
      <c r="K53" s="94">
        <v>78.4</v>
      </c>
      <c r="L53" s="94">
        <v>75.28</v>
      </c>
      <c r="M53" s="94">
        <v>117.83</v>
      </c>
      <c r="N53" s="59">
        <v>93.79</v>
      </c>
      <c r="O53" s="88">
        <v>0.028339350180505422</v>
      </c>
      <c r="P53" s="95">
        <v>-0.04953959484346234</v>
      </c>
      <c r="Q53" s="88">
        <v>-0.047588285960379006</v>
      </c>
      <c r="R53" s="88">
        <v>-0.04144527098831037</v>
      </c>
      <c r="S53" s="88">
        <v>-0.2563173046166968</v>
      </c>
      <c r="T53" s="59"/>
      <c r="U53" s="59"/>
      <c r="V53" s="91"/>
      <c r="W53" s="91"/>
      <c r="X53" s="91"/>
      <c r="Y53" s="91"/>
      <c r="Z53" s="91"/>
      <c r="AA53" s="96"/>
      <c r="AB53" s="97"/>
      <c r="AC53" s="91"/>
      <c r="AD53" s="91"/>
      <c r="AE53" s="91"/>
      <c r="AF53" s="91"/>
    </row>
    <row r="54">
      <c r="A54" s="59" t="s">
        <v>344</v>
      </c>
      <c r="B54" s="59" t="s">
        <v>345</v>
      </c>
      <c r="C54" s="70">
        <v>1.221209404E11</v>
      </c>
      <c r="D54" s="86">
        <v>-0.07348284746550562</v>
      </c>
      <c r="E54" s="94">
        <v>64.16</v>
      </c>
      <c r="F54" s="94">
        <v>67.65</v>
      </c>
      <c r="G54" s="94">
        <v>70.7</v>
      </c>
      <c r="H54" s="59">
        <v>63.93</v>
      </c>
      <c r="I54" s="94">
        <v>65.69</v>
      </c>
      <c r="J54" s="59">
        <v>62.4</v>
      </c>
      <c r="K54" s="94">
        <v>99.14</v>
      </c>
      <c r="L54" s="94">
        <v>95.51</v>
      </c>
      <c r="M54" s="94">
        <v>106.42</v>
      </c>
      <c r="N54" s="59">
        <v>87.06</v>
      </c>
      <c r="O54" s="88">
        <v>0.05158906134515904</v>
      </c>
      <c r="P54" s="95">
        <v>-0.10589707492570004</v>
      </c>
      <c r="Q54" s="88">
        <v>-0.05272435897435896</v>
      </c>
      <c r="R54" s="88">
        <v>-0.03800649146686206</v>
      </c>
      <c r="S54" s="88">
        <v>-0.22237537330576612</v>
      </c>
      <c r="T54" s="59"/>
      <c r="U54" s="59"/>
      <c r="V54" s="91"/>
      <c r="W54" s="91"/>
      <c r="X54" s="91"/>
      <c r="Y54" s="91"/>
      <c r="Z54" s="91"/>
      <c r="AA54" s="96"/>
      <c r="AB54" s="97"/>
      <c r="AC54" s="91"/>
      <c r="AD54" s="91"/>
      <c r="AE54" s="91"/>
      <c r="AF54" s="91"/>
    </row>
    <row r="55">
      <c r="A55" s="59" t="s">
        <v>61</v>
      </c>
      <c r="B55" s="59" t="s">
        <v>62</v>
      </c>
      <c r="C55" s="70">
        <v>2.52719997337E11</v>
      </c>
      <c r="D55" s="86">
        <v>-0.07381603884097196</v>
      </c>
      <c r="E55" s="94">
        <v>32.58</v>
      </c>
      <c r="F55" s="94">
        <v>31.2</v>
      </c>
      <c r="G55" s="94">
        <v>33.63</v>
      </c>
      <c r="H55" s="59">
        <v>31.93</v>
      </c>
      <c r="I55" s="94">
        <v>30.24</v>
      </c>
      <c r="J55" s="59">
        <v>28.55</v>
      </c>
      <c r="K55" s="94">
        <v>53.18</v>
      </c>
      <c r="L55" s="94">
        <v>51.48</v>
      </c>
      <c r="M55" s="94">
        <v>78.63</v>
      </c>
      <c r="N55" s="59">
        <v>66.67</v>
      </c>
      <c r="O55" s="88">
        <v>-0.0442307692307692</v>
      </c>
      <c r="P55" s="95">
        <v>-0.05324146570623247</v>
      </c>
      <c r="Q55" s="88">
        <v>-0.05919439579684756</v>
      </c>
      <c r="R55" s="88">
        <v>-0.03302253302253308</v>
      </c>
      <c r="S55" s="88">
        <v>-0.17939103044847748</v>
      </c>
      <c r="T55" s="59"/>
      <c r="U55" s="59"/>
      <c r="V55" s="91"/>
      <c r="W55" s="91"/>
      <c r="X55" s="91"/>
      <c r="Y55" s="91"/>
      <c r="Z55" s="91"/>
      <c r="AA55" s="96"/>
      <c r="AB55" s="97"/>
      <c r="AC55" s="91"/>
      <c r="AD55" s="91"/>
      <c r="AE55" s="91"/>
      <c r="AF55" s="91"/>
    </row>
    <row r="56">
      <c r="A56" s="59" t="s">
        <v>105</v>
      </c>
      <c r="B56" s="59" t="s">
        <v>346</v>
      </c>
      <c r="C56" s="70">
        <v>3.6063675886E10</v>
      </c>
      <c r="D56" s="86">
        <v>-0.07431327812700976</v>
      </c>
      <c r="E56" s="94">
        <v>20.28</v>
      </c>
      <c r="F56" s="94">
        <v>20.44</v>
      </c>
      <c r="G56" s="94">
        <v>22.1</v>
      </c>
      <c r="H56" s="59">
        <v>20.87</v>
      </c>
      <c r="I56" s="94">
        <v>23.23</v>
      </c>
      <c r="J56" s="59">
        <v>21.95</v>
      </c>
      <c r="K56" s="94">
        <v>35.56</v>
      </c>
      <c r="L56" s="94">
        <v>34.1</v>
      </c>
      <c r="M56" s="94">
        <v>71.16</v>
      </c>
      <c r="N56" s="59">
        <v>58.36</v>
      </c>
      <c r="O56" s="88">
        <v>0.007827788649706464</v>
      </c>
      <c r="P56" s="95">
        <v>-0.058936272160996665</v>
      </c>
      <c r="Q56" s="88">
        <v>-0.058314350797266566</v>
      </c>
      <c r="R56" s="88">
        <v>-0.04281524926686219</v>
      </c>
      <c r="S56" s="88">
        <v>-0.21932830705962983</v>
      </c>
      <c r="T56" s="59"/>
      <c r="U56" s="59"/>
      <c r="V56" s="91"/>
      <c r="W56" s="91"/>
      <c r="X56" s="91"/>
      <c r="Y56" s="91"/>
      <c r="Z56" s="91"/>
      <c r="AA56" s="96"/>
      <c r="AB56" s="97"/>
      <c r="AC56" s="91"/>
      <c r="AD56" s="91"/>
      <c r="AE56" s="91"/>
      <c r="AF56" s="91"/>
    </row>
    <row r="57">
      <c r="A57" s="59" t="s">
        <v>347</v>
      </c>
      <c r="B57" s="59" t="s">
        <v>348</v>
      </c>
      <c r="C57" s="70">
        <v>5.7326799208E10</v>
      </c>
      <c r="D57" s="86">
        <v>-0.07435974876830276</v>
      </c>
      <c r="E57" s="94" t="e">
        <v>#N/A</v>
      </c>
      <c r="F57" s="94" t="e">
        <v>#N/A</v>
      </c>
      <c r="G57" s="94">
        <v>29.02</v>
      </c>
      <c r="H57" s="59">
        <v>27.19</v>
      </c>
      <c r="I57" s="94">
        <v>30.8</v>
      </c>
      <c r="J57" s="59">
        <v>30.46</v>
      </c>
      <c r="K57" s="94">
        <v>76.97</v>
      </c>
      <c r="L57" s="94">
        <v>74.67</v>
      </c>
      <c r="M57" s="94">
        <v>161.71</v>
      </c>
      <c r="N57" s="59">
        <v>136.1</v>
      </c>
      <c r="O57" s="88" t="e">
        <v>#N/A</v>
      </c>
      <c r="P57" s="95">
        <v>-0.06730415593968364</v>
      </c>
      <c r="Q57" s="88">
        <v>-0.01116217990807616</v>
      </c>
      <c r="R57" s="88">
        <v>-0.03080219633052092</v>
      </c>
      <c r="S57" s="88">
        <v>-0.1881704628949303</v>
      </c>
      <c r="T57" s="59"/>
      <c r="U57" s="59"/>
      <c r="V57" s="91"/>
      <c r="W57" s="91"/>
      <c r="X57" s="91"/>
      <c r="Y57" s="91"/>
      <c r="Z57" s="91"/>
      <c r="AA57" s="96"/>
      <c r="AB57" s="97"/>
      <c r="AC57" s="91"/>
      <c r="AD57" s="91"/>
      <c r="AE57" s="91"/>
      <c r="AF57" s="91"/>
    </row>
    <row r="58">
      <c r="A58" s="59" t="s">
        <v>349</v>
      </c>
      <c r="B58" s="59" t="s">
        <v>350</v>
      </c>
      <c r="C58" s="70">
        <v>1.308355E11</v>
      </c>
      <c r="D58" s="86">
        <v>-0.0757942962861918</v>
      </c>
      <c r="E58" s="94">
        <v>23.83</v>
      </c>
      <c r="F58" s="94">
        <v>22.61</v>
      </c>
      <c r="G58" s="94">
        <v>19.83</v>
      </c>
      <c r="H58" s="59">
        <v>18.94</v>
      </c>
      <c r="I58" s="94">
        <v>21.83</v>
      </c>
      <c r="J58" s="59">
        <v>20.9</v>
      </c>
      <c r="K58" s="94">
        <v>25.19</v>
      </c>
      <c r="L58" s="94">
        <v>24.43</v>
      </c>
      <c r="M58" s="94">
        <v>28.87</v>
      </c>
      <c r="N58" s="59">
        <v>24.01</v>
      </c>
      <c r="O58" s="88">
        <v>-0.05395842547545329</v>
      </c>
      <c r="P58" s="95">
        <v>-0.046990496304118105</v>
      </c>
      <c r="Q58" s="88">
        <v>-0.04449760765550238</v>
      </c>
      <c r="R58" s="88">
        <v>-0.03110929185427759</v>
      </c>
      <c r="S58" s="88">
        <v>-0.20241566014160764</v>
      </c>
      <c r="T58" s="59"/>
      <c r="U58" s="59"/>
      <c r="V58" s="91"/>
      <c r="W58" s="91"/>
      <c r="X58" s="91"/>
      <c r="Y58" s="91"/>
      <c r="Z58" s="91"/>
      <c r="AA58" s="96"/>
      <c r="AB58" s="97"/>
      <c r="AC58" s="91"/>
      <c r="AD58" s="91"/>
      <c r="AE58" s="91"/>
      <c r="AF58" s="91"/>
    </row>
    <row r="59">
      <c r="A59" s="59" t="s">
        <v>351</v>
      </c>
      <c r="B59" s="59" t="s">
        <v>352</v>
      </c>
      <c r="C59" s="70">
        <v>6.927082945E9</v>
      </c>
      <c r="D59" s="86">
        <v>-0.07608357217178097</v>
      </c>
      <c r="E59" s="94">
        <v>6.81</v>
      </c>
      <c r="F59" s="94">
        <v>7.01</v>
      </c>
      <c r="G59" s="94">
        <v>8.78</v>
      </c>
      <c r="H59" s="59">
        <v>7.96</v>
      </c>
      <c r="I59" s="94">
        <v>9.52</v>
      </c>
      <c r="J59" s="59">
        <v>8.85</v>
      </c>
      <c r="K59" s="94">
        <v>32.67</v>
      </c>
      <c r="L59" s="94">
        <v>30.46</v>
      </c>
      <c r="M59" s="94">
        <v>43.98</v>
      </c>
      <c r="N59" s="59">
        <v>37.99</v>
      </c>
      <c r="O59" s="88">
        <v>0.028530670470756088</v>
      </c>
      <c r="P59" s="95">
        <v>-0.10301507537688434</v>
      </c>
      <c r="Q59" s="88">
        <v>-0.07570621468926553</v>
      </c>
      <c r="R59" s="88">
        <v>-0.07255416940249511</v>
      </c>
      <c r="S59" s="88">
        <v>-0.15767307186101592</v>
      </c>
      <c r="T59" s="59"/>
      <c r="U59" s="59"/>
      <c r="V59" s="91"/>
      <c r="W59" s="91"/>
      <c r="X59" s="91"/>
      <c r="Y59" s="91"/>
      <c r="Z59" s="91"/>
      <c r="AA59" s="96"/>
      <c r="AB59" s="97"/>
      <c r="AC59" s="91"/>
      <c r="AD59" s="91"/>
      <c r="AE59" s="91"/>
      <c r="AF59" s="91"/>
    </row>
    <row r="60">
      <c r="A60" s="59" t="s">
        <v>353</v>
      </c>
      <c r="B60" s="59" t="s">
        <v>354</v>
      </c>
      <c r="C60" s="70">
        <v>1.6580793895E10</v>
      </c>
      <c r="D60" s="86">
        <v>-0.07742925495891448</v>
      </c>
      <c r="E60" s="94">
        <v>34.41</v>
      </c>
      <c r="F60" s="94">
        <v>36.35</v>
      </c>
      <c r="G60" s="94">
        <v>42.16</v>
      </c>
      <c r="H60" s="59">
        <v>38.63</v>
      </c>
      <c r="I60" s="94">
        <v>43.86</v>
      </c>
      <c r="J60" s="59">
        <v>41.74</v>
      </c>
      <c r="K60" s="94">
        <v>48.2</v>
      </c>
      <c r="L60" s="94">
        <v>46.74</v>
      </c>
      <c r="M60" s="94">
        <v>74.43</v>
      </c>
      <c r="N60" s="59">
        <v>58.74</v>
      </c>
      <c r="O60" s="88">
        <v>0.05337001375515831</v>
      </c>
      <c r="P60" s="95">
        <v>-0.09137975666580361</v>
      </c>
      <c r="Q60" s="88">
        <v>-0.050790608528988916</v>
      </c>
      <c r="R60" s="88">
        <v>-0.03123662815575526</v>
      </c>
      <c r="S60" s="88">
        <v>-0.2671092951991829</v>
      </c>
      <c r="T60" s="59"/>
      <c r="U60" s="59"/>
      <c r="V60" s="91"/>
      <c r="W60" s="91"/>
      <c r="X60" s="91"/>
      <c r="Y60" s="91"/>
      <c r="Z60" s="91"/>
      <c r="AA60" s="96"/>
      <c r="AB60" s="97"/>
      <c r="AC60" s="91"/>
      <c r="AD60" s="91"/>
      <c r="AE60" s="91"/>
      <c r="AF60" s="91"/>
    </row>
    <row r="61">
      <c r="A61" s="59" t="s">
        <v>355</v>
      </c>
      <c r="B61" s="59" t="s">
        <v>356</v>
      </c>
      <c r="C61" s="70">
        <v>7.5465759749E10</v>
      </c>
      <c r="D61" s="86">
        <v>-0.07817288028890526</v>
      </c>
      <c r="E61" s="94">
        <v>16.49</v>
      </c>
      <c r="F61" s="94">
        <v>15.15</v>
      </c>
      <c r="G61" s="94">
        <v>18.54</v>
      </c>
      <c r="H61" s="59">
        <v>17.77</v>
      </c>
      <c r="I61" s="94">
        <v>16.8</v>
      </c>
      <c r="J61" s="59">
        <v>15.64</v>
      </c>
      <c r="K61" s="94">
        <v>29.96</v>
      </c>
      <c r="L61" s="94">
        <v>28.74</v>
      </c>
      <c r="M61" s="94">
        <v>83.4</v>
      </c>
      <c r="N61" s="59">
        <v>73.0</v>
      </c>
      <c r="O61" s="88">
        <v>-0.08844884488448831</v>
      </c>
      <c r="P61" s="95">
        <v>-0.043331457512661764</v>
      </c>
      <c r="Q61" s="88">
        <v>-0.0741687979539642</v>
      </c>
      <c r="R61" s="88">
        <v>-0.04244954766875444</v>
      </c>
      <c r="S61" s="88">
        <v>-0.14246575342465762</v>
      </c>
      <c r="T61" s="59"/>
      <c r="U61" s="59"/>
      <c r="V61" s="91"/>
      <c r="W61" s="91"/>
      <c r="X61" s="91"/>
      <c r="Y61" s="91"/>
      <c r="Z61" s="91"/>
      <c r="AA61" s="96"/>
      <c r="AB61" s="97"/>
      <c r="AC61" s="91"/>
      <c r="AD61" s="91"/>
      <c r="AE61" s="91"/>
      <c r="AF61" s="91"/>
    </row>
    <row r="62">
      <c r="A62" s="59" t="s">
        <v>65</v>
      </c>
      <c r="B62" s="59" t="s">
        <v>66</v>
      </c>
      <c r="C62" s="70">
        <v>6.925868725E10</v>
      </c>
      <c r="D62" s="86">
        <v>-0.07825967478786569</v>
      </c>
      <c r="E62" s="94">
        <v>69.74</v>
      </c>
      <c r="F62" s="94">
        <v>68.88</v>
      </c>
      <c r="G62" s="94">
        <v>89.81</v>
      </c>
      <c r="H62" s="59">
        <v>82.63</v>
      </c>
      <c r="I62" s="94">
        <v>82.75</v>
      </c>
      <c r="J62" s="59">
        <v>78.59</v>
      </c>
      <c r="K62" s="94">
        <v>142.09</v>
      </c>
      <c r="L62" s="94">
        <v>138.58</v>
      </c>
      <c r="M62" s="94">
        <v>158.88</v>
      </c>
      <c r="N62" s="59">
        <v>130.91</v>
      </c>
      <c r="O62" s="88">
        <v>-0.012485481997677112</v>
      </c>
      <c r="P62" s="95">
        <v>-0.0868933801282828</v>
      </c>
      <c r="Q62" s="88">
        <v>-0.052932943122534624</v>
      </c>
      <c r="R62" s="88">
        <v>-0.02532833020637892</v>
      </c>
      <c r="S62" s="88">
        <v>-0.21365823848445498</v>
      </c>
      <c r="T62" s="59"/>
      <c r="U62" s="59"/>
      <c r="V62" s="91"/>
      <c r="W62" s="91"/>
      <c r="X62" s="91"/>
      <c r="Y62" s="91"/>
      <c r="Z62" s="91"/>
      <c r="AA62" s="96"/>
      <c r="AB62" s="97"/>
      <c r="AC62" s="91"/>
      <c r="AD62" s="91"/>
      <c r="AE62" s="91"/>
      <c r="AF62" s="91"/>
    </row>
    <row r="63">
      <c r="A63" s="59" t="s">
        <v>357</v>
      </c>
      <c r="B63" s="59" t="s">
        <v>358</v>
      </c>
      <c r="C63" s="70">
        <v>2.4464551693E10</v>
      </c>
      <c r="D63" s="86">
        <v>-0.07913596752621144</v>
      </c>
      <c r="E63" s="94">
        <v>9.59</v>
      </c>
      <c r="F63" s="94">
        <v>8.75</v>
      </c>
      <c r="G63" s="94">
        <v>9.32</v>
      </c>
      <c r="H63" s="59">
        <v>7.97</v>
      </c>
      <c r="I63" s="94">
        <v>16.72</v>
      </c>
      <c r="J63" s="59">
        <v>14.83</v>
      </c>
      <c r="K63" s="94">
        <v>24.39</v>
      </c>
      <c r="L63" s="94">
        <v>22.0</v>
      </c>
      <c r="M63" s="94">
        <v>15.3</v>
      </c>
      <c r="N63" s="59">
        <v>17.11</v>
      </c>
      <c r="O63" s="88">
        <v>-0.09599999999999999</v>
      </c>
      <c r="P63" s="95">
        <v>-0.16938519447929742</v>
      </c>
      <c r="Q63" s="88">
        <v>-0.12744436952124064</v>
      </c>
      <c r="R63" s="88">
        <v>-0.10863636363636366</v>
      </c>
      <c r="S63" s="88">
        <v>0.10578609000584446</v>
      </c>
      <c r="T63" s="59"/>
      <c r="U63" s="59"/>
      <c r="V63" s="91"/>
      <c r="W63" s="91"/>
      <c r="X63" s="91"/>
      <c r="Y63" s="91"/>
      <c r="Z63" s="91"/>
      <c r="AA63" s="96"/>
      <c r="AB63" s="97"/>
      <c r="AC63" s="91"/>
      <c r="AD63" s="91"/>
      <c r="AE63" s="91"/>
      <c r="AF63" s="91"/>
    </row>
    <row r="64">
      <c r="A64" s="59" t="s">
        <v>359</v>
      </c>
      <c r="B64" s="59" t="s">
        <v>360</v>
      </c>
      <c r="C64" s="70">
        <v>4.811791491E10</v>
      </c>
      <c r="D64" s="86">
        <v>-0.07986899411215702</v>
      </c>
      <c r="E64" s="94">
        <v>138.38</v>
      </c>
      <c r="F64" s="94">
        <v>135.88</v>
      </c>
      <c r="G64" s="94">
        <v>186.33</v>
      </c>
      <c r="H64" s="59">
        <v>176.08</v>
      </c>
      <c r="I64" s="94">
        <v>278.74</v>
      </c>
      <c r="J64" s="59">
        <v>268.51</v>
      </c>
      <c r="K64" s="94">
        <v>700.92</v>
      </c>
      <c r="L64" s="94">
        <v>684.99</v>
      </c>
      <c r="M64" s="94">
        <v>1073.85</v>
      </c>
      <c r="N64" s="59">
        <v>851.33</v>
      </c>
      <c r="O64" s="88">
        <v>-0.018398586988519282</v>
      </c>
      <c r="P64" s="95">
        <v>-0.05821217628350749</v>
      </c>
      <c r="Q64" s="88">
        <v>-0.03809913969684563</v>
      </c>
      <c r="R64" s="88">
        <v>-0.0232558139534883</v>
      </c>
      <c r="S64" s="88">
        <v>-0.2613792536384244</v>
      </c>
      <c r="T64" s="59"/>
      <c r="U64" s="59"/>
      <c r="V64" s="91"/>
      <c r="W64" s="91"/>
      <c r="X64" s="91"/>
      <c r="Y64" s="91"/>
      <c r="Z64" s="91"/>
      <c r="AA64" s="96"/>
      <c r="AB64" s="97"/>
      <c r="AC64" s="91"/>
      <c r="AD64" s="91"/>
      <c r="AE64" s="91"/>
      <c r="AF64" s="91"/>
    </row>
    <row r="65">
      <c r="A65" s="59" t="s">
        <v>361</v>
      </c>
      <c r="B65" s="59" t="s">
        <v>362</v>
      </c>
      <c r="C65" s="70">
        <v>2.5790465648E10</v>
      </c>
      <c r="D65" s="86">
        <v>-0.08043910899221021</v>
      </c>
      <c r="E65" s="94">
        <v>21.47</v>
      </c>
      <c r="F65" s="94">
        <v>20.3</v>
      </c>
      <c r="G65" s="94">
        <v>21.94</v>
      </c>
      <c r="H65" s="59">
        <v>20.71</v>
      </c>
      <c r="I65" s="94">
        <v>27.41</v>
      </c>
      <c r="J65" s="59">
        <v>25.55</v>
      </c>
      <c r="K65" s="94">
        <v>54.02</v>
      </c>
      <c r="L65" s="94">
        <v>51.93</v>
      </c>
      <c r="M65" s="94">
        <v>139.26</v>
      </c>
      <c r="N65" s="59">
        <v>118.81</v>
      </c>
      <c r="O65" s="88">
        <v>-0.05763546798029547</v>
      </c>
      <c r="P65" s="95">
        <v>-0.05939159826170934</v>
      </c>
      <c r="Q65" s="88">
        <v>-0.07279843444227004</v>
      </c>
      <c r="R65" s="88">
        <v>-0.04024648565376475</v>
      </c>
      <c r="S65" s="88">
        <v>-0.17212355862301143</v>
      </c>
      <c r="T65" s="59"/>
      <c r="U65" s="59"/>
      <c r="V65" s="91"/>
      <c r="W65" s="91"/>
      <c r="X65" s="91"/>
      <c r="Y65" s="91"/>
      <c r="Z65" s="91"/>
      <c r="AA65" s="96"/>
      <c r="AB65" s="97"/>
      <c r="AC65" s="91"/>
      <c r="AD65" s="91"/>
      <c r="AE65" s="91"/>
      <c r="AF65" s="91"/>
    </row>
    <row r="66">
      <c r="A66" s="59" t="s">
        <v>363</v>
      </c>
      <c r="B66" s="59" t="s">
        <v>364</v>
      </c>
      <c r="C66" s="70">
        <v>1.65202658962E11</v>
      </c>
      <c r="D66" s="86">
        <v>-0.08078065876617128</v>
      </c>
      <c r="E66" s="94">
        <v>21.5</v>
      </c>
      <c r="F66" s="94">
        <v>21.55</v>
      </c>
      <c r="G66" s="94">
        <v>25.13</v>
      </c>
      <c r="H66" s="59">
        <v>24.34</v>
      </c>
      <c r="I66" s="94">
        <v>27.43</v>
      </c>
      <c r="J66" s="59">
        <v>26.38</v>
      </c>
      <c r="K66" s="94">
        <v>61.07</v>
      </c>
      <c r="L66" s="94">
        <v>58.65</v>
      </c>
      <c r="M66" s="94">
        <v>66.07</v>
      </c>
      <c r="N66" s="59">
        <v>51.11</v>
      </c>
      <c r="O66" s="88">
        <v>0.002320185614849221</v>
      </c>
      <c r="P66" s="95">
        <v>-0.03245686113393587</v>
      </c>
      <c r="Q66" s="88">
        <v>-0.03980288097043217</v>
      </c>
      <c r="R66" s="88">
        <v>-0.04126172208013643</v>
      </c>
      <c r="S66" s="88">
        <v>-0.2927020152612012</v>
      </c>
      <c r="T66" s="59"/>
      <c r="U66" s="59"/>
      <c r="V66" s="91"/>
      <c r="W66" s="91"/>
      <c r="X66" s="91"/>
      <c r="Y66" s="91"/>
      <c r="Z66" s="91"/>
      <c r="AA66" s="96"/>
      <c r="AB66" s="97"/>
      <c r="AC66" s="91"/>
      <c r="AD66" s="91"/>
      <c r="AE66" s="91"/>
      <c r="AF66" s="91"/>
    </row>
    <row r="67">
      <c r="A67" s="59" t="s">
        <v>107</v>
      </c>
      <c r="B67" s="59" t="s">
        <v>365</v>
      </c>
      <c r="C67" s="70">
        <v>8.0652454218E10</v>
      </c>
      <c r="D67" s="86">
        <v>-0.08170185735232463</v>
      </c>
      <c r="E67" s="94">
        <v>25.6</v>
      </c>
      <c r="F67" s="94">
        <v>26.53</v>
      </c>
      <c r="G67" s="94">
        <v>38.97</v>
      </c>
      <c r="H67" s="59">
        <v>35.9</v>
      </c>
      <c r="I67" s="94">
        <v>43.0</v>
      </c>
      <c r="J67" s="59">
        <v>40.0</v>
      </c>
      <c r="K67" s="94">
        <v>125.47</v>
      </c>
      <c r="L67" s="94">
        <v>119.27</v>
      </c>
      <c r="M67" s="94">
        <v>245.93</v>
      </c>
      <c r="N67" s="59">
        <v>199.77</v>
      </c>
      <c r="O67" s="88">
        <v>0.035054655107425545</v>
      </c>
      <c r="P67" s="95">
        <v>-0.08551532033426185</v>
      </c>
      <c r="Q67" s="88">
        <v>-0.075</v>
      </c>
      <c r="R67" s="88">
        <v>-0.051982895950364746</v>
      </c>
      <c r="S67" s="88">
        <v>-0.23106572558442207</v>
      </c>
      <c r="T67" s="59"/>
      <c r="U67" s="59"/>
      <c r="V67" s="91"/>
      <c r="W67" s="91"/>
      <c r="X67" s="91"/>
      <c r="Y67" s="91"/>
      <c r="Z67" s="91"/>
      <c r="AA67" s="96"/>
      <c r="AB67" s="97"/>
      <c r="AC67" s="91"/>
      <c r="AD67" s="91"/>
      <c r="AE67" s="91"/>
      <c r="AF67" s="91"/>
    </row>
    <row r="68">
      <c r="A68" s="59" t="s">
        <v>109</v>
      </c>
      <c r="B68" s="59" t="s">
        <v>366</v>
      </c>
      <c r="C68" s="70">
        <v>2.796786494E10</v>
      </c>
      <c r="D68" s="86">
        <v>-0.0821428576033069</v>
      </c>
      <c r="E68" s="94">
        <v>12.68</v>
      </c>
      <c r="F68" s="94">
        <v>13.21</v>
      </c>
      <c r="G68" s="94">
        <v>14.12</v>
      </c>
      <c r="H68" s="59">
        <v>12.56</v>
      </c>
      <c r="I68" s="94">
        <v>15.8</v>
      </c>
      <c r="J68" s="59">
        <v>14.74</v>
      </c>
      <c r="K68" s="94">
        <v>19.59</v>
      </c>
      <c r="L68" s="94">
        <v>18.7</v>
      </c>
      <c r="M68" s="94">
        <v>38.29</v>
      </c>
      <c r="N68" s="59">
        <v>31.72</v>
      </c>
      <c r="O68" s="88">
        <v>0.04012112036336117</v>
      </c>
      <c r="P68" s="95">
        <v>-0.12420382165605084</v>
      </c>
      <c r="Q68" s="88">
        <v>-0.0719131614654003</v>
      </c>
      <c r="R68" s="88">
        <v>-0.04759358288770057</v>
      </c>
      <c r="S68" s="88">
        <v>-0.20712484237074402</v>
      </c>
      <c r="T68" s="59"/>
      <c r="U68" s="59"/>
      <c r="V68" s="91"/>
      <c r="W68" s="91"/>
      <c r="X68" s="91"/>
      <c r="Y68" s="91"/>
      <c r="Z68" s="91"/>
      <c r="AA68" s="96"/>
      <c r="AB68" s="97"/>
      <c r="AC68" s="91"/>
      <c r="AD68" s="91"/>
      <c r="AE68" s="91"/>
      <c r="AF68" s="91"/>
    </row>
    <row r="69">
      <c r="A69" s="59" t="s">
        <v>367</v>
      </c>
      <c r="B69" s="59" t="s">
        <v>368</v>
      </c>
      <c r="C69" s="70">
        <v>1.42184555415E11</v>
      </c>
      <c r="D69" s="86">
        <v>-0.08227735490541735</v>
      </c>
      <c r="E69" s="94">
        <v>53.37</v>
      </c>
      <c r="F69" s="94">
        <v>52.82</v>
      </c>
      <c r="G69" s="94">
        <v>49.42</v>
      </c>
      <c r="H69" s="59">
        <v>46.42</v>
      </c>
      <c r="I69" s="94">
        <v>69.34</v>
      </c>
      <c r="J69" s="59">
        <v>66.27</v>
      </c>
      <c r="K69" s="94">
        <v>80.98</v>
      </c>
      <c r="L69" s="94">
        <v>78.34</v>
      </c>
      <c r="M69" s="94">
        <v>87.44</v>
      </c>
      <c r="N69" s="59">
        <v>69.6</v>
      </c>
      <c r="O69" s="88">
        <v>-0.010412722453616</v>
      </c>
      <c r="P69" s="95">
        <v>-0.06462731581214994</v>
      </c>
      <c r="Q69" s="88">
        <v>-0.046325637543383244</v>
      </c>
      <c r="R69" s="88">
        <v>-0.03369925963747767</v>
      </c>
      <c r="S69" s="88">
        <v>-0.25632183908045986</v>
      </c>
      <c r="T69" s="59"/>
      <c r="U69" s="59"/>
      <c r="V69" s="91"/>
      <c r="W69" s="91"/>
      <c r="X69" s="91"/>
      <c r="Y69" s="91"/>
      <c r="Z69" s="91"/>
      <c r="AA69" s="96"/>
      <c r="AB69" s="97"/>
      <c r="AC69" s="91"/>
      <c r="AD69" s="91"/>
      <c r="AE69" s="91"/>
      <c r="AF69" s="91"/>
    </row>
    <row r="70">
      <c r="A70" s="59" t="s">
        <v>369</v>
      </c>
      <c r="B70" s="59" t="s">
        <v>370</v>
      </c>
      <c r="C70" s="70">
        <v>2.0691715067E10</v>
      </c>
      <c r="D70" s="86">
        <v>-0.08270340335324745</v>
      </c>
      <c r="E70" s="94">
        <v>34.58</v>
      </c>
      <c r="F70" s="94">
        <v>35.68</v>
      </c>
      <c r="G70" s="94">
        <v>33.89</v>
      </c>
      <c r="H70" s="59">
        <v>31.58</v>
      </c>
      <c r="I70" s="94">
        <v>31.87</v>
      </c>
      <c r="J70" s="59">
        <v>29.67</v>
      </c>
      <c r="K70" s="94">
        <v>99.36</v>
      </c>
      <c r="L70" s="94">
        <v>93.83</v>
      </c>
      <c r="M70" s="94">
        <v>159.63</v>
      </c>
      <c r="N70" s="59">
        <v>128.93</v>
      </c>
      <c r="O70" s="88">
        <v>0.030829596412556094</v>
      </c>
      <c r="P70" s="95">
        <v>-0.0731475617479418</v>
      </c>
      <c r="Q70" s="88">
        <v>-0.07414897202561507</v>
      </c>
      <c r="R70" s="88">
        <v>-0.058936374293935855</v>
      </c>
      <c r="S70" s="88">
        <v>-0.23811370511130062</v>
      </c>
      <c r="T70" s="59"/>
      <c r="U70" s="59"/>
      <c r="V70" s="91"/>
      <c r="W70" s="91"/>
      <c r="X70" s="91"/>
      <c r="Y70" s="91"/>
      <c r="Z70" s="91"/>
      <c r="AA70" s="96"/>
      <c r="AB70" s="97"/>
      <c r="AC70" s="91"/>
      <c r="AD70" s="91"/>
      <c r="AE70" s="91"/>
      <c r="AF70" s="91"/>
    </row>
    <row r="71">
      <c r="A71" s="59" t="s">
        <v>111</v>
      </c>
      <c r="B71" s="59" t="s">
        <v>371</v>
      </c>
      <c r="C71" s="70">
        <v>4.0326153176E10</v>
      </c>
      <c r="D71" s="86">
        <v>-0.08301747653712835</v>
      </c>
      <c r="E71" s="94">
        <v>44.36</v>
      </c>
      <c r="F71" s="94">
        <v>42.91</v>
      </c>
      <c r="G71" s="94">
        <v>49.37</v>
      </c>
      <c r="H71" s="59">
        <v>46.41</v>
      </c>
      <c r="I71" s="94">
        <v>85.83</v>
      </c>
      <c r="J71" s="59">
        <v>81.06</v>
      </c>
      <c r="K71" s="94">
        <v>272.31</v>
      </c>
      <c r="L71" s="94">
        <v>256.39</v>
      </c>
      <c r="M71" s="94">
        <v>337.1</v>
      </c>
      <c r="N71" s="59">
        <v>281.72</v>
      </c>
      <c r="O71" s="88">
        <v>-0.03379165695642048</v>
      </c>
      <c r="P71" s="95">
        <v>-0.06377935789700498</v>
      </c>
      <c r="Q71" s="88">
        <v>-0.058845299777942214</v>
      </c>
      <c r="R71" s="88">
        <v>-0.06209290533952189</v>
      </c>
      <c r="S71" s="88">
        <v>-0.1965781627147522</v>
      </c>
      <c r="T71" s="59"/>
      <c r="U71" s="59"/>
      <c r="V71" s="91"/>
      <c r="W71" s="91"/>
      <c r="X71" s="91"/>
      <c r="Y71" s="91"/>
      <c r="Z71" s="91"/>
      <c r="AA71" s="96"/>
      <c r="AB71" s="97"/>
      <c r="AC71" s="91"/>
      <c r="AD71" s="91"/>
      <c r="AE71" s="91"/>
      <c r="AF71" s="91"/>
    </row>
    <row r="72">
      <c r="A72" s="59" t="s">
        <v>372</v>
      </c>
      <c r="B72" s="59" t="s">
        <v>373</v>
      </c>
      <c r="C72" s="70">
        <v>2.02825227738E11</v>
      </c>
      <c r="D72" s="86">
        <v>-0.08333555004462719</v>
      </c>
      <c r="E72" s="94">
        <v>57.05</v>
      </c>
      <c r="F72" s="94">
        <v>56.94</v>
      </c>
      <c r="G72" s="94">
        <v>55.48</v>
      </c>
      <c r="H72" s="59">
        <v>51.41</v>
      </c>
      <c r="I72" s="94">
        <v>53.82</v>
      </c>
      <c r="J72" s="59">
        <v>50.01</v>
      </c>
      <c r="K72" s="94">
        <v>127.96</v>
      </c>
      <c r="L72" s="94">
        <v>121.67</v>
      </c>
      <c r="M72" s="94">
        <v>337.37</v>
      </c>
      <c r="N72" s="59">
        <v>279.35</v>
      </c>
      <c r="O72" s="88">
        <v>-0.001931858096241648</v>
      </c>
      <c r="P72" s="95">
        <v>-0.07916747714452442</v>
      </c>
      <c r="Q72" s="88">
        <v>-0.07618476304739057</v>
      </c>
      <c r="R72" s="88">
        <v>-0.051697213774965</v>
      </c>
      <c r="S72" s="88">
        <v>-0.20769643816001424</v>
      </c>
      <c r="T72" s="59"/>
      <c r="U72" s="59"/>
      <c r="V72" s="91"/>
      <c r="W72" s="91"/>
      <c r="X72" s="91"/>
      <c r="Y72" s="91"/>
      <c r="Z72" s="91"/>
      <c r="AA72" s="96"/>
      <c r="AB72" s="97"/>
      <c r="AC72" s="91"/>
      <c r="AD72" s="91"/>
      <c r="AE72" s="91"/>
      <c r="AF72" s="91"/>
    </row>
    <row r="73">
      <c r="A73" s="59" t="s">
        <v>374</v>
      </c>
      <c r="B73" s="59" t="s">
        <v>375</v>
      </c>
      <c r="C73" s="70">
        <v>6.48469030904E11</v>
      </c>
      <c r="D73" s="86">
        <v>-0.08350321669293219</v>
      </c>
      <c r="E73" s="94">
        <v>78.92</v>
      </c>
      <c r="F73" s="94">
        <v>80.3</v>
      </c>
      <c r="G73" s="94">
        <v>78.44</v>
      </c>
      <c r="H73" s="59">
        <v>74.41</v>
      </c>
      <c r="I73" s="94">
        <v>71.25</v>
      </c>
      <c r="J73" s="59">
        <v>66.65</v>
      </c>
      <c r="K73" s="94">
        <v>134.22</v>
      </c>
      <c r="L73" s="94">
        <v>129.57</v>
      </c>
      <c r="M73" s="94">
        <v>226.77</v>
      </c>
      <c r="N73" s="59">
        <v>177.77</v>
      </c>
      <c r="O73" s="88">
        <v>0.017185554171855487</v>
      </c>
      <c r="P73" s="95">
        <v>-0.05415938717914261</v>
      </c>
      <c r="Q73" s="88">
        <v>-0.0690172543135783</v>
      </c>
      <c r="R73" s="88">
        <v>-0.035887937022458946</v>
      </c>
      <c r="S73" s="88">
        <v>-0.27563705912133657</v>
      </c>
      <c r="T73" s="59"/>
      <c r="U73" s="59"/>
      <c r="V73" s="91"/>
      <c r="W73" s="91"/>
      <c r="X73" s="91"/>
      <c r="Y73" s="91"/>
      <c r="Z73" s="91"/>
      <c r="AA73" s="96"/>
      <c r="AB73" s="97"/>
      <c r="AC73" s="91"/>
      <c r="AD73" s="91"/>
      <c r="AE73" s="91"/>
      <c r="AF73" s="91"/>
    </row>
    <row r="74">
      <c r="A74" s="59" t="s">
        <v>376</v>
      </c>
      <c r="B74" s="59" t="s">
        <v>377</v>
      </c>
      <c r="C74" s="70">
        <v>1.6634319311E10</v>
      </c>
      <c r="D74" s="86">
        <v>-0.08548415430108917</v>
      </c>
      <c r="E74" s="94">
        <v>13.47</v>
      </c>
      <c r="F74" s="94">
        <v>13.24</v>
      </c>
      <c r="G74" s="94">
        <v>16.51</v>
      </c>
      <c r="H74" s="59">
        <v>15.07</v>
      </c>
      <c r="I74" s="94">
        <v>18.27</v>
      </c>
      <c r="J74" s="59">
        <v>17.16</v>
      </c>
      <c r="K74" s="94">
        <v>35.56</v>
      </c>
      <c r="L74" s="94">
        <v>34.17</v>
      </c>
      <c r="M74" s="94">
        <v>68.86</v>
      </c>
      <c r="N74" s="59">
        <v>56.95</v>
      </c>
      <c r="O74" s="88">
        <v>-0.017371601208459247</v>
      </c>
      <c r="P74" s="95">
        <v>-0.0955540809555409</v>
      </c>
      <c r="Q74" s="88">
        <v>-0.06468531468531465</v>
      </c>
      <c r="R74" s="88">
        <v>-0.04067895815042436</v>
      </c>
      <c r="S74" s="88">
        <v>-0.2091308165057067</v>
      </c>
      <c r="T74" s="59"/>
      <c r="U74" s="59"/>
      <c r="V74" s="91"/>
      <c r="W74" s="91"/>
      <c r="X74" s="91"/>
      <c r="Y74" s="91"/>
      <c r="Z74" s="91"/>
      <c r="AA74" s="96"/>
      <c r="AB74" s="97"/>
      <c r="AC74" s="91"/>
      <c r="AD74" s="91"/>
      <c r="AE74" s="91"/>
      <c r="AF74" s="91"/>
    </row>
    <row r="75">
      <c r="A75" s="59" t="s">
        <v>113</v>
      </c>
      <c r="B75" s="59" t="s">
        <v>378</v>
      </c>
      <c r="C75" s="70">
        <v>3.5408912906E10</v>
      </c>
      <c r="D75" s="86">
        <v>-0.08562079898212784</v>
      </c>
      <c r="E75" s="94">
        <v>12.85</v>
      </c>
      <c r="F75" s="94">
        <v>13.38</v>
      </c>
      <c r="G75" s="94">
        <v>20.41</v>
      </c>
      <c r="H75" s="59">
        <v>19.58</v>
      </c>
      <c r="I75" s="94">
        <v>31.41</v>
      </c>
      <c r="J75" s="59">
        <v>30.48</v>
      </c>
      <c r="K75" s="94">
        <v>76.35</v>
      </c>
      <c r="L75" s="94">
        <v>73.71</v>
      </c>
      <c r="M75" s="94">
        <v>91.08</v>
      </c>
      <c r="N75" s="59">
        <v>67.02</v>
      </c>
      <c r="O75" s="88">
        <v>0.039611360239163014</v>
      </c>
      <c r="P75" s="95">
        <v>-0.04239019407558743</v>
      </c>
      <c r="Q75" s="88">
        <v>-0.030511811023622038</v>
      </c>
      <c r="R75" s="88">
        <v>-0.035816035816035825</v>
      </c>
      <c r="S75" s="88">
        <v>-0.3589973142345569</v>
      </c>
      <c r="T75" s="59"/>
      <c r="U75" s="59"/>
      <c r="V75" s="91"/>
      <c r="W75" s="91"/>
      <c r="X75" s="91"/>
      <c r="Y75" s="91"/>
      <c r="Z75" s="91"/>
      <c r="AA75" s="96"/>
      <c r="AB75" s="97"/>
      <c r="AC75" s="91"/>
      <c r="AD75" s="91"/>
      <c r="AE75" s="91"/>
      <c r="AF75" s="91"/>
    </row>
    <row r="76">
      <c r="A76" s="59" t="s">
        <v>379</v>
      </c>
      <c r="B76" s="59" t="s">
        <v>380</v>
      </c>
      <c r="C76" s="70">
        <v>7.2170471183E10</v>
      </c>
      <c r="D76" s="86">
        <v>-0.08628221647515039</v>
      </c>
      <c r="E76" s="94">
        <v>51.87</v>
      </c>
      <c r="F76" s="94">
        <v>53.58</v>
      </c>
      <c r="G76" s="94">
        <v>50.79</v>
      </c>
      <c r="H76" s="59">
        <v>49.65</v>
      </c>
      <c r="I76" s="94">
        <v>54.36</v>
      </c>
      <c r="J76" s="59">
        <v>51.81</v>
      </c>
      <c r="K76" s="94">
        <v>76.71</v>
      </c>
      <c r="L76" s="94">
        <v>72.44</v>
      </c>
      <c r="M76" s="94">
        <v>102.02</v>
      </c>
      <c r="N76" s="59">
        <v>76.58</v>
      </c>
      <c r="O76" s="88">
        <v>0.031914893617021295</v>
      </c>
      <c r="P76" s="95">
        <v>-0.022960725075528713</v>
      </c>
      <c r="Q76" s="88">
        <v>-0.049218297625940884</v>
      </c>
      <c r="R76" s="88">
        <v>-0.058945334069574765</v>
      </c>
      <c r="S76" s="88">
        <v>-0.33220161922172886</v>
      </c>
      <c r="T76" s="59"/>
      <c r="U76" s="59"/>
      <c r="V76" s="91"/>
      <c r="W76" s="91"/>
      <c r="X76" s="91"/>
      <c r="Y76" s="91"/>
      <c r="Z76" s="91"/>
      <c r="AA76" s="96"/>
      <c r="AB76" s="97"/>
      <c r="AC76" s="91"/>
      <c r="AD76" s="91"/>
      <c r="AE76" s="91"/>
      <c r="AF76" s="91"/>
    </row>
    <row r="77">
      <c r="A77" s="59" t="s">
        <v>381</v>
      </c>
      <c r="B77" s="59" t="s">
        <v>382</v>
      </c>
      <c r="C77" s="70">
        <v>1.72383356E10</v>
      </c>
      <c r="D77" s="86">
        <v>-0.08629599370367694</v>
      </c>
      <c r="E77" s="94">
        <v>16.84</v>
      </c>
      <c r="F77" s="94">
        <v>17.07</v>
      </c>
      <c r="G77" s="94">
        <v>9.87</v>
      </c>
      <c r="H77" s="59">
        <v>8.61</v>
      </c>
      <c r="I77" s="94">
        <v>11.54</v>
      </c>
      <c r="J77" s="59">
        <v>10.63</v>
      </c>
      <c r="K77" s="94">
        <v>97.08</v>
      </c>
      <c r="L77" s="94">
        <v>94.57</v>
      </c>
      <c r="M77" s="94">
        <v>169.0</v>
      </c>
      <c r="N77" s="59">
        <v>142.44</v>
      </c>
      <c r="O77" s="88">
        <v>0.013473930872876416</v>
      </c>
      <c r="P77" s="95">
        <v>-0.14634146341463414</v>
      </c>
      <c r="Q77" s="88">
        <v>-0.0856067732831607</v>
      </c>
      <c r="R77" s="88">
        <v>-0.026541186422755686</v>
      </c>
      <c r="S77" s="88">
        <v>-0.1864644762707105</v>
      </c>
      <c r="T77" s="59"/>
      <c r="U77" s="59"/>
      <c r="V77" s="91"/>
      <c r="W77" s="91"/>
      <c r="X77" s="91"/>
      <c r="Y77" s="91"/>
      <c r="Z77" s="91"/>
      <c r="AA77" s="96"/>
      <c r="AB77" s="97"/>
      <c r="AC77" s="91"/>
      <c r="AD77" s="91"/>
      <c r="AE77" s="91"/>
      <c r="AF77" s="91"/>
    </row>
    <row r="78">
      <c r="A78" s="59" t="s">
        <v>383</v>
      </c>
      <c r="B78" s="59" t="s">
        <v>384</v>
      </c>
      <c r="C78" s="70">
        <v>2.7091449589E10</v>
      </c>
      <c r="D78" s="86">
        <v>-0.08642066050671467</v>
      </c>
      <c r="E78" s="94">
        <v>36.89</v>
      </c>
      <c r="F78" s="94">
        <v>37.04</v>
      </c>
      <c r="G78" s="94">
        <v>25.8</v>
      </c>
      <c r="H78" s="59">
        <v>24.51</v>
      </c>
      <c r="I78" s="94">
        <v>29.11</v>
      </c>
      <c r="J78" s="59">
        <v>27.33</v>
      </c>
      <c r="K78" s="94">
        <v>38.28</v>
      </c>
      <c r="L78" s="94">
        <v>37.17</v>
      </c>
      <c r="M78" s="94">
        <v>92.22</v>
      </c>
      <c r="N78" s="59">
        <v>71.57</v>
      </c>
      <c r="O78" s="88">
        <v>0.004049676025917888</v>
      </c>
      <c r="P78" s="95">
        <v>-0.05263157894736838</v>
      </c>
      <c r="Q78" s="88">
        <v>-0.06512989388949876</v>
      </c>
      <c r="R78" s="88">
        <v>-0.029862792574656963</v>
      </c>
      <c r="S78" s="88">
        <v>-0.28852871314796713</v>
      </c>
      <c r="T78" s="59"/>
      <c r="U78" s="59"/>
      <c r="V78" s="91"/>
      <c r="W78" s="91"/>
      <c r="X78" s="91"/>
      <c r="Y78" s="91"/>
      <c r="Z78" s="91"/>
      <c r="AA78" s="96"/>
      <c r="AB78" s="97"/>
      <c r="AC78" s="91"/>
      <c r="AD78" s="91"/>
      <c r="AE78" s="91"/>
      <c r="AF78" s="91"/>
    </row>
    <row r="79">
      <c r="A79" s="59" t="s">
        <v>385</v>
      </c>
      <c r="B79" s="59" t="s">
        <v>386</v>
      </c>
      <c r="C79" s="70">
        <v>2.6669206466E10</v>
      </c>
      <c r="D79" s="86">
        <v>-0.08673780642035193</v>
      </c>
      <c r="E79" s="94">
        <v>26.44</v>
      </c>
      <c r="F79" s="94">
        <v>26.01</v>
      </c>
      <c r="G79" s="94">
        <v>27.75</v>
      </c>
      <c r="H79" s="59">
        <v>25.53</v>
      </c>
      <c r="I79" s="94">
        <v>32.24</v>
      </c>
      <c r="J79" s="59">
        <v>30.46</v>
      </c>
      <c r="K79" s="94">
        <v>51.04</v>
      </c>
      <c r="L79" s="94">
        <v>48.92</v>
      </c>
      <c r="M79" s="94">
        <v>94.81</v>
      </c>
      <c r="N79" s="59">
        <v>77.18</v>
      </c>
      <c r="O79" s="88">
        <v>-0.016532103037293338</v>
      </c>
      <c r="P79" s="95">
        <v>-0.08695652173913039</v>
      </c>
      <c r="Q79" s="88">
        <v>-0.05843729481286937</v>
      </c>
      <c r="R79" s="88">
        <v>-0.043336058871627094</v>
      </c>
      <c r="S79" s="88">
        <v>-0.2284270536408395</v>
      </c>
      <c r="T79" s="59"/>
      <c r="U79" s="59"/>
      <c r="V79" s="91"/>
      <c r="W79" s="91"/>
      <c r="X79" s="91"/>
      <c r="Y79" s="91"/>
      <c r="Z79" s="91"/>
      <c r="AA79" s="96"/>
      <c r="AB79" s="97"/>
      <c r="AC79" s="91"/>
      <c r="AD79" s="91"/>
      <c r="AE79" s="91"/>
      <c r="AF79" s="91"/>
    </row>
    <row r="80">
      <c r="A80" s="59" t="s">
        <v>387</v>
      </c>
      <c r="B80" s="59" t="s">
        <v>388</v>
      </c>
      <c r="C80" s="70">
        <v>9.950761255E9</v>
      </c>
      <c r="D80" s="86">
        <v>-0.08687344343638674</v>
      </c>
      <c r="E80" s="94">
        <v>47.15</v>
      </c>
      <c r="F80" s="94">
        <v>48.31</v>
      </c>
      <c r="G80" s="94">
        <v>44.54</v>
      </c>
      <c r="H80" s="59">
        <v>41.96</v>
      </c>
      <c r="I80" s="94">
        <v>42.53</v>
      </c>
      <c r="J80" s="59">
        <v>40.77</v>
      </c>
      <c r="K80" s="94">
        <v>69.98</v>
      </c>
      <c r="L80" s="94">
        <v>66.48</v>
      </c>
      <c r="M80" s="94">
        <v>54.45</v>
      </c>
      <c r="N80" s="59">
        <v>41.85</v>
      </c>
      <c r="O80" s="88">
        <v>0.024011591802939426</v>
      </c>
      <c r="P80" s="95">
        <v>-0.06148713060057193</v>
      </c>
      <c r="Q80" s="88">
        <v>-0.043168996811380866</v>
      </c>
      <c r="R80" s="88">
        <v>-0.052647412755716</v>
      </c>
      <c r="S80" s="88">
        <v>-0.3010752688172043</v>
      </c>
      <c r="T80" s="59"/>
      <c r="U80" s="59"/>
      <c r="V80" s="91"/>
      <c r="W80" s="91"/>
      <c r="X80" s="91"/>
      <c r="Y80" s="91"/>
      <c r="Z80" s="91"/>
      <c r="AA80" s="96"/>
      <c r="AB80" s="97"/>
      <c r="AC80" s="91"/>
      <c r="AD80" s="91"/>
      <c r="AE80" s="91"/>
      <c r="AF80" s="91"/>
    </row>
    <row r="81">
      <c r="A81" s="59" t="s">
        <v>389</v>
      </c>
      <c r="B81" s="59" t="s">
        <v>390</v>
      </c>
      <c r="C81" s="70">
        <v>1.1803568934E10</v>
      </c>
      <c r="D81" s="86">
        <v>-0.08689278553364374</v>
      </c>
      <c r="E81" s="94">
        <v>13.07</v>
      </c>
      <c r="F81" s="94">
        <v>13.04</v>
      </c>
      <c r="G81" s="94">
        <v>16.06</v>
      </c>
      <c r="H81" s="59">
        <v>12.57</v>
      </c>
      <c r="I81" s="94">
        <v>25.37</v>
      </c>
      <c r="J81" s="59">
        <v>23.17</v>
      </c>
      <c r="K81" s="94">
        <v>104.48</v>
      </c>
      <c r="L81" s="94">
        <v>101.78</v>
      </c>
      <c r="M81" s="94">
        <v>295.78</v>
      </c>
      <c r="N81" s="59">
        <v>286.32</v>
      </c>
      <c r="O81" s="88">
        <v>-0.0023006134969326027</v>
      </c>
      <c r="P81" s="95">
        <v>-0.27764518695306273</v>
      </c>
      <c r="Q81" s="88">
        <v>-0.09495036685369009</v>
      </c>
      <c r="R81" s="88">
        <v>-0.02652780506975833</v>
      </c>
      <c r="S81" s="88">
        <v>-0.033039955294775006</v>
      </c>
      <c r="T81" s="59"/>
      <c r="U81" s="59"/>
      <c r="V81" s="91"/>
      <c r="W81" s="91"/>
      <c r="X81" s="91"/>
      <c r="Y81" s="91"/>
      <c r="Z81" s="91"/>
      <c r="AA81" s="96"/>
      <c r="AB81" s="97"/>
      <c r="AC81" s="91"/>
      <c r="AD81" s="91"/>
      <c r="AE81" s="91"/>
      <c r="AF81" s="91"/>
    </row>
    <row r="82">
      <c r="A82" s="59" t="s">
        <v>115</v>
      </c>
      <c r="B82" s="59" t="s">
        <v>391</v>
      </c>
      <c r="C82" s="70">
        <v>5.2807456362E10</v>
      </c>
      <c r="D82" s="86">
        <v>-0.08714766184045505</v>
      </c>
      <c r="E82" s="94">
        <v>29.15</v>
      </c>
      <c r="F82" s="94">
        <v>29.16</v>
      </c>
      <c r="G82" s="94">
        <v>49.72</v>
      </c>
      <c r="H82" s="59">
        <v>46.35</v>
      </c>
      <c r="I82" s="94">
        <v>58.35</v>
      </c>
      <c r="J82" s="59">
        <v>57.51</v>
      </c>
      <c r="K82" s="94">
        <v>238.17</v>
      </c>
      <c r="L82" s="94">
        <v>231.85</v>
      </c>
      <c r="M82" s="94">
        <v>395.99</v>
      </c>
      <c r="N82" s="59">
        <v>299.65</v>
      </c>
      <c r="O82" s="88">
        <v>3.429355281207669E-4</v>
      </c>
      <c r="P82" s="95">
        <v>-0.07270765911542605</v>
      </c>
      <c r="Q82" s="88">
        <v>-0.014606155451225934</v>
      </c>
      <c r="R82" s="88">
        <v>-0.027259003666163437</v>
      </c>
      <c r="S82" s="88">
        <v>-0.32150842649758066</v>
      </c>
      <c r="T82" s="59"/>
      <c r="U82" s="59"/>
      <c r="V82" s="91"/>
      <c r="W82" s="91"/>
      <c r="X82" s="91"/>
      <c r="Y82" s="91"/>
      <c r="Z82" s="91"/>
      <c r="AA82" s="96"/>
      <c r="AB82" s="97"/>
      <c r="AC82" s="91"/>
      <c r="AD82" s="91"/>
      <c r="AE82" s="91"/>
      <c r="AF82" s="91"/>
    </row>
    <row r="83">
      <c r="A83" s="59" t="s">
        <v>392</v>
      </c>
      <c r="B83" s="59" t="s">
        <v>393</v>
      </c>
      <c r="C83" s="70">
        <v>6.4247875066E10</v>
      </c>
      <c r="D83" s="86">
        <v>-0.08769042839850585</v>
      </c>
      <c r="E83" s="94">
        <v>34.28</v>
      </c>
      <c r="F83" s="94">
        <v>34.79</v>
      </c>
      <c r="G83" s="94">
        <v>35.08</v>
      </c>
      <c r="H83" s="59">
        <v>32.86</v>
      </c>
      <c r="I83" s="94">
        <v>30.37</v>
      </c>
      <c r="J83" s="59">
        <v>28.17</v>
      </c>
      <c r="K83" s="94">
        <v>51.64</v>
      </c>
      <c r="L83" s="94">
        <v>49.47</v>
      </c>
      <c r="M83" s="94">
        <v>126.22</v>
      </c>
      <c r="N83" s="59">
        <v>99.89</v>
      </c>
      <c r="O83" s="88">
        <v>0.014659384880712792</v>
      </c>
      <c r="P83" s="95">
        <v>-0.06755934266585512</v>
      </c>
      <c r="Q83" s="88">
        <v>-0.07809726659566912</v>
      </c>
      <c r="R83" s="88">
        <v>-0.04386496866787956</v>
      </c>
      <c r="S83" s="88">
        <v>-0.2635899489438382</v>
      </c>
      <c r="T83" s="59"/>
      <c r="U83" s="59"/>
      <c r="V83" s="91"/>
      <c r="W83" s="91"/>
      <c r="X83" s="91"/>
      <c r="Y83" s="91"/>
      <c r="Z83" s="91"/>
      <c r="AA83" s="96"/>
      <c r="AB83" s="97"/>
      <c r="AC83" s="91"/>
      <c r="AD83" s="91"/>
      <c r="AE83" s="91"/>
      <c r="AF83" s="91"/>
    </row>
    <row r="84">
      <c r="A84" s="59" t="s">
        <v>394</v>
      </c>
      <c r="B84" s="59" t="s">
        <v>395</v>
      </c>
      <c r="C84" s="70">
        <v>2.8827366352E10</v>
      </c>
      <c r="D84" s="86">
        <v>-0.08836310635387339</v>
      </c>
      <c r="E84" s="94">
        <v>101.49</v>
      </c>
      <c r="F84" s="94">
        <v>100.05</v>
      </c>
      <c r="G84" s="94">
        <v>126.7</v>
      </c>
      <c r="H84" s="59">
        <v>112.46</v>
      </c>
      <c r="I84" s="94">
        <v>137.93</v>
      </c>
      <c r="J84" s="59">
        <v>131.91</v>
      </c>
      <c r="K84" s="94">
        <v>304.76</v>
      </c>
      <c r="L84" s="94">
        <v>291.08</v>
      </c>
      <c r="M84" s="94">
        <v>752.24</v>
      </c>
      <c r="N84" s="59">
        <v>622.63</v>
      </c>
      <c r="O84" s="88">
        <v>-0.014392803598200877</v>
      </c>
      <c r="P84" s="95">
        <v>-0.12662279921749964</v>
      </c>
      <c r="Q84" s="88">
        <v>-0.04563717686301274</v>
      </c>
      <c r="R84" s="88">
        <v>-0.046997389033942585</v>
      </c>
      <c r="S84" s="88">
        <v>-0.20816536305671107</v>
      </c>
      <c r="T84" s="59"/>
      <c r="U84" s="59"/>
      <c r="V84" s="91"/>
      <c r="W84" s="91"/>
      <c r="X84" s="91"/>
      <c r="Y84" s="91"/>
      <c r="Z84" s="91"/>
      <c r="AA84" s="96"/>
      <c r="AB84" s="97"/>
      <c r="AC84" s="91"/>
      <c r="AD84" s="91"/>
      <c r="AE84" s="91"/>
      <c r="AF84" s="91"/>
    </row>
    <row r="85">
      <c r="A85" s="59" t="s">
        <v>396</v>
      </c>
      <c r="B85" s="59" t="s">
        <v>397</v>
      </c>
      <c r="C85" s="70">
        <v>3.2353843776E10</v>
      </c>
      <c r="D85" s="86">
        <v>-0.08899627824072376</v>
      </c>
      <c r="E85" s="94">
        <v>22.41</v>
      </c>
      <c r="F85" s="94">
        <v>23.71</v>
      </c>
      <c r="G85" s="94">
        <v>34.34</v>
      </c>
      <c r="H85" s="59">
        <v>31.82</v>
      </c>
      <c r="I85" s="94">
        <v>28.17</v>
      </c>
      <c r="J85" s="59">
        <v>25.76</v>
      </c>
      <c r="K85" s="94">
        <v>52.5</v>
      </c>
      <c r="L85" s="94">
        <v>49.54</v>
      </c>
      <c r="M85" s="94">
        <v>174.8</v>
      </c>
      <c r="N85" s="59">
        <v>137.93</v>
      </c>
      <c r="O85" s="88">
        <v>0.05482918599746945</v>
      </c>
      <c r="P85" s="95">
        <v>-0.07919547454431185</v>
      </c>
      <c r="Q85" s="88">
        <v>-0.09355590062111802</v>
      </c>
      <c r="R85" s="88">
        <v>-0.05974969721437224</v>
      </c>
      <c r="S85" s="88">
        <v>-0.2673095048212862</v>
      </c>
      <c r="T85" s="59"/>
      <c r="U85" s="59"/>
      <c r="V85" s="91"/>
      <c r="W85" s="91"/>
      <c r="X85" s="91"/>
      <c r="Y85" s="91"/>
      <c r="Z85" s="91"/>
      <c r="AA85" s="96"/>
      <c r="AB85" s="97"/>
      <c r="AC85" s="91"/>
      <c r="AD85" s="91"/>
      <c r="AE85" s="91"/>
      <c r="AF85" s="91"/>
    </row>
    <row r="86">
      <c r="A86" s="59" t="s">
        <v>117</v>
      </c>
      <c r="B86" s="59" t="s">
        <v>398</v>
      </c>
      <c r="C86" s="70">
        <v>3.2879385716E10</v>
      </c>
      <c r="D86" s="86">
        <v>-0.089236559036542</v>
      </c>
      <c r="E86" s="94">
        <v>27.38</v>
      </c>
      <c r="F86" s="94">
        <v>27.92</v>
      </c>
      <c r="G86" s="94">
        <v>33.58</v>
      </c>
      <c r="H86" s="59">
        <v>30.79</v>
      </c>
      <c r="I86" s="94">
        <v>37.23</v>
      </c>
      <c r="J86" s="59">
        <v>35.57</v>
      </c>
      <c r="K86" s="94">
        <v>74.2</v>
      </c>
      <c r="L86" s="94">
        <v>70.86</v>
      </c>
      <c r="M86" s="94">
        <v>286.75</v>
      </c>
      <c r="N86" s="59">
        <v>223.83</v>
      </c>
      <c r="O86" s="88">
        <v>0.01934097421203448</v>
      </c>
      <c r="P86" s="95">
        <v>-0.09061383566092884</v>
      </c>
      <c r="Q86" s="88">
        <v>-0.04666854090525714</v>
      </c>
      <c r="R86" s="88">
        <v>-0.04713519616144515</v>
      </c>
      <c r="S86" s="88">
        <v>-0.28110619666711334</v>
      </c>
      <c r="T86" s="59"/>
      <c r="U86" s="59"/>
      <c r="V86" s="91"/>
      <c r="W86" s="91"/>
      <c r="X86" s="91"/>
      <c r="Y86" s="91"/>
      <c r="Z86" s="91"/>
      <c r="AA86" s="96"/>
      <c r="AB86" s="97"/>
      <c r="AC86" s="91"/>
      <c r="AD86" s="91"/>
      <c r="AE86" s="91"/>
      <c r="AF86" s="91"/>
    </row>
    <row r="87">
      <c r="A87" s="59" t="s">
        <v>399</v>
      </c>
      <c r="B87" s="59" t="s">
        <v>400</v>
      </c>
      <c r="C87" s="70">
        <v>5.8042095007E10</v>
      </c>
      <c r="D87" s="86">
        <v>-0.08978038713854997</v>
      </c>
      <c r="E87" s="94">
        <v>41.6</v>
      </c>
      <c r="F87" s="94">
        <v>41.72</v>
      </c>
      <c r="G87" s="94">
        <v>42.47</v>
      </c>
      <c r="H87" s="59">
        <v>40.22</v>
      </c>
      <c r="I87" s="94">
        <v>48.59</v>
      </c>
      <c r="J87" s="59">
        <v>45.94</v>
      </c>
      <c r="K87" s="94">
        <v>75.4</v>
      </c>
      <c r="L87" s="94">
        <v>72.36</v>
      </c>
      <c r="M87" s="94">
        <v>88.98</v>
      </c>
      <c r="N87" s="59">
        <v>68.65</v>
      </c>
      <c r="O87" s="88">
        <v>0.002876318312559862</v>
      </c>
      <c r="P87" s="95">
        <v>-0.05594231725509697</v>
      </c>
      <c r="Q87" s="88">
        <v>-0.05768393556813247</v>
      </c>
      <c r="R87" s="88">
        <v>-0.042012161415146576</v>
      </c>
      <c r="S87" s="88">
        <v>-0.2961398397669337</v>
      </c>
      <c r="T87" s="59"/>
      <c r="U87" s="59"/>
      <c r="V87" s="91"/>
      <c r="W87" s="91"/>
      <c r="X87" s="91"/>
      <c r="Y87" s="91"/>
      <c r="Z87" s="91"/>
      <c r="AA87" s="96"/>
      <c r="AB87" s="97"/>
      <c r="AC87" s="91"/>
      <c r="AD87" s="91"/>
      <c r="AE87" s="91"/>
      <c r="AF87" s="91"/>
    </row>
    <row r="88">
      <c r="A88" s="59" t="s">
        <v>401</v>
      </c>
      <c r="B88" s="59" t="s">
        <v>402</v>
      </c>
      <c r="C88" s="70">
        <v>1.3084921548E10</v>
      </c>
      <c r="D88" s="86">
        <v>-0.09021904834514534</v>
      </c>
      <c r="E88" s="94">
        <v>15.49</v>
      </c>
      <c r="F88" s="94">
        <v>15.47</v>
      </c>
      <c r="G88" s="94">
        <v>17.27</v>
      </c>
      <c r="H88" s="59">
        <v>16.41</v>
      </c>
      <c r="I88" s="94">
        <v>25.17</v>
      </c>
      <c r="J88" s="59">
        <v>23.17</v>
      </c>
      <c r="K88" s="94">
        <v>136.51</v>
      </c>
      <c r="L88" s="94">
        <v>129.52</v>
      </c>
      <c r="M88" s="94">
        <v>332.92</v>
      </c>
      <c r="N88" s="59">
        <v>264.83</v>
      </c>
      <c r="O88" s="88">
        <v>-0.0012928248222365594</v>
      </c>
      <c r="P88" s="95">
        <v>-0.052407068860450906</v>
      </c>
      <c r="Q88" s="88">
        <v>-0.08631851532153646</v>
      </c>
      <c r="R88" s="88">
        <v>-0.053968499073502006</v>
      </c>
      <c r="S88" s="88">
        <v>-0.25710833364800073</v>
      </c>
      <c r="T88" s="59"/>
      <c r="U88" s="59"/>
      <c r="V88" s="91"/>
      <c r="W88" s="91"/>
      <c r="X88" s="91"/>
      <c r="Y88" s="91"/>
      <c r="Z88" s="91"/>
      <c r="AA88" s="96"/>
      <c r="AB88" s="97"/>
      <c r="AC88" s="91"/>
      <c r="AD88" s="91"/>
      <c r="AE88" s="91"/>
      <c r="AF88" s="91"/>
    </row>
    <row r="89">
      <c r="A89" s="59" t="s">
        <v>403</v>
      </c>
      <c r="B89" s="59" t="s">
        <v>404</v>
      </c>
      <c r="C89" s="70">
        <v>1.2131170016E10</v>
      </c>
      <c r="D89" s="86">
        <v>-0.09074963513429116</v>
      </c>
      <c r="E89" s="94">
        <v>74.39</v>
      </c>
      <c r="F89" s="94">
        <v>74.75</v>
      </c>
      <c r="G89" s="94">
        <v>66.4</v>
      </c>
      <c r="H89" s="59">
        <v>61.79</v>
      </c>
      <c r="I89" s="94">
        <v>72.04</v>
      </c>
      <c r="J89" s="59">
        <v>69.86</v>
      </c>
      <c r="K89" s="94">
        <v>101.51</v>
      </c>
      <c r="L89" s="94">
        <v>94.66</v>
      </c>
      <c r="M89" s="94">
        <v>206.36</v>
      </c>
      <c r="N89" s="59">
        <v>161.17</v>
      </c>
      <c r="O89" s="88">
        <v>0.004816053511705678</v>
      </c>
      <c r="P89" s="95">
        <v>-0.07460754167341005</v>
      </c>
      <c r="Q89" s="88">
        <v>-0.031205267678213668</v>
      </c>
      <c r="R89" s="88">
        <v>-0.0723642510035919</v>
      </c>
      <c r="S89" s="88">
        <v>-0.28038716882794584</v>
      </c>
      <c r="T89" s="59"/>
      <c r="U89" s="59"/>
      <c r="V89" s="91"/>
      <c r="W89" s="91"/>
      <c r="X89" s="91"/>
      <c r="Y89" s="91"/>
      <c r="Z89" s="91"/>
      <c r="AA89" s="96"/>
      <c r="AB89" s="97"/>
      <c r="AC89" s="91"/>
      <c r="AD89" s="91"/>
      <c r="AE89" s="91"/>
      <c r="AF89" s="91"/>
    </row>
    <row r="90">
      <c r="A90" s="59" t="s">
        <v>405</v>
      </c>
      <c r="B90" s="59" t="s">
        <v>406</v>
      </c>
      <c r="C90" s="70">
        <v>1.6990570517E10</v>
      </c>
      <c r="D90" s="86">
        <v>-0.09177229848976506</v>
      </c>
      <c r="E90" s="94">
        <v>24.15</v>
      </c>
      <c r="F90" s="94">
        <v>23.8</v>
      </c>
      <c r="G90" s="94">
        <v>21.35</v>
      </c>
      <c r="H90" s="59">
        <v>20.2</v>
      </c>
      <c r="I90" s="94">
        <v>20.96</v>
      </c>
      <c r="J90" s="59">
        <v>20.29</v>
      </c>
      <c r="K90" s="94">
        <v>56.08</v>
      </c>
      <c r="L90" s="94">
        <v>54.63</v>
      </c>
      <c r="M90" s="94">
        <v>173.22</v>
      </c>
      <c r="N90" s="59">
        <v>130.47</v>
      </c>
      <c r="O90" s="88">
        <v>-0.014705882352941086</v>
      </c>
      <c r="P90" s="95">
        <v>-0.05693069306930704</v>
      </c>
      <c r="Q90" s="88">
        <v>-0.03302119270576647</v>
      </c>
      <c r="R90" s="88">
        <v>-0.026542192934285114</v>
      </c>
      <c r="S90" s="88">
        <v>-0.32766153138652565</v>
      </c>
      <c r="T90" s="59"/>
      <c r="U90" s="59"/>
      <c r="V90" s="91"/>
      <c r="W90" s="91"/>
      <c r="X90" s="91"/>
      <c r="Y90" s="91"/>
      <c r="Z90" s="91"/>
      <c r="AA90" s="96"/>
      <c r="AB90" s="97"/>
      <c r="AC90" s="91"/>
      <c r="AD90" s="91"/>
      <c r="AE90" s="91"/>
      <c r="AF90" s="91"/>
    </row>
    <row r="91">
      <c r="A91" s="59" t="s">
        <v>407</v>
      </c>
      <c r="B91" s="59" t="s">
        <v>408</v>
      </c>
      <c r="C91" s="70">
        <v>1.6260852395E10</v>
      </c>
      <c r="D91" s="86">
        <v>-0.0926745622565299</v>
      </c>
      <c r="E91" s="94">
        <v>53.96</v>
      </c>
      <c r="F91" s="94">
        <v>53.59</v>
      </c>
      <c r="G91" s="94">
        <v>56.74</v>
      </c>
      <c r="H91" s="59">
        <v>54.5</v>
      </c>
      <c r="I91" s="94">
        <v>50.66</v>
      </c>
      <c r="J91" s="59">
        <v>47.37</v>
      </c>
      <c r="K91" s="94">
        <v>70.18</v>
      </c>
      <c r="L91" s="94">
        <v>67.31</v>
      </c>
      <c r="M91" s="94">
        <v>112.59</v>
      </c>
      <c r="N91" s="59">
        <v>86.39</v>
      </c>
      <c r="O91" s="88">
        <v>-0.006904273185295716</v>
      </c>
      <c r="P91" s="95">
        <v>-0.0411009174311927</v>
      </c>
      <c r="Q91" s="88">
        <v>-0.06945324044754063</v>
      </c>
      <c r="R91" s="88">
        <v>-0.04263853810726496</v>
      </c>
      <c r="S91" s="88">
        <v>-0.3032758421113555</v>
      </c>
      <c r="T91" s="59"/>
      <c r="U91" s="59"/>
      <c r="V91" s="91"/>
      <c r="W91" s="91"/>
      <c r="X91" s="91"/>
      <c r="Y91" s="91"/>
      <c r="Z91" s="91"/>
      <c r="AA91" s="96"/>
      <c r="AB91" s="97"/>
      <c r="AC91" s="91"/>
      <c r="AD91" s="91"/>
      <c r="AE91" s="91"/>
      <c r="AF91" s="91"/>
    </row>
    <row r="92">
      <c r="A92" s="59" t="s">
        <v>409</v>
      </c>
      <c r="B92" s="59" t="s">
        <v>410</v>
      </c>
      <c r="C92" s="70">
        <v>1.0032011216E10</v>
      </c>
      <c r="D92" s="86">
        <v>-0.09285452001253872</v>
      </c>
      <c r="E92" s="94">
        <v>23.6</v>
      </c>
      <c r="F92" s="94">
        <v>25.21</v>
      </c>
      <c r="G92" s="94">
        <v>28.99</v>
      </c>
      <c r="H92" s="59">
        <v>26.73</v>
      </c>
      <c r="I92" s="94">
        <v>22.23</v>
      </c>
      <c r="J92" s="59">
        <v>20.16</v>
      </c>
      <c r="K92" s="94">
        <v>26.56</v>
      </c>
      <c r="L92" s="94">
        <v>25.56</v>
      </c>
      <c r="M92" s="94">
        <v>24.07</v>
      </c>
      <c r="N92" s="59">
        <v>18.49</v>
      </c>
      <c r="O92" s="88">
        <v>0.06386354621182068</v>
      </c>
      <c r="P92" s="95">
        <v>-0.08454919566030669</v>
      </c>
      <c r="Q92" s="88">
        <v>-0.10267857142857144</v>
      </c>
      <c r="R92" s="88">
        <v>-0.03912363067292645</v>
      </c>
      <c r="S92" s="88">
        <v>-0.3017847485127097</v>
      </c>
      <c r="T92" s="59"/>
      <c r="U92" s="59"/>
      <c r="V92" s="91"/>
      <c r="W92" s="91"/>
      <c r="X92" s="91"/>
      <c r="Y92" s="91"/>
      <c r="Z92" s="91"/>
      <c r="AA92" s="96"/>
      <c r="AB92" s="97"/>
      <c r="AC92" s="91"/>
      <c r="AD92" s="91"/>
      <c r="AE92" s="91"/>
      <c r="AF92" s="91"/>
    </row>
    <row r="93">
      <c r="A93" s="59" t="s">
        <v>411</v>
      </c>
      <c r="B93" s="59" t="s">
        <v>412</v>
      </c>
      <c r="C93" s="70">
        <v>5.7273773057E10</v>
      </c>
      <c r="D93" s="86">
        <v>-0.09308649244938076</v>
      </c>
      <c r="E93" s="94">
        <v>35.41</v>
      </c>
      <c r="F93" s="94">
        <v>32.78</v>
      </c>
      <c r="G93" s="94">
        <v>38.41</v>
      </c>
      <c r="H93" s="59">
        <v>35.8</v>
      </c>
      <c r="I93" s="94">
        <v>40.8</v>
      </c>
      <c r="J93" s="59">
        <v>38.7</v>
      </c>
      <c r="K93" s="94">
        <v>82.67</v>
      </c>
      <c r="L93" s="94">
        <v>79.93</v>
      </c>
      <c r="M93" s="94">
        <v>166.21</v>
      </c>
      <c r="N93" s="59">
        <v>135.82</v>
      </c>
      <c r="O93" s="88">
        <v>-0.08023184868822439</v>
      </c>
      <c r="P93" s="95">
        <v>-0.07290502793296089</v>
      </c>
      <c r="Q93" s="88">
        <v>-0.054263565891472715</v>
      </c>
      <c r="R93" s="88">
        <v>-0.0342799949956211</v>
      </c>
      <c r="S93" s="88">
        <v>-0.22375202473862477</v>
      </c>
      <c r="T93" s="59"/>
      <c r="U93" s="59"/>
      <c r="V93" s="91"/>
      <c r="W93" s="91"/>
      <c r="X93" s="91"/>
      <c r="Y93" s="91"/>
      <c r="Z93" s="91"/>
      <c r="AA93" s="96"/>
      <c r="AB93" s="97"/>
      <c r="AC93" s="91"/>
      <c r="AD93" s="91"/>
      <c r="AE93" s="91"/>
      <c r="AF93" s="91"/>
    </row>
    <row r="94">
      <c r="A94" s="59" t="s">
        <v>119</v>
      </c>
      <c r="B94" s="59" t="s">
        <v>413</v>
      </c>
      <c r="C94" s="70">
        <v>4.5492351413E10</v>
      </c>
      <c r="D94" s="86">
        <v>-0.0939431006850649</v>
      </c>
      <c r="E94" s="94">
        <v>38.09</v>
      </c>
      <c r="F94" s="94">
        <v>38.25</v>
      </c>
      <c r="G94" s="94">
        <v>34.56</v>
      </c>
      <c r="H94" s="59">
        <v>31.92</v>
      </c>
      <c r="I94" s="94">
        <v>36.24</v>
      </c>
      <c r="J94" s="59">
        <v>33.91</v>
      </c>
      <c r="K94" s="94">
        <v>57.29</v>
      </c>
      <c r="L94" s="94">
        <v>54.83</v>
      </c>
      <c r="M94" s="94">
        <v>104.33</v>
      </c>
      <c r="N94" s="59">
        <v>81.66</v>
      </c>
      <c r="O94" s="88">
        <v>0.0041830065359476235</v>
      </c>
      <c r="P94" s="95">
        <v>-0.08270676691729324</v>
      </c>
      <c r="Q94" s="88">
        <v>-0.068711294603362</v>
      </c>
      <c r="R94" s="88">
        <v>-0.04486594929782967</v>
      </c>
      <c r="S94" s="88">
        <v>-0.2776144991427872</v>
      </c>
      <c r="T94" s="59"/>
      <c r="U94" s="59"/>
      <c r="V94" s="91"/>
      <c r="W94" s="91"/>
      <c r="X94" s="91"/>
      <c r="Y94" s="91"/>
      <c r="Z94" s="91"/>
      <c r="AA94" s="96"/>
      <c r="AB94" s="97"/>
      <c r="AC94" s="91"/>
      <c r="AD94" s="91"/>
      <c r="AE94" s="91"/>
      <c r="AF94" s="91"/>
    </row>
    <row r="95">
      <c r="A95" s="59" t="s">
        <v>414</v>
      </c>
      <c r="B95" s="59" t="s">
        <v>415</v>
      </c>
      <c r="C95" s="70">
        <v>9.6790092752E10</v>
      </c>
      <c r="D95" s="86">
        <v>-0.09432071908033676</v>
      </c>
      <c r="E95" s="94">
        <v>38.68</v>
      </c>
      <c r="F95" s="94">
        <v>37.49</v>
      </c>
      <c r="G95" s="94">
        <v>41.28</v>
      </c>
      <c r="H95" s="59">
        <v>38.86</v>
      </c>
      <c r="I95" s="94">
        <v>49.98</v>
      </c>
      <c r="J95" s="59">
        <v>46.35</v>
      </c>
      <c r="K95" s="94">
        <v>96.7</v>
      </c>
      <c r="L95" s="94">
        <v>91.94</v>
      </c>
      <c r="M95" s="94">
        <v>252.93</v>
      </c>
      <c r="N95" s="59">
        <v>202.75</v>
      </c>
      <c r="O95" s="88">
        <v>-0.03174179781275</v>
      </c>
      <c r="P95" s="95">
        <v>-0.06227483273288733</v>
      </c>
      <c r="Q95" s="88">
        <v>-0.07831715210355977</v>
      </c>
      <c r="R95" s="88">
        <v>-0.051772895366543455</v>
      </c>
      <c r="S95" s="88">
        <v>-0.24749691738594332</v>
      </c>
      <c r="T95" s="59"/>
      <c r="U95" s="59"/>
      <c r="V95" s="91"/>
      <c r="W95" s="91"/>
      <c r="X95" s="91"/>
      <c r="Y95" s="91"/>
      <c r="Z95" s="91"/>
      <c r="AA95" s="96"/>
      <c r="AB95" s="97"/>
      <c r="AC95" s="91"/>
      <c r="AD95" s="91"/>
      <c r="AE95" s="91"/>
      <c r="AF95" s="91"/>
    </row>
    <row r="96">
      <c r="A96" s="59" t="s">
        <v>416</v>
      </c>
      <c r="B96" s="59" t="s">
        <v>417</v>
      </c>
      <c r="C96" s="70">
        <v>1.3118565312E10</v>
      </c>
      <c r="D96" s="86">
        <v>-0.09507024713486575</v>
      </c>
      <c r="E96" s="94">
        <v>21.57</v>
      </c>
      <c r="F96" s="94">
        <v>20.08</v>
      </c>
      <c r="G96" s="94">
        <v>16.64</v>
      </c>
      <c r="H96" s="59">
        <v>15.62</v>
      </c>
      <c r="I96" s="94">
        <v>17.1</v>
      </c>
      <c r="J96" s="59">
        <v>16.0</v>
      </c>
      <c r="K96" s="94">
        <v>20.97</v>
      </c>
      <c r="L96" s="94">
        <v>20.01</v>
      </c>
      <c r="M96" s="94">
        <v>20.53</v>
      </c>
      <c r="N96" s="59">
        <v>16.84</v>
      </c>
      <c r="O96" s="88">
        <v>-0.07420318725099612</v>
      </c>
      <c r="P96" s="95">
        <v>-0.06530089628681186</v>
      </c>
      <c r="Q96" s="88">
        <v>-0.06875000000000009</v>
      </c>
      <c r="R96" s="88">
        <v>-0.04797601199400286</v>
      </c>
      <c r="S96" s="88">
        <v>-0.2191211401425179</v>
      </c>
      <c r="T96" s="59"/>
      <c r="U96" s="59"/>
      <c r="V96" s="91"/>
      <c r="W96" s="91"/>
      <c r="X96" s="91"/>
      <c r="Y96" s="91"/>
      <c r="Z96" s="91"/>
      <c r="AA96" s="96"/>
      <c r="AB96" s="97"/>
      <c r="AC96" s="91"/>
      <c r="AD96" s="91"/>
      <c r="AE96" s="91"/>
      <c r="AF96" s="91"/>
    </row>
    <row r="97">
      <c r="A97" s="59" t="s">
        <v>418</v>
      </c>
      <c r="B97" s="59" t="s">
        <v>419</v>
      </c>
      <c r="C97" s="70">
        <v>2.1105327325E10</v>
      </c>
      <c r="D97" s="86">
        <v>-0.09541496267855393</v>
      </c>
      <c r="E97" s="94">
        <v>20.02</v>
      </c>
      <c r="F97" s="94">
        <v>20.46</v>
      </c>
      <c r="G97" s="94">
        <v>19.81</v>
      </c>
      <c r="H97" s="59">
        <v>18.98</v>
      </c>
      <c r="I97" s="94">
        <v>23.3</v>
      </c>
      <c r="J97" s="59">
        <v>22.17</v>
      </c>
      <c r="K97" s="94">
        <v>39.97</v>
      </c>
      <c r="L97" s="94">
        <v>38.66</v>
      </c>
      <c r="M97" s="94">
        <v>82.46</v>
      </c>
      <c r="N97" s="59">
        <v>60.19</v>
      </c>
      <c r="O97" s="88">
        <v>0.021505376344086082</v>
      </c>
      <c r="P97" s="95">
        <v>-0.04373024236037926</v>
      </c>
      <c r="Q97" s="88">
        <v>-0.05096977898060437</v>
      </c>
      <c r="R97" s="88">
        <v>-0.03388515261251946</v>
      </c>
      <c r="S97" s="88">
        <v>-0.36999501578335264</v>
      </c>
      <c r="T97" s="59"/>
      <c r="U97" s="59"/>
      <c r="V97" s="91"/>
      <c r="W97" s="91"/>
      <c r="X97" s="91"/>
      <c r="Y97" s="91"/>
      <c r="Z97" s="91"/>
      <c r="AA97" s="96"/>
      <c r="AB97" s="97"/>
      <c r="AC97" s="91"/>
      <c r="AD97" s="91"/>
      <c r="AE97" s="91"/>
      <c r="AF97" s="91"/>
    </row>
    <row r="98">
      <c r="A98" s="59" t="s">
        <v>420</v>
      </c>
      <c r="B98" s="59" t="s">
        <v>421</v>
      </c>
      <c r="C98" s="70">
        <v>1.4866314126E10</v>
      </c>
      <c r="D98" s="86">
        <v>-0.09565376532648398</v>
      </c>
      <c r="E98" s="94">
        <v>26.74</v>
      </c>
      <c r="F98" s="94">
        <v>26.47</v>
      </c>
      <c r="G98" s="94">
        <v>29.84</v>
      </c>
      <c r="H98" s="59">
        <v>27.33</v>
      </c>
      <c r="I98" s="94">
        <v>31.33</v>
      </c>
      <c r="J98" s="59">
        <v>28.87</v>
      </c>
      <c r="K98" s="94">
        <v>55.53</v>
      </c>
      <c r="L98" s="94">
        <v>55.31</v>
      </c>
      <c r="M98" s="94">
        <v>120.57</v>
      </c>
      <c r="N98" s="59">
        <v>93.68</v>
      </c>
      <c r="O98" s="88">
        <v>-0.0102002266717038</v>
      </c>
      <c r="P98" s="95">
        <v>-0.09184046834979882</v>
      </c>
      <c r="Q98" s="88">
        <v>-0.0852095600969864</v>
      </c>
      <c r="R98" s="88">
        <v>-0.003977580907611623</v>
      </c>
      <c r="S98" s="88">
        <v>-0.2870409906063192</v>
      </c>
      <c r="T98" s="59"/>
      <c r="U98" s="59"/>
      <c r="V98" s="91"/>
      <c r="W98" s="91"/>
      <c r="X98" s="91"/>
      <c r="Y98" s="91"/>
      <c r="Z98" s="91"/>
      <c r="AA98" s="96"/>
      <c r="AB98" s="97"/>
      <c r="AC98" s="91"/>
      <c r="AD98" s="91"/>
      <c r="AE98" s="91"/>
      <c r="AF98" s="91"/>
    </row>
    <row r="99">
      <c r="A99" s="59" t="s">
        <v>422</v>
      </c>
      <c r="B99" s="59" t="s">
        <v>423</v>
      </c>
      <c r="C99" s="70">
        <v>4.8658695419E10</v>
      </c>
      <c r="D99" s="86">
        <v>-0.09627602483825856</v>
      </c>
      <c r="E99" s="94">
        <v>5.75</v>
      </c>
      <c r="F99" s="94">
        <v>5.85</v>
      </c>
      <c r="G99" s="94">
        <v>5.77</v>
      </c>
      <c r="H99" s="59">
        <v>5.26</v>
      </c>
      <c r="I99" s="94">
        <v>7.23</v>
      </c>
      <c r="J99" s="59">
        <v>6.58</v>
      </c>
      <c r="K99" s="94">
        <v>32.49</v>
      </c>
      <c r="L99" s="94">
        <v>30.42</v>
      </c>
      <c r="M99" s="94">
        <v>66.71</v>
      </c>
      <c r="N99" s="59">
        <v>54.03</v>
      </c>
      <c r="O99" s="88">
        <v>0.017094017094017033</v>
      </c>
      <c r="P99" s="95">
        <v>-0.09695817490494293</v>
      </c>
      <c r="Q99" s="88">
        <v>-0.09878419452887544</v>
      </c>
      <c r="R99" s="88">
        <v>-0.06804733727810651</v>
      </c>
      <c r="S99" s="88">
        <v>-0.234684434573385</v>
      </c>
      <c r="T99" s="59"/>
      <c r="U99" s="59"/>
      <c r="V99" s="91"/>
      <c r="W99" s="91"/>
      <c r="X99" s="91"/>
      <c r="Y99" s="91"/>
      <c r="Z99" s="91"/>
      <c r="AA99" s="96"/>
      <c r="AB99" s="97"/>
      <c r="AC99" s="91"/>
      <c r="AD99" s="91"/>
      <c r="AE99" s="91"/>
      <c r="AF99" s="91"/>
    </row>
    <row r="100">
      <c r="A100" s="59" t="s">
        <v>424</v>
      </c>
      <c r="B100" s="59" t="s">
        <v>425</v>
      </c>
      <c r="C100" s="70">
        <v>2.9748531866E10</v>
      </c>
      <c r="D100" s="86">
        <v>-0.09669162854764535</v>
      </c>
      <c r="E100" s="94">
        <v>32.97</v>
      </c>
      <c r="F100" s="94">
        <v>29.62</v>
      </c>
      <c r="G100" s="94">
        <v>35.8</v>
      </c>
      <c r="H100" s="59">
        <v>32.61</v>
      </c>
      <c r="I100" s="94">
        <v>35.58</v>
      </c>
      <c r="J100" s="59">
        <v>32.82</v>
      </c>
      <c r="K100" s="94">
        <v>120.44</v>
      </c>
      <c r="L100" s="94">
        <v>114.48</v>
      </c>
      <c r="M100" s="94">
        <v>291.72</v>
      </c>
      <c r="N100" s="59">
        <v>256.71</v>
      </c>
      <c r="O100" s="88">
        <v>-0.11309925725860898</v>
      </c>
      <c r="P100" s="95">
        <v>-0.09782275375651633</v>
      </c>
      <c r="Q100" s="88">
        <v>-0.08409506398537471</v>
      </c>
      <c r="R100" s="88">
        <v>-0.05206149545772182</v>
      </c>
      <c r="S100" s="88">
        <v>-0.13637957228000488</v>
      </c>
      <c r="T100" s="59"/>
      <c r="U100" s="59"/>
      <c r="V100" s="91"/>
      <c r="W100" s="91"/>
      <c r="X100" s="91"/>
      <c r="Y100" s="91"/>
      <c r="Z100" s="91"/>
      <c r="AA100" s="96"/>
      <c r="AB100" s="97"/>
      <c r="AC100" s="91"/>
      <c r="AD100" s="91"/>
      <c r="AE100" s="91"/>
      <c r="AF100" s="91"/>
    </row>
    <row r="101">
      <c r="A101" s="59" t="s">
        <v>426</v>
      </c>
      <c r="B101" s="59" t="s">
        <v>427</v>
      </c>
      <c r="C101" s="70">
        <v>2.0788648E10</v>
      </c>
      <c r="D101" s="86">
        <v>-0.09713122753069892</v>
      </c>
      <c r="E101" s="94">
        <v>21.7</v>
      </c>
      <c r="F101" s="94">
        <v>20.85</v>
      </c>
      <c r="G101" s="94">
        <v>19.04</v>
      </c>
      <c r="H101" s="59">
        <v>17.64</v>
      </c>
      <c r="I101" s="94">
        <v>18.25</v>
      </c>
      <c r="J101" s="59">
        <v>16.51</v>
      </c>
      <c r="K101" s="94">
        <v>75.15</v>
      </c>
      <c r="L101" s="94">
        <v>72.68</v>
      </c>
      <c r="M101" s="94">
        <v>149.21</v>
      </c>
      <c r="N101" s="59">
        <v>121.69</v>
      </c>
      <c r="O101" s="88">
        <v>-0.04076738609112699</v>
      </c>
      <c r="P101" s="95">
        <v>-0.07936507936507928</v>
      </c>
      <c r="Q101" s="88">
        <v>-0.10539067231980608</v>
      </c>
      <c r="R101" s="88">
        <v>-0.03398458998348925</v>
      </c>
      <c r="S101" s="88">
        <v>-0.226148409893993</v>
      </c>
      <c r="T101" s="59"/>
      <c r="U101" s="59"/>
      <c r="V101" s="91"/>
      <c r="W101" s="91"/>
      <c r="X101" s="91"/>
      <c r="Y101" s="91"/>
      <c r="Z101" s="91"/>
      <c r="AA101" s="96"/>
      <c r="AB101" s="97"/>
      <c r="AC101" s="91"/>
      <c r="AD101" s="91"/>
      <c r="AE101" s="91"/>
      <c r="AF101" s="91"/>
    </row>
    <row r="102">
      <c r="A102" s="59" t="s">
        <v>428</v>
      </c>
      <c r="B102" s="59" t="s">
        <v>429</v>
      </c>
      <c r="C102" s="70">
        <v>6.5519782777E10</v>
      </c>
      <c r="D102" s="86">
        <v>-0.09739470021946849</v>
      </c>
      <c r="E102" s="94">
        <v>47.92</v>
      </c>
      <c r="F102" s="94">
        <v>46.5</v>
      </c>
      <c r="G102" s="94">
        <v>52.0</v>
      </c>
      <c r="H102" s="59">
        <v>47.71</v>
      </c>
      <c r="I102" s="94">
        <v>46.33</v>
      </c>
      <c r="J102" s="59">
        <v>42.9</v>
      </c>
      <c r="K102" s="94">
        <v>85.22</v>
      </c>
      <c r="L102" s="94">
        <v>82.19</v>
      </c>
      <c r="M102" s="94">
        <v>186.48</v>
      </c>
      <c r="N102" s="59">
        <v>149.22</v>
      </c>
      <c r="O102" s="88">
        <v>-0.030537634408602188</v>
      </c>
      <c r="P102" s="95">
        <v>-0.08991825613079017</v>
      </c>
      <c r="Q102" s="88">
        <v>-0.07995337995337995</v>
      </c>
      <c r="R102" s="88">
        <v>-0.036865798758973126</v>
      </c>
      <c r="S102" s="88">
        <v>-0.24969843184559704</v>
      </c>
      <c r="T102" s="59"/>
      <c r="U102" s="59"/>
      <c r="V102" s="91"/>
      <c r="W102" s="91"/>
      <c r="X102" s="91"/>
      <c r="Y102" s="91"/>
      <c r="Z102" s="91"/>
      <c r="AA102" s="96"/>
      <c r="AB102" s="97"/>
      <c r="AC102" s="91"/>
      <c r="AD102" s="91"/>
      <c r="AE102" s="91"/>
      <c r="AF102" s="91"/>
    </row>
    <row r="103">
      <c r="A103" s="59" t="s">
        <v>121</v>
      </c>
      <c r="B103" s="59" t="s">
        <v>430</v>
      </c>
      <c r="C103" s="70">
        <v>2.1870333511E10</v>
      </c>
      <c r="D103" s="86">
        <v>-0.09793922393347991</v>
      </c>
      <c r="E103" s="94">
        <v>4.21</v>
      </c>
      <c r="F103" s="94">
        <v>3.89</v>
      </c>
      <c r="G103" s="94">
        <v>4.23</v>
      </c>
      <c r="H103" s="59">
        <v>3.8</v>
      </c>
      <c r="I103" s="94">
        <v>5.18</v>
      </c>
      <c r="J103" s="59">
        <v>4.77</v>
      </c>
      <c r="K103" s="94">
        <v>25.77</v>
      </c>
      <c r="L103" s="94">
        <v>24.93</v>
      </c>
      <c r="M103" s="94">
        <v>37.87</v>
      </c>
      <c r="N103" s="59">
        <v>32.24</v>
      </c>
      <c r="O103" s="88">
        <v>-0.08226221079691512</v>
      </c>
      <c r="P103" s="95">
        <v>-0.11315789473684226</v>
      </c>
      <c r="Q103" s="88">
        <v>-0.08595387840670864</v>
      </c>
      <c r="R103" s="88">
        <v>-0.03369434416365824</v>
      </c>
      <c r="S103" s="88">
        <v>-0.1746277915632753</v>
      </c>
      <c r="T103" s="59"/>
      <c r="U103" s="59"/>
      <c r="V103" s="91"/>
      <c r="W103" s="91"/>
      <c r="X103" s="91"/>
      <c r="Y103" s="91"/>
      <c r="Z103" s="91"/>
      <c r="AA103" s="96"/>
      <c r="AB103" s="97"/>
      <c r="AC103" s="91"/>
      <c r="AD103" s="91"/>
      <c r="AE103" s="91"/>
      <c r="AF103" s="91"/>
    </row>
    <row r="104">
      <c r="A104" s="59" t="s">
        <v>431</v>
      </c>
      <c r="B104" s="59" t="s">
        <v>432</v>
      </c>
      <c r="C104" s="70">
        <v>7.0172760004E10</v>
      </c>
      <c r="D104" s="86">
        <v>-0.09836613916745947</v>
      </c>
      <c r="E104" s="94">
        <v>43.54</v>
      </c>
      <c r="F104" s="94">
        <v>45.75</v>
      </c>
      <c r="G104" s="94">
        <v>46.36</v>
      </c>
      <c r="H104" s="59">
        <v>44.35</v>
      </c>
      <c r="I104" s="94">
        <v>70.92</v>
      </c>
      <c r="J104" s="59">
        <v>65.65</v>
      </c>
      <c r="K104" s="94">
        <v>181.73</v>
      </c>
      <c r="L104" s="94">
        <v>175.18</v>
      </c>
      <c r="M104" s="94">
        <v>372.12</v>
      </c>
      <c r="N104" s="59">
        <v>270.21</v>
      </c>
      <c r="O104" s="88">
        <v>0.048306010928961765</v>
      </c>
      <c r="P104" s="95">
        <v>-0.045321307779030394</v>
      </c>
      <c r="Q104" s="88">
        <v>-0.08027418126428021</v>
      </c>
      <c r="R104" s="88">
        <v>-0.03739011302660111</v>
      </c>
      <c r="S104" s="88">
        <v>-0.3771511046963474</v>
      </c>
      <c r="T104" s="59"/>
      <c r="U104" s="59"/>
      <c r="V104" s="91"/>
      <c r="W104" s="91"/>
      <c r="X104" s="91"/>
      <c r="Y104" s="91"/>
      <c r="Z104" s="91"/>
      <c r="AA104" s="96"/>
      <c r="AB104" s="97"/>
      <c r="AC104" s="91"/>
      <c r="AD104" s="91"/>
      <c r="AE104" s="91"/>
      <c r="AF104" s="91"/>
    </row>
    <row r="105">
      <c r="A105" s="59" t="s">
        <v>433</v>
      </c>
      <c r="B105" s="59" t="s">
        <v>434</v>
      </c>
      <c r="C105" s="70">
        <v>5.048653929E10</v>
      </c>
      <c r="D105" s="86">
        <v>-0.09905341808951895</v>
      </c>
      <c r="E105" s="94">
        <v>21.08</v>
      </c>
      <c r="F105" s="94">
        <v>20.88</v>
      </c>
      <c r="G105" s="94">
        <v>26.3</v>
      </c>
      <c r="H105" s="59">
        <v>28.76</v>
      </c>
      <c r="I105" s="94">
        <v>28.94</v>
      </c>
      <c r="J105" s="59">
        <v>26.7</v>
      </c>
      <c r="K105" s="94">
        <v>69.32</v>
      </c>
      <c r="L105" s="94">
        <v>65.97</v>
      </c>
      <c r="M105" s="94">
        <v>155.65</v>
      </c>
      <c r="N105" s="59">
        <v>108.35</v>
      </c>
      <c r="O105" s="88">
        <v>-0.009578544061302648</v>
      </c>
      <c r="P105" s="95">
        <v>0.0855354659248957</v>
      </c>
      <c r="Q105" s="88">
        <v>-0.0838951310861424</v>
      </c>
      <c r="R105" s="88">
        <v>-0.05078065787479149</v>
      </c>
      <c r="S105" s="88">
        <v>-0.43654822335025395</v>
      </c>
      <c r="T105" s="59"/>
      <c r="U105" s="59"/>
      <c r="V105" s="91"/>
      <c r="W105" s="91"/>
      <c r="X105" s="91"/>
      <c r="Y105" s="91"/>
      <c r="Z105" s="91"/>
      <c r="AA105" s="96"/>
      <c r="AB105" s="97"/>
      <c r="AC105" s="91"/>
      <c r="AD105" s="91"/>
      <c r="AE105" s="91"/>
      <c r="AF105" s="91"/>
    </row>
    <row r="106">
      <c r="A106" s="59" t="s">
        <v>435</v>
      </c>
      <c r="B106" s="59" t="s">
        <v>436</v>
      </c>
      <c r="C106" s="70">
        <v>2.1217394083E10</v>
      </c>
      <c r="D106" s="86">
        <v>-0.09910765338545731</v>
      </c>
      <c r="E106" s="94">
        <v>40.26</v>
      </c>
      <c r="F106" s="94">
        <v>39.99</v>
      </c>
      <c r="G106" s="94">
        <v>25.77</v>
      </c>
      <c r="H106" s="59">
        <v>24.2</v>
      </c>
      <c r="I106" s="94">
        <v>27.62</v>
      </c>
      <c r="J106" s="59">
        <v>25.97</v>
      </c>
      <c r="K106" s="94">
        <v>42.51</v>
      </c>
      <c r="L106" s="94">
        <v>40.68</v>
      </c>
      <c r="M106" s="94">
        <v>86.75</v>
      </c>
      <c r="N106" s="59">
        <v>65.95</v>
      </c>
      <c r="O106" s="88">
        <v>-0.006751687921980395</v>
      </c>
      <c r="P106" s="95">
        <v>-0.06487603305785125</v>
      </c>
      <c r="Q106" s="88">
        <v>-0.0635348479014248</v>
      </c>
      <c r="R106" s="88">
        <v>-0.04498525073746309</v>
      </c>
      <c r="S106" s="88">
        <v>-0.315390447308567</v>
      </c>
      <c r="T106" s="59"/>
      <c r="U106" s="59"/>
      <c r="V106" s="91"/>
      <c r="W106" s="91"/>
      <c r="X106" s="91"/>
      <c r="Y106" s="91"/>
      <c r="Z106" s="91"/>
      <c r="AA106" s="96"/>
      <c r="AB106" s="97"/>
      <c r="AC106" s="91"/>
      <c r="AD106" s="91"/>
      <c r="AE106" s="91"/>
      <c r="AF106" s="91"/>
    </row>
    <row r="107">
      <c r="A107" s="59" t="s">
        <v>125</v>
      </c>
      <c r="B107" s="59" t="s">
        <v>437</v>
      </c>
      <c r="C107" s="70">
        <v>9.87418107695E11</v>
      </c>
      <c r="D107" s="86">
        <v>-0.09927908975132968</v>
      </c>
      <c r="E107" s="94">
        <v>3.9</v>
      </c>
      <c r="F107" s="94">
        <v>3.87</v>
      </c>
      <c r="G107" s="94">
        <v>6.87</v>
      </c>
      <c r="H107" s="59">
        <v>6.25</v>
      </c>
      <c r="I107" s="94">
        <v>10.14</v>
      </c>
      <c r="J107" s="59">
        <v>9.69</v>
      </c>
      <c r="K107" s="94">
        <v>24.72</v>
      </c>
      <c r="L107" s="94">
        <v>23.17</v>
      </c>
      <c r="M107" s="94">
        <v>107.78</v>
      </c>
      <c r="N107" s="59">
        <v>84.46</v>
      </c>
      <c r="O107" s="88">
        <v>-0.007751937984496074</v>
      </c>
      <c r="P107" s="95">
        <v>-0.09920000000000001</v>
      </c>
      <c r="Q107" s="88">
        <v>-0.04643962848297225</v>
      </c>
      <c r="R107" s="88">
        <v>-0.06689684937419063</v>
      </c>
      <c r="S107" s="88">
        <v>-0.27610703291498945</v>
      </c>
      <c r="T107" s="59"/>
      <c r="U107" s="59"/>
      <c r="V107" s="91"/>
      <c r="W107" s="91"/>
      <c r="X107" s="91"/>
      <c r="Y107" s="91"/>
      <c r="Z107" s="91"/>
      <c r="AA107" s="96"/>
      <c r="AB107" s="97"/>
      <c r="AC107" s="91"/>
      <c r="AD107" s="91"/>
      <c r="AE107" s="91"/>
      <c r="AF107" s="91"/>
    </row>
    <row r="108">
      <c r="A108" s="59" t="s">
        <v>438</v>
      </c>
      <c r="B108" s="59" t="s">
        <v>439</v>
      </c>
      <c r="C108" s="70">
        <v>5.4910783028E10</v>
      </c>
      <c r="D108" s="86">
        <v>-0.09978313433805278</v>
      </c>
      <c r="E108" s="94">
        <v>57.36</v>
      </c>
      <c r="F108" s="94">
        <v>56.63</v>
      </c>
      <c r="G108" s="94">
        <v>64.87</v>
      </c>
      <c r="H108" s="59">
        <v>63.73</v>
      </c>
      <c r="I108" s="94">
        <v>75.31</v>
      </c>
      <c r="J108" s="59">
        <v>70.91</v>
      </c>
      <c r="K108" s="94">
        <v>202.53</v>
      </c>
      <c r="L108" s="94">
        <v>197.8</v>
      </c>
      <c r="M108" s="94">
        <v>167.63</v>
      </c>
      <c r="N108" s="59">
        <v>121.28</v>
      </c>
      <c r="O108" s="88">
        <v>-0.012890693978456593</v>
      </c>
      <c r="P108" s="95">
        <v>-0.017887964851718306</v>
      </c>
      <c r="Q108" s="88">
        <v>-0.06205048653222403</v>
      </c>
      <c r="R108" s="88">
        <v>-0.023913043478260815</v>
      </c>
      <c r="S108" s="88">
        <v>-0.3821734828496042</v>
      </c>
      <c r="T108" s="59"/>
      <c r="U108" s="59"/>
      <c r="V108" s="91"/>
      <c r="W108" s="91"/>
      <c r="X108" s="91"/>
      <c r="Y108" s="91"/>
      <c r="Z108" s="91"/>
      <c r="AA108" s="96"/>
      <c r="AB108" s="97"/>
      <c r="AC108" s="91"/>
      <c r="AD108" s="91"/>
      <c r="AE108" s="91"/>
      <c r="AF108" s="91"/>
    </row>
    <row r="109">
      <c r="A109" s="59" t="s">
        <v>440</v>
      </c>
      <c r="B109" s="59" t="s">
        <v>441</v>
      </c>
      <c r="C109" s="70">
        <v>1.9753193769E10</v>
      </c>
      <c r="D109" s="86">
        <v>-0.1000318479816156</v>
      </c>
      <c r="E109" s="94">
        <v>38.34</v>
      </c>
      <c r="F109" s="94">
        <v>36.76</v>
      </c>
      <c r="G109" s="94">
        <v>35.34</v>
      </c>
      <c r="H109" s="59">
        <v>33.79</v>
      </c>
      <c r="I109" s="94">
        <v>40.13</v>
      </c>
      <c r="J109" s="59">
        <v>37.99</v>
      </c>
      <c r="K109" s="94">
        <v>80.6</v>
      </c>
      <c r="L109" s="94">
        <v>78.98</v>
      </c>
      <c r="M109" s="94">
        <v>59.01</v>
      </c>
      <c r="N109" s="59">
        <v>44.22</v>
      </c>
      <c r="O109" s="88">
        <v>-0.042981501632209075</v>
      </c>
      <c r="P109" s="95">
        <v>-0.04587155963302765</v>
      </c>
      <c r="Q109" s="88">
        <v>-0.056330613319294565</v>
      </c>
      <c r="R109" s="88">
        <v>-0.02051152190427944</v>
      </c>
      <c r="S109" s="88">
        <v>-0.3344640434192673</v>
      </c>
      <c r="T109" s="59"/>
      <c r="U109" s="59"/>
      <c r="V109" s="91"/>
      <c r="W109" s="91"/>
      <c r="X109" s="91"/>
      <c r="Y109" s="91"/>
      <c r="Z109" s="91"/>
      <c r="AA109" s="96"/>
      <c r="AB109" s="97"/>
      <c r="AC109" s="91"/>
      <c r="AD109" s="91"/>
      <c r="AE109" s="91"/>
      <c r="AF109" s="91"/>
    </row>
    <row r="110">
      <c r="A110" s="59" t="s">
        <v>442</v>
      </c>
      <c r="B110" s="59" t="s">
        <v>443</v>
      </c>
      <c r="C110" s="70">
        <v>1.0672303268E10</v>
      </c>
      <c r="D110" s="86">
        <v>-0.1002825671827143</v>
      </c>
      <c r="E110" s="94">
        <v>104.69</v>
      </c>
      <c r="F110" s="94">
        <v>99.97</v>
      </c>
      <c r="G110" s="94">
        <v>113.63</v>
      </c>
      <c r="H110" s="59">
        <v>97.51</v>
      </c>
      <c r="I110" s="94">
        <v>100.69</v>
      </c>
      <c r="J110" s="59">
        <v>97.12</v>
      </c>
      <c r="K110" s="94">
        <v>139.98</v>
      </c>
      <c r="L110" s="94">
        <v>134.8</v>
      </c>
      <c r="M110" s="94">
        <v>407.45</v>
      </c>
      <c r="N110" s="59">
        <v>335.71</v>
      </c>
      <c r="O110" s="88">
        <v>-0.04721416424927477</v>
      </c>
      <c r="P110" s="95">
        <v>-0.16531637780740427</v>
      </c>
      <c r="Q110" s="88">
        <v>-0.036758649093904375</v>
      </c>
      <c r="R110" s="88">
        <v>-0.03842729970326393</v>
      </c>
      <c r="S110" s="88">
        <v>-0.2136963450597242</v>
      </c>
      <c r="T110" s="59"/>
      <c r="U110" s="59"/>
      <c r="V110" s="91"/>
      <c r="W110" s="91"/>
      <c r="X110" s="91"/>
      <c r="Y110" s="91"/>
      <c r="Z110" s="91"/>
      <c r="AA110" s="96"/>
      <c r="AB110" s="97"/>
      <c r="AC110" s="91"/>
      <c r="AD110" s="91"/>
      <c r="AE110" s="91"/>
      <c r="AF110" s="91"/>
    </row>
    <row r="111">
      <c r="A111" s="59" t="s">
        <v>127</v>
      </c>
      <c r="B111" s="59" t="s">
        <v>444</v>
      </c>
      <c r="C111" s="70">
        <v>6.6055620466E10</v>
      </c>
      <c r="D111" s="86">
        <v>-0.10059401746205161</v>
      </c>
      <c r="E111" s="94">
        <v>12.48</v>
      </c>
      <c r="F111" s="94">
        <v>13.22</v>
      </c>
      <c r="G111" s="94">
        <v>13.03</v>
      </c>
      <c r="H111" s="59">
        <v>12.76</v>
      </c>
      <c r="I111" s="94">
        <v>14.17</v>
      </c>
      <c r="J111" s="59">
        <v>13.16</v>
      </c>
      <c r="K111" s="94">
        <v>42.44</v>
      </c>
      <c r="L111" s="94">
        <v>40.71</v>
      </c>
      <c r="M111" s="94">
        <v>122.25</v>
      </c>
      <c r="N111" s="59">
        <v>86.18</v>
      </c>
      <c r="O111" s="88">
        <v>0.05597579425113466</v>
      </c>
      <c r="P111" s="95">
        <v>-0.02115987460815044</v>
      </c>
      <c r="Q111" s="88">
        <v>-0.07674772036474163</v>
      </c>
      <c r="R111" s="88">
        <v>-0.04249570130189135</v>
      </c>
      <c r="S111" s="88">
        <v>-0.4185425852866093</v>
      </c>
      <c r="T111" s="59"/>
      <c r="U111" s="59"/>
      <c r="V111" s="91"/>
      <c r="W111" s="91"/>
      <c r="X111" s="91"/>
      <c r="Y111" s="91"/>
      <c r="Z111" s="91"/>
      <c r="AA111" s="96"/>
      <c r="AB111" s="97"/>
      <c r="AC111" s="91"/>
      <c r="AD111" s="91"/>
      <c r="AE111" s="91"/>
      <c r="AF111" s="91"/>
    </row>
    <row r="112">
      <c r="A112" s="59" t="s">
        <v>445</v>
      </c>
      <c r="B112" s="59" t="s">
        <v>446</v>
      </c>
      <c r="C112" s="70">
        <v>1.320624759E10</v>
      </c>
      <c r="D112" s="86">
        <v>-0.10070091348218269</v>
      </c>
      <c r="E112" s="94">
        <v>16.99</v>
      </c>
      <c r="F112" s="94">
        <v>16.48</v>
      </c>
      <c r="G112" s="94">
        <v>17.27</v>
      </c>
      <c r="H112" s="59">
        <v>15.89</v>
      </c>
      <c r="I112" s="94">
        <v>18.42</v>
      </c>
      <c r="J112" s="59">
        <v>17.15</v>
      </c>
      <c r="K112" s="94">
        <v>30.37</v>
      </c>
      <c r="L112" s="94">
        <v>29.02</v>
      </c>
      <c r="M112" s="94">
        <v>60.17</v>
      </c>
      <c r="N112" s="59">
        <v>47.56</v>
      </c>
      <c r="O112" s="88">
        <v>-0.03094660194174745</v>
      </c>
      <c r="P112" s="95">
        <v>-0.08684707363121454</v>
      </c>
      <c r="Q112" s="88">
        <v>-0.07405247813411098</v>
      </c>
      <c r="R112" s="88">
        <v>-0.046519641626464554</v>
      </c>
      <c r="S112" s="88">
        <v>-0.2651387720773759</v>
      </c>
      <c r="T112" s="59"/>
      <c r="U112" s="59"/>
      <c r="V112" s="91"/>
      <c r="W112" s="91"/>
      <c r="X112" s="91"/>
      <c r="Y112" s="91"/>
      <c r="Z112" s="91"/>
      <c r="AA112" s="96"/>
      <c r="AB112" s="97"/>
      <c r="AC112" s="91"/>
      <c r="AD112" s="91"/>
      <c r="AE112" s="91"/>
      <c r="AF112" s="91"/>
    </row>
    <row r="113">
      <c r="A113" s="59" t="s">
        <v>129</v>
      </c>
      <c r="B113" s="59" t="s">
        <v>447</v>
      </c>
      <c r="C113" s="70">
        <v>1.36148713908E11</v>
      </c>
      <c r="D113" s="86">
        <v>-0.10108985219721733</v>
      </c>
      <c r="E113" s="94">
        <v>10.43</v>
      </c>
      <c r="F113" s="94">
        <v>10.43</v>
      </c>
      <c r="G113" s="94">
        <v>10.2</v>
      </c>
      <c r="H113" s="59">
        <v>9.18</v>
      </c>
      <c r="I113" s="94">
        <v>10.94</v>
      </c>
      <c r="J113" s="59">
        <v>10.22</v>
      </c>
      <c r="K113" s="94">
        <v>28.39</v>
      </c>
      <c r="L113" s="94">
        <v>27.21</v>
      </c>
      <c r="M113" s="94">
        <v>46.15</v>
      </c>
      <c r="N113" s="59">
        <v>36.04</v>
      </c>
      <c r="O113" s="88">
        <v>0.0</v>
      </c>
      <c r="P113" s="95">
        <v>-0.11111111111111106</v>
      </c>
      <c r="Q113" s="88">
        <v>-0.070450097847358</v>
      </c>
      <c r="R113" s="88">
        <v>-0.04336640940830576</v>
      </c>
      <c r="S113" s="88">
        <v>-0.28052164261931184</v>
      </c>
      <c r="T113" s="59"/>
      <c r="U113" s="59"/>
      <c r="V113" s="91"/>
      <c r="W113" s="91"/>
      <c r="X113" s="91"/>
      <c r="Y113" s="91"/>
      <c r="Z113" s="91"/>
      <c r="AA113" s="96"/>
      <c r="AB113" s="97"/>
      <c r="AC113" s="91"/>
      <c r="AD113" s="91"/>
      <c r="AE113" s="91"/>
      <c r="AF113" s="91"/>
    </row>
    <row r="114">
      <c r="A114" s="59" t="s">
        <v>131</v>
      </c>
      <c r="B114" s="59" t="s">
        <v>132</v>
      </c>
      <c r="C114" s="70">
        <v>5.3590949457E10</v>
      </c>
      <c r="D114" s="86">
        <v>-0.10111926586169315</v>
      </c>
      <c r="E114" s="94">
        <v>25.15</v>
      </c>
      <c r="F114" s="94">
        <v>25.32</v>
      </c>
      <c r="G114" s="94">
        <v>34.19</v>
      </c>
      <c r="H114" s="59">
        <v>35.72</v>
      </c>
      <c r="I114" s="94">
        <v>37.44</v>
      </c>
      <c r="J114" s="59">
        <v>35.56</v>
      </c>
      <c r="K114" s="94">
        <v>79.0</v>
      </c>
      <c r="L114" s="94">
        <v>76.75</v>
      </c>
      <c r="M114" s="94">
        <v>28.87</v>
      </c>
      <c r="N114" s="59">
        <v>19.6</v>
      </c>
      <c r="O114" s="88">
        <v>0.006714060031595644</v>
      </c>
      <c r="P114" s="95">
        <v>0.04283314669652859</v>
      </c>
      <c r="Q114" s="88">
        <v>-0.05286839145106848</v>
      </c>
      <c r="R114" s="88">
        <v>-0.029315960912052116</v>
      </c>
      <c r="S114" s="88">
        <v>-0.47295918367346934</v>
      </c>
      <c r="T114" s="59"/>
      <c r="U114" s="59"/>
      <c r="V114" s="91"/>
      <c r="W114" s="91"/>
      <c r="X114" s="91"/>
      <c r="Y114" s="91"/>
      <c r="Z114" s="91"/>
      <c r="AA114" s="96"/>
      <c r="AB114" s="97"/>
      <c r="AC114" s="91"/>
      <c r="AD114" s="91"/>
      <c r="AE114" s="91"/>
      <c r="AF114" s="91"/>
    </row>
    <row r="115">
      <c r="A115" s="59" t="s">
        <v>448</v>
      </c>
      <c r="B115" s="59" t="s">
        <v>449</v>
      </c>
      <c r="C115" s="70">
        <v>1.86227418426E11</v>
      </c>
      <c r="D115" s="86">
        <v>-0.10151598780402127</v>
      </c>
      <c r="E115" s="94">
        <v>29.39</v>
      </c>
      <c r="F115" s="94">
        <v>28.35</v>
      </c>
      <c r="G115" s="94">
        <v>32.39</v>
      </c>
      <c r="H115" s="59">
        <v>30.24</v>
      </c>
      <c r="I115" s="94">
        <v>33.73</v>
      </c>
      <c r="J115" s="59">
        <v>31.22</v>
      </c>
      <c r="K115" s="94">
        <v>65.9</v>
      </c>
      <c r="L115" s="94">
        <v>63.7</v>
      </c>
      <c r="M115" s="94">
        <v>164.0</v>
      </c>
      <c r="N115" s="59">
        <v>127.64</v>
      </c>
      <c r="O115" s="88">
        <v>-0.036684303350969984</v>
      </c>
      <c r="P115" s="95">
        <v>-0.07109788359788367</v>
      </c>
      <c r="Q115" s="88">
        <v>-0.08039718129404222</v>
      </c>
      <c r="R115" s="88">
        <v>-0.03453689167974887</v>
      </c>
      <c r="S115" s="88">
        <v>-0.28486367909746163</v>
      </c>
      <c r="T115" s="59"/>
      <c r="U115" s="59"/>
      <c r="V115" s="91"/>
      <c r="W115" s="91"/>
      <c r="X115" s="91"/>
      <c r="Y115" s="91"/>
      <c r="Z115" s="91"/>
      <c r="AA115" s="96"/>
      <c r="AB115" s="97"/>
      <c r="AC115" s="91"/>
      <c r="AD115" s="91"/>
      <c r="AE115" s="91"/>
      <c r="AF115" s="91"/>
    </row>
    <row r="116">
      <c r="A116" s="59" t="s">
        <v>450</v>
      </c>
      <c r="B116" s="59" t="s">
        <v>451</v>
      </c>
      <c r="C116" s="70">
        <v>1.5545646378E10</v>
      </c>
      <c r="D116" s="86">
        <v>-0.10215874716930029</v>
      </c>
      <c r="E116" s="94">
        <v>10.85</v>
      </c>
      <c r="F116" s="94">
        <v>11.03</v>
      </c>
      <c r="G116" s="94">
        <v>13.26</v>
      </c>
      <c r="H116" s="59">
        <v>12.37</v>
      </c>
      <c r="I116" s="94">
        <v>17.72</v>
      </c>
      <c r="J116" s="59">
        <v>16.36</v>
      </c>
      <c r="K116" s="94">
        <v>33.58</v>
      </c>
      <c r="L116" s="94">
        <v>32.4</v>
      </c>
      <c r="M116" s="94">
        <v>78.04</v>
      </c>
      <c r="N116" s="59">
        <v>58.43</v>
      </c>
      <c r="O116" s="88">
        <v>0.016319129646418833</v>
      </c>
      <c r="P116" s="95">
        <v>-0.07194826192400976</v>
      </c>
      <c r="Q116" s="88">
        <v>-0.0831295843520782</v>
      </c>
      <c r="R116" s="88">
        <v>-0.036419753086419746</v>
      </c>
      <c r="S116" s="88">
        <v>-0.3356152661304126</v>
      </c>
      <c r="T116" s="59"/>
      <c r="U116" s="59"/>
      <c r="V116" s="91"/>
      <c r="W116" s="91"/>
      <c r="X116" s="91"/>
      <c r="Y116" s="91"/>
      <c r="Z116" s="91"/>
      <c r="AA116" s="96"/>
      <c r="AB116" s="97"/>
      <c r="AC116" s="91"/>
      <c r="AD116" s="91"/>
      <c r="AE116" s="91"/>
      <c r="AF116" s="91"/>
    </row>
    <row r="117">
      <c r="A117" s="59" t="s">
        <v>452</v>
      </c>
      <c r="B117" s="59" t="s">
        <v>453</v>
      </c>
      <c r="C117" s="70">
        <v>1.7599730896E10</v>
      </c>
      <c r="D117" s="86">
        <v>-0.10285665748628922</v>
      </c>
      <c r="E117" s="94">
        <v>19.12</v>
      </c>
      <c r="F117" s="94">
        <v>17.05</v>
      </c>
      <c r="G117" s="94">
        <v>24.0</v>
      </c>
      <c r="H117" s="59">
        <v>22.67</v>
      </c>
      <c r="I117" s="94">
        <v>21.45</v>
      </c>
      <c r="J117" s="59">
        <v>20.09</v>
      </c>
      <c r="K117" s="94">
        <v>52.88</v>
      </c>
      <c r="L117" s="94">
        <v>51.0</v>
      </c>
      <c r="M117" s="94">
        <v>122.51</v>
      </c>
      <c r="N117" s="59">
        <v>99.63</v>
      </c>
      <c r="O117" s="88">
        <v>-0.12140762463343109</v>
      </c>
      <c r="P117" s="95">
        <v>-0.058667842964269884</v>
      </c>
      <c r="Q117" s="88">
        <v>-0.0676953708312593</v>
      </c>
      <c r="R117" s="88">
        <v>-0.036862745098039267</v>
      </c>
      <c r="S117" s="88">
        <v>-0.22964970390444656</v>
      </c>
      <c r="T117" s="59"/>
      <c r="U117" s="59"/>
      <c r="V117" s="91"/>
      <c r="W117" s="91"/>
      <c r="X117" s="91"/>
      <c r="Y117" s="91"/>
      <c r="Z117" s="91"/>
      <c r="AA117" s="96"/>
      <c r="AB117" s="97"/>
      <c r="AC117" s="91"/>
      <c r="AD117" s="91"/>
      <c r="AE117" s="91"/>
      <c r="AF117" s="91"/>
    </row>
    <row r="118">
      <c r="A118" s="59" t="s">
        <v>133</v>
      </c>
      <c r="B118" s="59" t="s">
        <v>454</v>
      </c>
      <c r="C118" s="70">
        <v>3.3716066396E10</v>
      </c>
      <c r="D118" s="86">
        <v>-0.10317141421011393</v>
      </c>
      <c r="E118" s="94">
        <v>41.5</v>
      </c>
      <c r="F118" s="94">
        <v>41.86</v>
      </c>
      <c r="G118" s="94">
        <v>48.06</v>
      </c>
      <c r="H118" s="59">
        <v>41.58</v>
      </c>
      <c r="I118" s="94">
        <v>39.2</v>
      </c>
      <c r="J118" s="59">
        <v>35.72</v>
      </c>
      <c r="K118" s="94">
        <v>58.44</v>
      </c>
      <c r="L118" s="94">
        <v>56.39</v>
      </c>
      <c r="M118" s="94">
        <v>74.3</v>
      </c>
      <c r="N118" s="59">
        <v>60.17</v>
      </c>
      <c r="O118" s="88">
        <v>0.008600095556617282</v>
      </c>
      <c r="P118" s="95">
        <v>-0.15584415584415595</v>
      </c>
      <c r="Q118" s="88">
        <v>-0.09742441209406506</v>
      </c>
      <c r="R118" s="88">
        <v>-0.036353963468700075</v>
      </c>
      <c r="S118" s="88">
        <v>-0.23483463520026582</v>
      </c>
      <c r="T118" s="59"/>
      <c r="U118" s="59"/>
      <c r="V118" s="91"/>
      <c r="W118" s="91"/>
      <c r="X118" s="91"/>
      <c r="Y118" s="91"/>
      <c r="Z118" s="91"/>
      <c r="AA118" s="96"/>
      <c r="AB118" s="97"/>
      <c r="AC118" s="91"/>
      <c r="AD118" s="91"/>
      <c r="AE118" s="91"/>
      <c r="AF118" s="91"/>
    </row>
    <row r="119">
      <c r="A119" s="59" t="s">
        <v>455</v>
      </c>
      <c r="B119" s="59" t="s">
        <v>456</v>
      </c>
      <c r="C119" s="70">
        <v>1.24219861718E11</v>
      </c>
      <c r="D119" s="86">
        <v>-0.10328825566841537</v>
      </c>
      <c r="E119" s="94">
        <v>36.49</v>
      </c>
      <c r="F119" s="94">
        <v>36.52</v>
      </c>
      <c r="G119" s="94">
        <v>37.08</v>
      </c>
      <c r="H119" s="59">
        <v>34.86</v>
      </c>
      <c r="I119" s="94">
        <v>34.15</v>
      </c>
      <c r="J119" s="59">
        <v>32.31</v>
      </c>
      <c r="K119" s="94">
        <v>102.21</v>
      </c>
      <c r="L119" s="94">
        <v>100.21</v>
      </c>
      <c r="M119" s="94">
        <v>72.0</v>
      </c>
      <c r="N119" s="59">
        <v>52.3</v>
      </c>
      <c r="O119" s="88">
        <v>8.214676889375996E-4</v>
      </c>
      <c r="P119" s="95">
        <v>-0.06368330464716004</v>
      </c>
      <c r="Q119" s="88">
        <v>-0.056948313215722565</v>
      </c>
      <c r="R119" s="88">
        <v>-0.019958088015168147</v>
      </c>
      <c r="S119" s="88">
        <v>-0.37667304015296377</v>
      </c>
      <c r="T119" s="59"/>
      <c r="U119" s="59"/>
      <c r="V119" s="91"/>
      <c r="W119" s="91"/>
      <c r="X119" s="91"/>
      <c r="Y119" s="91"/>
      <c r="Z119" s="91"/>
      <c r="AA119" s="96"/>
      <c r="AB119" s="97"/>
      <c r="AC119" s="91"/>
      <c r="AD119" s="91"/>
      <c r="AE119" s="91"/>
      <c r="AF119" s="91"/>
    </row>
    <row r="120">
      <c r="A120" s="59" t="s">
        <v>457</v>
      </c>
      <c r="B120" s="59" t="s">
        <v>458</v>
      </c>
      <c r="C120" s="70">
        <v>1.6573004234E10</v>
      </c>
      <c r="D120" s="86">
        <v>-0.10337845764396807</v>
      </c>
      <c r="E120" s="94">
        <v>10.39</v>
      </c>
      <c r="F120" s="94">
        <v>10.19</v>
      </c>
      <c r="G120" s="94">
        <v>10.07</v>
      </c>
      <c r="H120" s="59">
        <v>9.51</v>
      </c>
      <c r="I120" s="94">
        <v>10.1</v>
      </c>
      <c r="J120" s="59">
        <v>9.19</v>
      </c>
      <c r="K120" s="94">
        <v>16.34</v>
      </c>
      <c r="L120" s="94">
        <v>15.72</v>
      </c>
      <c r="M120" s="94">
        <v>48.11</v>
      </c>
      <c r="N120" s="59">
        <v>37.01</v>
      </c>
      <c r="O120" s="88">
        <v>-0.0196270853778215</v>
      </c>
      <c r="P120" s="95">
        <v>-0.0588853838065195</v>
      </c>
      <c r="Q120" s="88">
        <v>-0.09902067464635475</v>
      </c>
      <c r="R120" s="88">
        <v>-0.03944020356234092</v>
      </c>
      <c r="S120" s="88">
        <v>-0.29991894082680365</v>
      </c>
      <c r="T120" s="59"/>
      <c r="U120" s="59"/>
      <c r="V120" s="91"/>
      <c r="W120" s="91"/>
      <c r="X120" s="91"/>
      <c r="Y120" s="91"/>
      <c r="Z120" s="91"/>
      <c r="AA120" s="96"/>
      <c r="AB120" s="97"/>
      <c r="AC120" s="91"/>
      <c r="AD120" s="91"/>
      <c r="AE120" s="91"/>
      <c r="AF120" s="91"/>
    </row>
    <row r="121">
      <c r="A121" s="59" t="s">
        <v>459</v>
      </c>
      <c r="B121" s="59" t="s">
        <v>460</v>
      </c>
      <c r="C121" s="70">
        <v>1.1304098038E10</v>
      </c>
      <c r="D121" s="86">
        <v>-0.10391929722562562</v>
      </c>
      <c r="E121" s="94">
        <v>25.28</v>
      </c>
      <c r="F121" s="94">
        <v>25.12</v>
      </c>
      <c r="G121" s="94">
        <v>25.21</v>
      </c>
      <c r="H121" s="59">
        <v>22.14</v>
      </c>
      <c r="I121" s="94">
        <v>23.3</v>
      </c>
      <c r="J121" s="59">
        <v>21.28</v>
      </c>
      <c r="K121" s="94">
        <v>69.92</v>
      </c>
      <c r="L121" s="94">
        <v>66.4</v>
      </c>
      <c r="M121" s="94">
        <v>99.32</v>
      </c>
      <c r="N121" s="59">
        <v>80.97</v>
      </c>
      <c r="O121" s="88">
        <v>-0.006369426751592362</v>
      </c>
      <c r="P121" s="95">
        <v>-0.13866305329719963</v>
      </c>
      <c r="Q121" s="88">
        <v>-0.09492481203007516</v>
      </c>
      <c r="R121" s="88">
        <v>-0.05301204819277102</v>
      </c>
      <c r="S121" s="88">
        <v>-0.22662714585649</v>
      </c>
      <c r="T121" s="59"/>
      <c r="U121" s="59"/>
      <c r="V121" s="91"/>
      <c r="W121" s="91"/>
      <c r="X121" s="91"/>
      <c r="Y121" s="91"/>
      <c r="Z121" s="91"/>
      <c r="AA121" s="96"/>
      <c r="AB121" s="97"/>
      <c r="AC121" s="91"/>
      <c r="AD121" s="91"/>
      <c r="AE121" s="91"/>
      <c r="AF121" s="91"/>
    </row>
    <row r="122">
      <c r="A122" s="59" t="s">
        <v>461</v>
      </c>
      <c r="B122" s="59" t="s">
        <v>462</v>
      </c>
      <c r="C122" s="70">
        <v>3.2435501434E10</v>
      </c>
      <c r="D122" s="86">
        <v>-0.10399676259720517</v>
      </c>
      <c r="E122" s="94">
        <v>18.67</v>
      </c>
      <c r="F122" s="94">
        <v>19.36</v>
      </c>
      <c r="G122" s="94">
        <v>15.59</v>
      </c>
      <c r="H122" s="59">
        <v>14.71</v>
      </c>
      <c r="I122" s="94">
        <v>18.48</v>
      </c>
      <c r="J122" s="59">
        <v>17.4</v>
      </c>
      <c r="K122" s="94">
        <v>40.9</v>
      </c>
      <c r="L122" s="94">
        <v>39.62</v>
      </c>
      <c r="M122" s="94">
        <v>70.8</v>
      </c>
      <c r="N122" s="59">
        <v>50.52</v>
      </c>
      <c r="O122" s="88">
        <v>0.035640495867768476</v>
      </c>
      <c r="P122" s="95">
        <v>-0.05982324949014269</v>
      </c>
      <c r="Q122" s="88">
        <v>-0.06206896551724149</v>
      </c>
      <c r="R122" s="88">
        <v>-0.032306915699141875</v>
      </c>
      <c r="S122" s="88">
        <v>-0.40142517814726825</v>
      </c>
      <c r="T122" s="59"/>
      <c r="U122" s="59"/>
      <c r="V122" s="91"/>
      <c r="W122" s="91"/>
      <c r="X122" s="91"/>
      <c r="Y122" s="91"/>
      <c r="Z122" s="91"/>
      <c r="AA122" s="96"/>
      <c r="AB122" s="97"/>
      <c r="AC122" s="91"/>
      <c r="AD122" s="91"/>
      <c r="AE122" s="91"/>
      <c r="AF122" s="91"/>
    </row>
    <row r="123">
      <c r="A123" s="59" t="s">
        <v>463</v>
      </c>
      <c r="B123" s="59" t="s">
        <v>464</v>
      </c>
      <c r="C123" s="70">
        <v>1.0283766809E10</v>
      </c>
      <c r="D123" s="86">
        <v>-0.10407733783612405</v>
      </c>
      <c r="E123" s="94">
        <v>64.92</v>
      </c>
      <c r="F123" s="94">
        <v>65.49</v>
      </c>
      <c r="G123" s="94">
        <v>61.99</v>
      </c>
      <c r="H123" s="59">
        <v>58.12</v>
      </c>
      <c r="I123" s="94">
        <v>53.0</v>
      </c>
      <c r="J123" s="59">
        <v>49.51</v>
      </c>
      <c r="K123" s="94">
        <v>127.85</v>
      </c>
      <c r="L123" s="94">
        <v>125.32</v>
      </c>
      <c r="M123" s="94">
        <v>387.76</v>
      </c>
      <c r="N123" s="59">
        <v>282.66</v>
      </c>
      <c r="O123" s="88">
        <v>0.008703618873110296</v>
      </c>
      <c r="P123" s="95">
        <v>-0.06658637302133524</v>
      </c>
      <c r="Q123" s="88">
        <v>-0.07049080993738643</v>
      </c>
      <c r="R123" s="88">
        <v>-0.02018831790616024</v>
      </c>
      <c r="S123" s="88">
        <v>-0.37182480718884864</v>
      </c>
      <c r="T123" s="59"/>
      <c r="U123" s="59"/>
      <c r="V123" s="91"/>
      <c r="W123" s="91"/>
      <c r="X123" s="91"/>
      <c r="Y123" s="91"/>
      <c r="Z123" s="91"/>
      <c r="AA123" s="96"/>
      <c r="AB123" s="97"/>
      <c r="AC123" s="91"/>
      <c r="AD123" s="91"/>
      <c r="AE123" s="91"/>
      <c r="AF123" s="91"/>
    </row>
    <row r="124">
      <c r="A124" s="59" t="s">
        <v>465</v>
      </c>
      <c r="B124" s="59" t="s">
        <v>466</v>
      </c>
      <c r="C124" s="70">
        <v>1.8408252537E10</v>
      </c>
      <c r="D124" s="86">
        <v>-0.10465902489505222</v>
      </c>
      <c r="E124" s="94">
        <v>64.2</v>
      </c>
      <c r="F124" s="94">
        <v>60.19</v>
      </c>
      <c r="G124" s="94">
        <v>72.97</v>
      </c>
      <c r="H124" s="59">
        <v>66.11</v>
      </c>
      <c r="I124" s="94">
        <v>78.01</v>
      </c>
      <c r="J124" s="59">
        <v>73.2</v>
      </c>
      <c r="K124" s="94">
        <v>122.76</v>
      </c>
      <c r="L124" s="94">
        <v>117.77</v>
      </c>
      <c r="M124" s="94">
        <v>216.5</v>
      </c>
      <c r="N124" s="59">
        <v>173.92</v>
      </c>
      <c r="O124" s="88">
        <v>-0.0666223625186909</v>
      </c>
      <c r="P124" s="95">
        <v>-0.1037664498563001</v>
      </c>
      <c r="Q124" s="88">
        <v>-0.06571038251366124</v>
      </c>
      <c r="R124" s="88">
        <v>-0.04237072259488842</v>
      </c>
      <c r="S124" s="88">
        <v>-0.24482520699172042</v>
      </c>
      <c r="T124" s="59"/>
      <c r="U124" s="59"/>
      <c r="V124" s="91"/>
      <c r="W124" s="91"/>
      <c r="X124" s="91"/>
      <c r="Y124" s="91"/>
      <c r="Z124" s="91"/>
      <c r="AA124" s="96"/>
      <c r="AB124" s="97"/>
      <c r="AC124" s="91"/>
      <c r="AD124" s="91"/>
      <c r="AE124" s="91"/>
      <c r="AF124" s="91"/>
    </row>
    <row r="125">
      <c r="A125" s="59" t="s">
        <v>69</v>
      </c>
      <c r="B125" s="59" t="s">
        <v>70</v>
      </c>
      <c r="C125" s="70">
        <v>2.00814029119E11</v>
      </c>
      <c r="D125" s="86">
        <v>-0.10493769862386695</v>
      </c>
      <c r="E125" s="94">
        <v>60.02</v>
      </c>
      <c r="F125" s="94">
        <v>63.72</v>
      </c>
      <c r="G125" s="94">
        <v>71.42</v>
      </c>
      <c r="H125" s="59">
        <v>68.01</v>
      </c>
      <c r="I125" s="94">
        <v>85.08</v>
      </c>
      <c r="J125" s="59">
        <v>82.11</v>
      </c>
      <c r="K125" s="94">
        <v>97.13</v>
      </c>
      <c r="L125" s="94">
        <v>92.87</v>
      </c>
      <c r="M125" s="94">
        <v>216.15</v>
      </c>
      <c r="N125" s="59">
        <v>149.01</v>
      </c>
      <c r="O125" s="88">
        <v>0.05806654111738851</v>
      </c>
      <c r="P125" s="95">
        <v>-0.050139685340391066</v>
      </c>
      <c r="Q125" s="88">
        <v>-0.036170990135184496</v>
      </c>
      <c r="R125" s="88">
        <v>-0.04587057176698601</v>
      </c>
      <c r="S125" s="88">
        <v>-0.4505737869941616</v>
      </c>
      <c r="T125" s="59"/>
      <c r="U125" s="59"/>
      <c r="V125" s="91"/>
      <c r="W125" s="91"/>
      <c r="X125" s="91"/>
      <c r="Y125" s="91"/>
      <c r="Z125" s="91"/>
      <c r="AA125" s="96"/>
      <c r="AB125" s="97"/>
      <c r="AC125" s="91"/>
      <c r="AD125" s="91"/>
      <c r="AE125" s="91"/>
      <c r="AF125" s="91"/>
    </row>
    <row r="126">
      <c r="A126" s="59" t="s">
        <v>467</v>
      </c>
      <c r="B126" s="59" t="s">
        <v>468</v>
      </c>
      <c r="C126" s="70">
        <v>2.994869418E10</v>
      </c>
      <c r="D126" s="86">
        <v>-0.1050764476859674</v>
      </c>
      <c r="E126" s="94">
        <v>88.21</v>
      </c>
      <c r="F126" s="94">
        <v>86.91</v>
      </c>
      <c r="G126" s="94">
        <v>112.27</v>
      </c>
      <c r="H126" s="59">
        <v>104.94</v>
      </c>
      <c r="I126" s="94">
        <v>138.5</v>
      </c>
      <c r="J126" s="59">
        <v>129.86</v>
      </c>
      <c r="K126" s="94">
        <v>219.85</v>
      </c>
      <c r="L126" s="94">
        <v>213.16</v>
      </c>
      <c r="M126" s="94">
        <v>308.18</v>
      </c>
      <c r="N126" s="59">
        <v>229.53</v>
      </c>
      <c r="O126" s="88">
        <v>-0.014958002531354242</v>
      </c>
      <c r="P126" s="95">
        <v>-0.06984943777396606</v>
      </c>
      <c r="Q126" s="88">
        <v>-0.06653318958878782</v>
      </c>
      <c r="R126" s="88">
        <v>-0.03138487521110902</v>
      </c>
      <c r="S126" s="88">
        <v>-0.3426567333246199</v>
      </c>
      <c r="T126" s="59"/>
      <c r="U126" s="59"/>
      <c r="V126" s="91"/>
      <c r="W126" s="91"/>
      <c r="X126" s="91"/>
      <c r="Y126" s="91"/>
      <c r="Z126" s="91"/>
      <c r="AA126" s="96"/>
      <c r="AB126" s="97"/>
      <c r="AC126" s="91"/>
      <c r="AD126" s="91"/>
      <c r="AE126" s="91"/>
      <c r="AF126" s="91"/>
    </row>
    <row r="127">
      <c r="A127" s="59" t="s">
        <v>135</v>
      </c>
      <c r="B127" s="59" t="s">
        <v>469</v>
      </c>
      <c r="C127" s="70">
        <v>3.0499736998E10</v>
      </c>
      <c r="D127" s="86">
        <v>-0.10510193678587192</v>
      </c>
      <c r="E127" s="94">
        <v>9.54</v>
      </c>
      <c r="F127" s="94">
        <v>10.36</v>
      </c>
      <c r="G127" s="94">
        <v>10.9</v>
      </c>
      <c r="H127" s="59">
        <v>10.11</v>
      </c>
      <c r="I127" s="94">
        <v>14.25</v>
      </c>
      <c r="J127" s="59">
        <v>12.85</v>
      </c>
      <c r="K127" s="94">
        <v>45.47</v>
      </c>
      <c r="L127" s="94">
        <v>43.92</v>
      </c>
      <c r="M127" s="94">
        <v>148.36</v>
      </c>
      <c r="N127" s="59">
        <v>107.33</v>
      </c>
      <c r="O127" s="88">
        <v>0.07915057915057919</v>
      </c>
      <c r="P127" s="95">
        <v>-0.0781404549950545</v>
      </c>
      <c r="Q127" s="88">
        <v>-0.10894941634241248</v>
      </c>
      <c r="R127" s="88">
        <v>-0.0352914389799635</v>
      </c>
      <c r="S127" s="88">
        <v>-0.3822789527625083</v>
      </c>
      <c r="T127" s="59"/>
      <c r="U127" s="59"/>
      <c r="V127" s="91"/>
      <c r="W127" s="91"/>
      <c r="X127" s="91"/>
      <c r="Y127" s="91"/>
      <c r="Z127" s="91"/>
      <c r="AA127" s="96"/>
      <c r="AB127" s="97"/>
      <c r="AC127" s="91"/>
      <c r="AD127" s="91"/>
      <c r="AE127" s="91"/>
      <c r="AF127" s="91"/>
    </row>
    <row r="128">
      <c r="A128" s="59" t="s">
        <v>137</v>
      </c>
      <c r="B128" s="59" t="s">
        <v>470</v>
      </c>
      <c r="C128" s="70">
        <v>2.8483523034E10</v>
      </c>
      <c r="D128" s="86">
        <v>-0.10515494862344354</v>
      </c>
      <c r="E128" s="94" t="e">
        <v>#N/A</v>
      </c>
      <c r="F128" s="94" t="e">
        <v>#N/A</v>
      </c>
      <c r="G128" s="94">
        <v>28.15</v>
      </c>
      <c r="H128" s="59">
        <v>27.72</v>
      </c>
      <c r="I128" s="94">
        <v>33.18</v>
      </c>
      <c r="J128" s="59">
        <v>31.5</v>
      </c>
      <c r="K128" s="94">
        <v>73.92</v>
      </c>
      <c r="L128" s="94">
        <v>71.58</v>
      </c>
      <c r="M128" s="94">
        <v>171.56</v>
      </c>
      <c r="N128" s="59">
        <v>130.06</v>
      </c>
      <c r="O128" s="88" t="e">
        <v>#N/A</v>
      </c>
      <c r="P128" s="95">
        <v>-0.015512265512265503</v>
      </c>
      <c r="Q128" s="88">
        <v>-0.05333333333333332</v>
      </c>
      <c r="R128" s="88">
        <v>-0.03269069572506292</v>
      </c>
      <c r="S128" s="88">
        <v>-0.3190834999231124</v>
      </c>
      <c r="T128" s="59"/>
      <c r="U128" s="59"/>
      <c r="V128" s="91"/>
      <c r="W128" s="91"/>
      <c r="X128" s="91"/>
      <c r="Y128" s="91"/>
      <c r="Z128" s="91"/>
      <c r="AA128" s="96"/>
      <c r="AB128" s="97"/>
      <c r="AC128" s="91"/>
      <c r="AD128" s="91"/>
      <c r="AE128" s="91"/>
      <c r="AF128" s="91"/>
    </row>
    <row r="129">
      <c r="A129" s="59" t="s">
        <v>471</v>
      </c>
      <c r="B129" s="59" t="s">
        <v>472</v>
      </c>
      <c r="C129" s="70">
        <v>5.1194431101E11</v>
      </c>
      <c r="D129" s="86">
        <v>-0.10533351653946879</v>
      </c>
      <c r="E129" s="94">
        <v>28.06</v>
      </c>
      <c r="F129" s="94">
        <v>28.01</v>
      </c>
      <c r="G129" s="94">
        <v>30.26</v>
      </c>
      <c r="H129" s="59">
        <v>29.02</v>
      </c>
      <c r="I129" s="94">
        <v>45.56</v>
      </c>
      <c r="J129" s="59">
        <v>41.93</v>
      </c>
      <c r="K129" s="94">
        <v>116.28</v>
      </c>
      <c r="L129" s="94">
        <v>110.43</v>
      </c>
      <c r="M129" s="94">
        <v>302.14</v>
      </c>
      <c r="N129" s="59">
        <v>225.04</v>
      </c>
      <c r="O129" s="88">
        <v>-0.0017850767583005053</v>
      </c>
      <c r="P129" s="95">
        <v>-0.042729152308752655</v>
      </c>
      <c r="Q129" s="88">
        <v>-0.08657285952778447</v>
      </c>
      <c r="R129" s="88">
        <v>-0.052974735126324314</v>
      </c>
      <c r="S129" s="88">
        <v>-0.342605758976182</v>
      </c>
      <c r="T129" s="59"/>
      <c r="U129" s="59"/>
      <c r="V129" s="91"/>
      <c r="W129" s="91"/>
      <c r="X129" s="91"/>
      <c r="Y129" s="91"/>
      <c r="Z129" s="91"/>
      <c r="AA129" s="96"/>
      <c r="AB129" s="97"/>
      <c r="AC129" s="91"/>
      <c r="AD129" s="91"/>
      <c r="AE129" s="91"/>
      <c r="AF129" s="91"/>
    </row>
    <row r="130">
      <c r="A130" s="59" t="s">
        <v>473</v>
      </c>
      <c r="B130" s="59" t="s">
        <v>474</v>
      </c>
      <c r="C130" s="70">
        <v>8.2478446157E10</v>
      </c>
      <c r="D130" s="86">
        <v>-0.10573035922559149</v>
      </c>
      <c r="E130" s="94">
        <v>68.97</v>
      </c>
      <c r="F130" s="94">
        <v>68.74</v>
      </c>
      <c r="G130" s="94">
        <v>69.24</v>
      </c>
      <c r="H130" s="59">
        <v>62.84</v>
      </c>
      <c r="I130" s="94">
        <v>55.49</v>
      </c>
      <c r="J130" s="59">
        <v>51.75</v>
      </c>
      <c r="K130" s="94">
        <v>165.35</v>
      </c>
      <c r="L130" s="94">
        <v>160.02</v>
      </c>
      <c r="M130" s="94">
        <v>372.42</v>
      </c>
      <c r="N130" s="59">
        <v>282.59</v>
      </c>
      <c r="O130" s="88">
        <v>-0.0033459412278150132</v>
      </c>
      <c r="P130" s="95">
        <v>-0.1018459579885422</v>
      </c>
      <c r="Q130" s="88">
        <v>-0.07227053140096622</v>
      </c>
      <c r="R130" s="88">
        <v>-0.03330833645794266</v>
      </c>
      <c r="S130" s="88">
        <v>-0.31788102905269133</v>
      </c>
      <c r="T130" s="59"/>
      <c r="U130" s="59"/>
      <c r="V130" s="91"/>
      <c r="W130" s="91"/>
      <c r="X130" s="91"/>
      <c r="Y130" s="91"/>
      <c r="Z130" s="91"/>
      <c r="AA130" s="96"/>
      <c r="AB130" s="97"/>
      <c r="AC130" s="91"/>
      <c r="AD130" s="91"/>
      <c r="AE130" s="91"/>
      <c r="AF130" s="91"/>
    </row>
    <row r="131">
      <c r="A131" s="59" t="s">
        <v>475</v>
      </c>
      <c r="B131" s="59" t="s">
        <v>476</v>
      </c>
      <c r="C131" s="70">
        <v>5.8250257048E10</v>
      </c>
      <c r="D131" s="86">
        <v>-0.10612323624090655</v>
      </c>
      <c r="E131" s="94">
        <v>19.79</v>
      </c>
      <c r="F131" s="94">
        <v>20.62</v>
      </c>
      <c r="G131" s="94">
        <v>26.67</v>
      </c>
      <c r="H131" s="59">
        <v>25.32</v>
      </c>
      <c r="I131" s="94">
        <v>24.98</v>
      </c>
      <c r="J131" s="59">
        <v>23.63</v>
      </c>
      <c r="K131" s="94">
        <v>87.12</v>
      </c>
      <c r="L131" s="94">
        <v>84.77</v>
      </c>
      <c r="M131" s="94">
        <v>193.93</v>
      </c>
      <c r="N131" s="59">
        <v>135.36</v>
      </c>
      <c r="O131" s="88">
        <v>0.04025218234723578</v>
      </c>
      <c r="P131" s="95">
        <v>-0.053317535545023755</v>
      </c>
      <c r="Q131" s="88">
        <v>-0.057130765975454995</v>
      </c>
      <c r="R131" s="88">
        <v>-0.02772207148755466</v>
      </c>
      <c r="S131" s="88">
        <v>-0.43269799054373514</v>
      </c>
      <c r="T131" s="59"/>
      <c r="U131" s="59"/>
      <c r="V131" s="91"/>
      <c r="W131" s="91"/>
      <c r="X131" s="91"/>
      <c r="Y131" s="91"/>
      <c r="Z131" s="91"/>
      <c r="AA131" s="96"/>
      <c r="AB131" s="97"/>
      <c r="AC131" s="91"/>
      <c r="AD131" s="91"/>
      <c r="AE131" s="91"/>
      <c r="AF131" s="91"/>
    </row>
    <row r="132">
      <c r="A132" s="59" t="s">
        <v>477</v>
      </c>
      <c r="B132" s="59" t="s">
        <v>478</v>
      </c>
      <c r="C132" s="70">
        <v>1.30687577904E11</v>
      </c>
      <c r="D132" s="86">
        <v>-0.10653996115418671</v>
      </c>
      <c r="E132" s="94">
        <v>50.24</v>
      </c>
      <c r="F132" s="94">
        <v>50.08</v>
      </c>
      <c r="G132" s="94">
        <v>53.52</v>
      </c>
      <c r="H132" s="59">
        <v>50.94</v>
      </c>
      <c r="I132" s="94">
        <v>61.95</v>
      </c>
      <c r="J132" s="59">
        <v>57.01</v>
      </c>
      <c r="K132" s="94">
        <v>146.62</v>
      </c>
      <c r="L132" s="94">
        <v>140.68</v>
      </c>
      <c r="M132" s="94">
        <v>302.45</v>
      </c>
      <c r="N132" s="59">
        <v>224.04</v>
      </c>
      <c r="O132" s="88">
        <v>-0.003194888178913812</v>
      </c>
      <c r="P132" s="95">
        <v>-0.05064782096584228</v>
      </c>
      <c r="Q132" s="88">
        <v>-0.08665146465532371</v>
      </c>
      <c r="R132" s="88">
        <v>-0.04222348592550467</v>
      </c>
      <c r="S132" s="88">
        <v>-0.34998214604534905</v>
      </c>
      <c r="T132" s="59"/>
      <c r="U132" s="59"/>
      <c r="V132" s="91"/>
      <c r="W132" s="91"/>
      <c r="X132" s="91"/>
      <c r="Y132" s="91"/>
      <c r="Z132" s="91"/>
      <c r="AA132" s="96"/>
      <c r="AB132" s="97"/>
      <c r="AC132" s="91"/>
      <c r="AD132" s="91"/>
      <c r="AE132" s="91"/>
      <c r="AF132" s="91"/>
    </row>
    <row r="133">
      <c r="A133" s="59" t="s">
        <v>479</v>
      </c>
      <c r="B133" s="59" t="s">
        <v>480</v>
      </c>
      <c r="C133" s="70">
        <v>7.692571853E9</v>
      </c>
      <c r="D133" s="86">
        <v>-0.10670731160669389</v>
      </c>
      <c r="E133" s="94">
        <v>39.54</v>
      </c>
      <c r="F133" s="94">
        <v>38.88</v>
      </c>
      <c r="G133" s="94">
        <v>34.5</v>
      </c>
      <c r="H133" s="59">
        <v>33.03</v>
      </c>
      <c r="I133" s="94">
        <v>33.72</v>
      </c>
      <c r="J133" s="59">
        <v>31.82</v>
      </c>
      <c r="K133" s="94">
        <v>27.11</v>
      </c>
      <c r="L133" s="94">
        <v>25.86</v>
      </c>
      <c r="M133" s="94">
        <v>13.34</v>
      </c>
      <c r="N133" s="59">
        <v>9.78</v>
      </c>
      <c r="O133" s="88">
        <v>-0.01697530864197522</v>
      </c>
      <c r="P133" s="95">
        <v>-0.044504995458673896</v>
      </c>
      <c r="Q133" s="88">
        <v>-0.059710873664361994</v>
      </c>
      <c r="R133" s="88">
        <v>-0.048337200309358085</v>
      </c>
      <c r="S133" s="88">
        <v>-0.3640081799591003</v>
      </c>
      <c r="T133" s="59"/>
      <c r="U133" s="59"/>
      <c r="V133" s="91"/>
      <c r="W133" s="91"/>
      <c r="X133" s="91"/>
      <c r="Y133" s="91"/>
      <c r="Z133" s="91"/>
      <c r="AA133" s="96"/>
      <c r="AB133" s="97"/>
      <c r="AC133" s="91"/>
      <c r="AD133" s="91"/>
      <c r="AE133" s="91"/>
      <c r="AF133" s="91"/>
    </row>
    <row r="134">
      <c r="A134" s="59" t="s">
        <v>481</v>
      </c>
      <c r="B134" s="59" t="s">
        <v>482</v>
      </c>
      <c r="C134" s="70">
        <v>5.3999722486E10</v>
      </c>
      <c r="D134" s="86">
        <v>-0.10749785830894246</v>
      </c>
      <c r="E134" s="94">
        <v>89.0</v>
      </c>
      <c r="F134" s="94">
        <v>81.7</v>
      </c>
      <c r="G134" s="94">
        <v>100.11</v>
      </c>
      <c r="H134" s="59">
        <v>92.96</v>
      </c>
      <c r="I134" s="94">
        <v>110.31</v>
      </c>
      <c r="J134" s="59">
        <v>102.07</v>
      </c>
      <c r="K134" s="94">
        <v>212.51</v>
      </c>
      <c r="L134" s="94">
        <v>202.21</v>
      </c>
      <c r="M134" s="94">
        <v>231.76</v>
      </c>
      <c r="N134" s="59">
        <v>186.97</v>
      </c>
      <c r="O134" s="88">
        <v>-0.08935128518971844</v>
      </c>
      <c r="P134" s="95">
        <v>-0.07691480206540455</v>
      </c>
      <c r="Q134" s="88">
        <v>-0.08072891153130214</v>
      </c>
      <c r="R134" s="88">
        <v>-0.05093714455269266</v>
      </c>
      <c r="S134" s="88">
        <v>-0.23955714820559443</v>
      </c>
      <c r="T134" s="59"/>
      <c r="U134" s="59"/>
      <c r="V134" s="91"/>
      <c r="W134" s="91"/>
      <c r="X134" s="91"/>
      <c r="Y134" s="91"/>
      <c r="Z134" s="91"/>
      <c r="AA134" s="96"/>
      <c r="AB134" s="97"/>
      <c r="AC134" s="91"/>
      <c r="AD134" s="91"/>
      <c r="AE134" s="91"/>
      <c r="AF134" s="91"/>
    </row>
    <row r="135">
      <c r="A135" s="59" t="s">
        <v>483</v>
      </c>
      <c r="B135" s="59" t="s">
        <v>484</v>
      </c>
      <c r="C135" s="70">
        <v>4.1453002784E10</v>
      </c>
      <c r="D135" s="86">
        <v>-0.10753982863067871</v>
      </c>
      <c r="E135" s="94">
        <v>32.74</v>
      </c>
      <c r="F135" s="94">
        <v>32.76</v>
      </c>
      <c r="G135" s="94">
        <v>31.58</v>
      </c>
      <c r="H135" s="59">
        <v>28.95</v>
      </c>
      <c r="I135" s="94">
        <v>26.83</v>
      </c>
      <c r="J135" s="59">
        <v>24.76</v>
      </c>
      <c r="K135" s="94">
        <v>42.0</v>
      </c>
      <c r="L135" s="94">
        <v>40.13</v>
      </c>
      <c r="M135" s="94">
        <v>100.27</v>
      </c>
      <c r="N135" s="59">
        <v>76.12</v>
      </c>
      <c r="O135" s="88">
        <v>6.105006105004891E-4</v>
      </c>
      <c r="P135" s="95">
        <v>-0.09084628670120895</v>
      </c>
      <c r="Q135" s="88">
        <v>-0.08360258481421634</v>
      </c>
      <c r="R135" s="88">
        <v>-0.046598554697233924</v>
      </c>
      <c r="S135" s="88">
        <v>-0.31726221755123474</v>
      </c>
      <c r="T135" s="59"/>
      <c r="U135" s="59"/>
      <c r="V135" s="91"/>
      <c r="W135" s="91"/>
      <c r="X135" s="91"/>
      <c r="Y135" s="91"/>
      <c r="Z135" s="91"/>
      <c r="AA135" s="96"/>
      <c r="AB135" s="97"/>
      <c r="AC135" s="91"/>
      <c r="AD135" s="91"/>
      <c r="AE135" s="91"/>
      <c r="AF135" s="91"/>
    </row>
    <row r="136">
      <c r="A136" s="59" t="s">
        <v>141</v>
      </c>
      <c r="B136" s="59" t="s">
        <v>485</v>
      </c>
      <c r="C136" s="70">
        <v>1.700887137266E12</v>
      </c>
      <c r="D136" s="86">
        <v>-0.10827410513923282</v>
      </c>
      <c r="E136" s="94">
        <v>26.35</v>
      </c>
      <c r="F136" s="94">
        <v>26.82</v>
      </c>
      <c r="G136" s="94">
        <v>30.86</v>
      </c>
      <c r="H136" s="59">
        <v>28.21</v>
      </c>
      <c r="I136" s="94">
        <v>25.68</v>
      </c>
      <c r="J136" s="59">
        <v>24.48</v>
      </c>
      <c r="K136" s="94">
        <v>43.07</v>
      </c>
      <c r="L136" s="94">
        <v>41.68</v>
      </c>
      <c r="M136" s="94">
        <v>187.23</v>
      </c>
      <c r="N136" s="59">
        <v>135.42</v>
      </c>
      <c r="O136" s="88">
        <v>0.01752423564504097</v>
      </c>
      <c r="P136" s="95">
        <v>-0.0939383197447713</v>
      </c>
      <c r="Q136" s="88">
        <v>-0.049019607843137226</v>
      </c>
      <c r="R136" s="88">
        <v>-0.033349328214971226</v>
      </c>
      <c r="S136" s="88">
        <v>-0.38258750553832527</v>
      </c>
      <c r="T136" s="59"/>
      <c r="U136" s="59"/>
      <c r="V136" s="91"/>
      <c r="W136" s="91"/>
      <c r="X136" s="91"/>
      <c r="Y136" s="91"/>
      <c r="Z136" s="91"/>
      <c r="AA136" s="96"/>
      <c r="AB136" s="97"/>
      <c r="AC136" s="91"/>
      <c r="AD136" s="91"/>
      <c r="AE136" s="91"/>
      <c r="AF136" s="91"/>
    </row>
    <row r="137">
      <c r="A137" s="59" t="s">
        <v>486</v>
      </c>
      <c r="B137" s="59" t="s">
        <v>487</v>
      </c>
      <c r="C137" s="70">
        <v>1.7116037363E10</v>
      </c>
      <c r="D137" s="86">
        <v>-0.10832485101276121</v>
      </c>
      <c r="E137" s="94">
        <v>9.63</v>
      </c>
      <c r="F137" s="94">
        <v>8.83</v>
      </c>
      <c r="G137" s="94">
        <v>13.76</v>
      </c>
      <c r="H137" s="59">
        <v>11.59</v>
      </c>
      <c r="I137" s="94">
        <v>14.3</v>
      </c>
      <c r="J137" s="59">
        <v>13.18</v>
      </c>
      <c r="K137" s="94">
        <v>104.31</v>
      </c>
      <c r="L137" s="94">
        <v>97.37</v>
      </c>
      <c r="M137" s="94">
        <v>79.3</v>
      </c>
      <c r="N137" s="59">
        <v>71.6</v>
      </c>
      <c r="O137" s="88">
        <v>-0.09060022650056633</v>
      </c>
      <c r="P137" s="95">
        <v>-0.18723037100949094</v>
      </c>
      <c r="Q137" s="88">
        <v>-0.08497723823975728</v>
      </c>
      <c r="R137" s="88">
        <v>-0.07127451987265068</v>
      </c>
      <c r="S137" s="88">
        <v>-0.10754189944134084</v>
      </c>
      <c r="T137" s="59"/>
      <c r="U137" s="59"/>
      <c r="V137" s="91"/>
      <c r="W137" s="91"/>
      <c r="X137" s="91"/>
      <c r="Y137" s="91"/>
      <c r="Z137" s="91"/>
      <c r="AA137" s="96"/>
      <c r="AB137" s="97"/>
      <c r="AC137" s="91"/>
      <c r="AD137" s="91"/>
      <c r="AE137" s="91"/>
      <c r="AF137" s="91"/>
    </row>
    <row r="138">
      <c r="A138" s="59" t="s">
        <v>488</v>
      </c>
      <c r="B138" s="59" t="s">
        <v>489</v>
      </c>
      <c r="C138" s="70">
        <v>2.5303171808E10</v>
      </c>
      <c r="D138" s="86">
        <v>-0.10918264393398311</v>
      </c>
      <c r="E138" s="94">
        <v>41.5</v>
      </c>
      <c r="F138" s="94">
        <v>41.76</v>
      </c>
      <c r="G138" s="94">
        <v>43.54</v>
      </c>
      <c r="H138" s="59">
        <v>39.69</v>
      </c>
      <c r="I138" s="94">
        <v>49.71</v>
      </c>
      <c r="J138" s="59">
        <v>46.73</v>
      </c>
      <c r="K138" s="94">
        <v>83.43</v>
      </c>
      <c r="L138" s="94">
        <v>81.19</v>
      </c>
      <c r="M138" s="94">
        <v>96.76</v>
      </c>
      <c r="N138" s="59">
        <v>70.95</v>
      </c>
      <c r="O138" s="88">
        <v>0.006226053639846696</v>
      </c>
      <c r="P138" s="95">
        <v>-0.09700176366843037</v>
      </c>
      <c r="Q138" s="88">
        <v>-0.06377059704686505</v>
      </c>
      <c r="R138" s="88">
        <v>-0.02758960463111232</v>
      </c>
      <c r="S138" s="88">
        <v>-0.3637773079633545</v>
      </c>
      <c r="T138" s="59"/>
      <c r="U138" s="59"/>
      <c r="V138" s="91"/>
      <c r="W138" s="91"/>
      <c r="X138" s="91"/>
      <c r="Y138" s="91"/>
      <c r="Z138" s="91"/>
      <c r="AA138" s="96"/>
      <c r="AB138" s="97"/>
      <c r="AC138" s="91"/>
      <c r="AD138" s="91"/>
      <c r="AE138" s="91"/>
      <c r="AF138" s="91"/>
    </row>
    <row r="139">
      <c r="A139" s="59" t="s">
        <v>143</v>
      </c>
      <c r="B139" s="59" t="s">
        <v>490</v>
      </c>
      <c r="C139" s="70">
        <v>3.5108783188E10</v>
      </c>
      <c r="D139" s="86">
        <v>-0.10920504934080881</v>
      </c>
      <c r="E139" s="94">
        <v>46.0</v>
      </c>
      <c r="F139" s="94">
        <v>43.3</v>
      </c>
      <c r="G139" s="94">
        <v>19.72</v>
      </c>
      <c r="H139" s="59">
        <v>17.63</v>
      </c>
      <c r="I139" s="94">
        <v>20.0</v>
      </c>
      <c r="J139" s="59">
        <v>18.15</v>
      </c>
      <c r="K139" s="94">
        <v>65.53</v>
      </c>
      <c r="L139" s="94">
        <v>63.7</v>
      </c>
      <c r="M139" s="94">
        <v>109.46</v>
      </c>
      <c r="N139" s="59">
        <v>88.67</v>
      </c>
      <c r="O139" s="88">
        <v>-0.06235565819861439</v>
      </c>
      <c r="P139" s="95">
        <v>-0.11854792966534317</v>
      </c>
      <c r="Q139" s="88">
        <v>-0.10192837465564747</v>
      </c>
      <c r="R139" s="88">
        <v>-0.028728414442700127</v>
      </c>
      <c r="S139" s="88">
        <v>-0.23446486974173894</v>
      </c>
      <c r="T139" s="59"/>
      <c r="U139" s="59"/>
      <c r="V139" s="91"/>
      <c r="W139" s="91"/>
      <c r="X139" s="91"/>
      <c r="Y139" s="91"/>
      <c r="Z139" s="91"/>
      <c r="AA139" s="96"/>
      <c r="AB139" s="97"/>
      <c r="AC139" s="91"/>
      <c r="AD139" s="91"/>
      <c r="AE139" s="91"/>
      <c r="AF139" s="91"/>
    </row>
    <row r="140">
      <c r="A140" s="59" t="s">
        <v>491</v>
      </c>
      <c r="B140" s="59" t="s">
        <v>492</v>
      </c>
      <c r="C140" s="70">
        <v>7.1340730419E10</v>
      </c>
      <c r="D140" s="86">
        <v>-0.10956673272987927</v>
      </c>
      <c r="E140" s="94">
        <v>37.3</v>
      </c>
      <c r="F140" s="94">
        <v>38.1</v>
      </c>
      <c r="G140" s="94">
        <v>34.61</v>
      </c>
      <c r="H140" s="59">
        <v>33.92</v>
      </c>
      <c r="I140" s="94">
        <v>39.87</v>
      </c>
      <c r="J140" s="59">
        <v>38.33</v>
      </c>
      <c r="K140" s="94">
        <v>45.8</v>
      </c>
      <c r="L140" s="94">
        <v>43.58</v>
      </c>
      <c r="M140" s="94">
        <v>69.4</v>
      </c>
      <c r="N140" s="59">
        <v>47.62</v>
      </c>
      <c r="O140" s="88">
        <v>0.0209973753280841</v>
      </c>
      <c r="P140" s="95">
        <v>-0.020341981132075405</v>
      </c>
      <c r="Q140" s="88">
        <v>-0.04017740673102007</v>
      </c>
      <c r="R140" s="88">
        <v>-0.05094079853143641</v>
      </c>
      <c r="S140" s="88">
        <v>-0.4573708525829485</v>
      </c>
      <c r="T140" s="59"/>
      <c r="U140" s="59"/>
      <c r="V140" s="91"/>
      <c r="W140" s="91"/>
      <c r="X140" s="91"/>
      <c r="Y140" s="91"/>
      <c r="Z140" s="91"/>
      <c r="AA140" s="96"/>
      <c r="AB140" s="97"/>
      <c r="AC140" s="91"/>
      <c r="AD140" s="91"/>
      <c r="AE140" s="91"/>
      <c r="AF140" s="91"/>
    </row>
    <row r="141">
      <c r="A141" s="59" t="s">
        <v>493</v>
      </c>
      <c r="B141" s="59" t="s">
        <v>494</v>
      </c>
      <c r="C141" s="70">
        <v>5.0502100834E10</v>
      </c>
      <c r="D141" s="86">
        <v>-0.11013612683998439</v>
      </c>
      <c r="E141" s="94">
        <v>77.5</v>
      </c>
      <c r="F141" s="94">
        <v>72.25</v>
      </c>
      <c r="G141" s="94">
        <v>103.29</v>
      </c>
      <c r="H141" s="59">
        <v>91.45</v>
      </c>
      <c r="I141" s="94">
        <v>92.15</v>
      </c>
      <c r="J141" s="59">
        <v>83.75</v>
      </c>
      <c r="K141" s="94">
        <v>271.31</v>
      </c>
      <c r="L141" s="94">
        <v>255.53</v>
      </c>
      <c r="M141" s="94">
        <v>643.59</v>
      </c>
      <c r="N141" s="59">
        <v>542.43</v>
      </c>
      <c r="O141" s="88">
        <v>-0.0726643598615917</v>
      </c>
      <c r="P141" s="95">
        <v>-0.12946965554948062</v>
      </c>
      <c r="Q141" s="88">
        <v>-0.10029850746268663</v>
      </c>
      <c r="R141" s="88">
        <v>-0.061754001487105234</v>
      </c>
      <c r="S141" s="88">
        <v>-0.18649410983905773</v>
      </c>
      <c r="T141" s="59"/>
      <c r="U141" s="59"/>
      <c r="V141" s="91"/>
      <c r="W141" s="91"/>
      <c r="X141" s="91"/>
      <c r="Y141" s="91"/>
      <c r="Z141" s="91"/>
      <c r="AA141" s="96"/>
      <c r="AB141" s="97"/>
      <c r="AC141" s="91"/>
      <c r="AD141" s="91"/>
      <c r="AE141" s="91"/>
      <c r="AF141" s="91"/>
    </row>
    <row r="142">
      <c r="A142" s="59" t="s">
        <v>495</v>
      </c>
      <c r="B142" s="59" t="s">
        <v>496</v>
      </c>
      <c r="C142" s="70">
        <v>2.4334699263E10</v>
      </c>
      <c r="D142" s="86">
        <v>-0.11059804372313028</v>
      </c>
      <c r="E142" s="94">
        <v>39.88</v>
      </c>
      <c r="F142" s="94">
        <v>41.33</v>
      </c>
      <c r="G142" s="94">
        <v>51.02</v>
      </c>
      <c r="H142" s="59">
        <v>45.1</v>
      </c>
      <c r="I142" s="94">
        <v>57.66</v>
      </c>
      <c r="J142" s="59">
        <v>52.82</v>
      </c>
      <c r="K142" s="94">
        <v>111.95</v>
      </c>
      <c r="L142" s="94">
        <v>108.0</v>
      </c>
      <c r="M142" s="94">
        <v>134.84</v>
      </c>
      <c r="N142" s="59">
        <v>101.49</v>
      </c>
      <c r="O142" s="88">
        <v>0.03508347447374778</v>
      </c>
      <c r="P142" s="95">
        <v>-0.1312638580931264</v>
      </c>
      <c r="Q142" s="88">
        <v>-0.0916319575918212</v>
      </c>
      <c r="R142" s="88">
        <v>-0.0365740740740741</v>
      </c>
      <c r="S142" s="88">
        <v>-0.3286038033303775</v>
      </c>
      <c r="T142" s="59"/>
      <c r="U142" s="59"/>
      <c r="V142" s="91"/>
      <c r="W142" s="91"/>
      <c r="X142" s="91"/>
      <c r="Y142" s="91"/>
      <c r="Z142" s="91"/>
      <c r="AA142" s="96"/>
      <c r="AB142" s="97"/>
      <c r="AC142" s="91"/>
      <c r="AD142" s="91"/>
      <c r="AE142" s="91"/>
      <c r="AF142" s="91"/>
    </row>
    <row r="143">
      <c r="A143" s="59" t="s">
        <v>497</v>
      </c>
      <c r="B143" s="59" t="s">
        <v>498</v>
      </c>
      <c r="C143" s="70">
        <v>3.1106975925E10</v>
      </c>
      <c r="D143" s="86">
        <v>-0.11124548945927044</v>
      </c>
      <c r="E143" s="94" t="e">
        <v>#N/A</v>
      </c>
      <c r="F143" s="94" t="e">
        <v>#N/A</v>
      </c>
      <c r="G143" s="94" t="e">
        <v>#N/A</v>
      </c>
      <c r="H143" s="59" t="e">
        <v>#N/A</v>
      </c>
      <c r="I143" s="94" t="e">
        <v>#N/A</v>
      </c>
      <c r="J143" s="59" t="e">
        <v>#N/A</v>
      </c>
      <c r="K143" s="94">
        <v>32.35</v>
      </c>
      <c r="L143" s="94">
        <v>30.59</v>
      </c>
      <c r="M143" s="94">
        <v>97.6</v>
      </c>
      <c r="N143" s="59">
        <v>83.78</v>
      </c>
      <c r="O143" s="88" t="e">
        <v>#N/A</v>
      </c>
      <c r="P143" s="95" t="e">
        <v>#N/A</v>
      </c>
      <c r="Q143" s="88" t="e">
        <v>#N/A</v>
      </c>
      <c r="R143" s="88">
        <v>-0.05753514220333447</v>
      </c>
      <c r="S143" s="88">
        <v>-0.16495583671520642</v>
      </c>
      <c r="T143" s="59"/>
      <c r="U143" s="59"/>
      <c r="V143" s="91"/>
      <c r="W143" s="91"/>
      <c r="X143" s="91"/>
      <c r="Y143" s="91"/>
      <c r="Z143" s="91"/>
      <c r="AA143" s="96"/>
      <c r="AB143" s="97"/>
      <c r="AC143" s="91"/>
      <c r="AD143" s="91"/>
      <c r="AE143" s="91"/>
      <c r="AF143" s="91"/>
    </row>
    <row r="144">
      <c r="A144" s="59" t="s">
        <v>145</v>
      </c>
      <c r="B144" s="59" t="s">
        <v>499</v>
      </c>
      <c r="C144" s="70">
        <v>1.47843431885E11</v>
      </c>
      <c r="D144" s="86">
        <v>-0.11142759457073044</v>
      </c>
      <c r="E144" s="94">
        <v>22.4</v>
      </c>
      <c r="F144" s="94">
        <v>21.91</v>
      </c>
      <c r="G144" s="94">
        <v>26.45</v>
      </c>
      <c r="H144" s="59">
        <v>24.74</v>
      </c>
      <c r="I144" s="94">
        <v>27.19</v>
      </c>
      <c r="J144" s="59">
        <v>26.19</v>
      </c>
      <c r="K144" s="94">
        <v>45.96</v>
      </c>
      <c r="L144" s="94">
        <v>44.89</v>
      </c>
      <c r="M144" s="94">
        <v>131.24</v>
      </c>
      <c r="N144" s="59">
        <v>93.5</v>
      </c>
      <c r="O144" s="88">
        <v>-0.022364217252396096</v>
      </c>
      <c r="P144" s="95">
        <v>-0.06911883589329025</v>
      </c>
      <c r="Q144" s="88">
        <v>-0.038182512409316534</v>
      </c>
      <c r="R144" s="88">
        <v>-0.023836043662285592</v>
      </c>
      <c r="S144" s="88">
        <v>-0.40363636363636374</v>
      </c>
      <c r="T144" s="59"/>
      <c r="U144" s="59"/>
      <c r="V144" s="91"/>
      <c r="W144" s="91"/>
      <c r="X144" s="91"/>
      <c r="Y144" s="91"/>
      <c r="Z144" s="91"/>
      <c r="AA144" s="96"/>
      <c r="AB144" s="97"/>
      <c r="AC144" s="91"/>
      <c r="AD144" s="91"/>
      <c r="AE144" s="91"/>
      <c r="AF144" s="91"/>
    </row>
    <row r="145">
      <c r="A145" s="59" t="s">
        <v>500</v>
      </c>
      <c r="B145" s="59" t="s">
        <v>501</v>
      </c>
      <c r="C145" s="70">
        <v>5.8847591763E10</v>
      </c>
      <c r="D145" s="86">
        <v>-0.11221039976675581</v>
      </c>
      <c r="E145" s="94">
        <v>46.49</v>
      </c>
      <c r="F145" s="94">
        <v>45.41</v>
      </c>
      <c r="G145" s="94">
        <v>42.41</v>
      </c>
      <c r="H145" s="59">
        <v>41.13</v>
      </c>
      <c r="I145" s="94">
        <v>44.89</v>
      </c>
      <c r="J145" s="59">
        <v>41.79</v>
      </c>
      <c r="K145" s="94">
        <v>96.53</v>
      </c>
      <c r="L145" s="94">
        <v>91.73</v>
      </c>
      <c r="M145" s="94">
        <v>235.27</v>
      </c>
      <c r="N145" s="59">
        <v>170.53</v>
      </c>
      <c r="O145" s="88">
        <v>-0.02378330764148878</v>
      </c>
      <c r="P145" s="95">
        <v>-0.031120836372477364</v>
      </c>
      <c r="Q145" s="88">
        <v>-0.07418042593921995</v>
      </c>
      <c r="R145" s="88">
        <v>-0.052327482830044666</v>
      </c>
      <c r="S145" s="88">
        <v>-0.37963994605054835</v>
      </c>
      <c r="T145" s="59"/>
      <c r="U145" s="59"/>
      <c r="V145" s="91"/>
      <c r="W145" s="91"/>
      <c r="X145" s="91"/>
      <c r="Y145" s="91"/>
      <c r="Z145" s="91"/>
      <c r="AA145" s="96"/>
      <c r="AB145" s="97"/>
      <c r="AC145" s="91"/>
      <c r="AD145" s="91"/>
      <c r="AE145" s="91"/>
      <c r="AF145" s="91"/>
    </row>
    <row r="146">
      <c r="A146" s="59" t="s">
        <v>502</v>
      </c>
      <c r="B146" s="59" t="s">
        <v>503</v>
      </c>
      <c r="C146" s="70">
        <v>2.3942161765E10</v>
      </c>
      <c r="D146" s="86">
        <v>-0.11252409969827801</v>
      </c>
      <c r="E146" s="94">
        <v>87.34</v>
      </c>
      <c r="F146" s="94">
        <v>84.05</v>
      </c>
      <c r="G146" s="94">
        <v>92.32</v>
      </c>
      <c r="H146" s="59">
        <v>84.26</v>
      </c>
      <c r="I146" s="94">
        <v>98.44</v>
      </c>
      <c r="J146" s="59">
        <v>89.56</v>
      </c>
      <c r="K146" s="94">
        <v>118.22</v>
      </c>
      <c r="L146" s="94">
        <v>114.57</v>
      </c>
      <c r="M146" s="94">
        <v>212.69</v>
      </c>
      <c r="N146" s="59">
        <v>164.01</v>
      </c>
      <c r="O146" s="88">
        <v>-0.03914336704342661</v>
      </c>
      <c r="P146" s="95">
        <v>-0.09565630192262031</v>
      </c>
      <c r="Q146" s="88">
        <v>-0.09915140687807052</v>
      </c>
      <c r="R146" s="88">
        <v>-0.031858252596665845</v>
      </c>
      <c r="S146" s="88">
        <v>-0.29681117005060675</v>
      </c>
      <c r="T146" s="59"/>
      <c r="U146" s="59"/>
      <c r="V146" s="91"/>
      <c r="W146" s="91"/>
      <c r="X146" s="91"/>
      <c r="Y146" s="91"/>
      <c r="Z146" s="91"/>
      <c r="AA146" s="96"/>
      <c r="AB146" s="97"/>
      <c r="AC146" s="91"/>
      <c r="AD146" s="91"/>
      <c r="AE146" s="91"/>
      <c r="AF146" s="91"/>
    </row>
    <row r="147">
      <c r="A147" s="59" t="s">
        <v>504</v>
      </c>
      <c r="B147" s="59" t="s">
        <v>505</v>
      </c>
      <c r="C147" s="70">
        <v>5.3576567159E10</v>
      </c>
      <c r="D147" s="86">
        <v>-0.11268876816270852</v>
      </c>
      <c r="E147" s="94">
        <v>22.97</v>
      </c>
      <c r="F147" s="94">
        <v>22.76</v>
      </c>
      <c r="G147" s="94">
        <v>27.72</v>
      </c>
      <c r="H147" s="59">
        <v>25.94</v>
      </c>
      <c r="I147" s="94">
        <v>28.64</v>
      </c>
      <c r="J147" s="59">
        <v>26.29</v>
      </c>
      <c r="K147" s="94">
        <v>45.12</v>
      </c>
      <c r="L147" s="94">
        <v>43.55</v>
      </c>
      <c r="M147" s="94">
        <v>44.45</v>
      </c>
      <c r="N147" s="59">
        <v>32.68</v>
      </c>
      <c r="O147" s="88">
        <v>-0.009226713532513062</v>
      </c>
      <c r="P147" s="95">
        <v>-0.06861989205859667</v>
      </c>
      <c r="Q147" s="88">
        <v>-0.08938759984785095</v>
      </c>
      <c r="R147" s="88">
        <v>-0.03605051664753158</v>
      </c>
      <c r="S147" s="88">
        <v>-0.3601591187270503</v>
      </c>
      <c r="T147" s="59"/>
      <c r="U147" s="59"/>
      <c r="V147" s="91"/>
      <c r="W147" s="91"/>
      <c r="X147" s="91"/>
      <c r="Y147" s="91"/>
      <c r="Z147" s="91"/>
      <c r="AA147" s="96"/>
      <c r="AB147" s="97"/>
      <c r="AC147" s="91"/>
      <c r="AD147" s="91"/>
      <c r="AE147" s="91"/>
      <c r="AF147" s="91"/>
    </row>
    <row r="148">
      <c r="A148" s="59" t="s">
        <v>506</v>
      </c>
      <c r="B148" s="59" t="s">
        <v>507</v>
      </c>
      <c r="C148" s="70">
        <v>2.0347876092E10</v>
      </c>
      <c r="D148" s="86">
        <v>-0.11320572388372074</v>
      </c>
      <c r="E148" s="94">
        <v>27.83</v>
      </c>
      <c r="F148" s="94">
        <v>28.0</v>
      </c>
      <c r="G148" s="94">
        <v>20.12</v>
      </c>
      <c r="H148" s="59">
        <v>19.67</v>
      </c>
      <c r="I148" s="94">
        <v>17.35</v>
      </c>
      <c r="J148" s="59">
        <v>15.46</v>
      </c>
      <c r="K148" s="94">
        <v>23.06</v>
      </c>
      <c r="L148" s="94">
        <v>21.97</v>
      </c>
      <c r="M148" s="94">
        <v>40.15</v>
      </c>
      <c r="N148" s="59">
        <v>29.15</v>
      </c>
      <c r="O148" s="88">
        <v>0.006071428571428632</v>
      </c>
      <c r="P148" s="95">
        <v>-0.02287747839349259</v>
      </c>
      <c r="Q148" s="88">
        <v>-0.12225097024579563</v>
      </c>
      <c r="R148" s="88">
        <v>-0.049613108784706414</v>
      </c>
      <c r="S148" s="88">
        <v>-0.37735849056603776</v>
      </c>
      <c r="T148" s="59"/>
      <c r="U148" s="59"/>
      <c r="V148" s="91"/>
      <c r="W148" s="91"/>
      <c r="X148" s="91"/>
      <c r="Y148" s="91"/>
      <c r="Z148" s="91"/>
      <c r="AA148" s="96"/>
      <c r="AB148" s="97"/>
      <c r="AC148" s="91"/>
      <c r="AD148" s="91"/>
      <c r="AE148" s="91"/>
      <c r="AF148" s="91"/>
    </row>
    <row r="149">
      <c r="A149" s="59" t="s">
        <v>508</v>
      </c>
      <c r="B149" s="59" t="s">
        <v>509</v>
      </c>
      <c r="C149" s="70">
        <v>4.3857248992E10</v>
      </c>
      <c r="D149" s="86">
        <v>-0.11360162235058313</v>
      </c>
      <c r="E149" s="94">
        <v>56.26</v>
      </c>
      <c r="F149" s="94">
        <v>57.15</v>
      </c>
      <c r="G149" s="94">
        <v>62.35</v>
      </c>
      <c r="H149" s="59">
        <v>57.48</v>
      </c>
      <c r="I149" s="94">
        <v>73.23</v>
      </c>
      <c r="J149" s="59">
        <v>67.74</v>
      </c>
      <c r="K149" s="94">
        <v>161.74</v>
      </c>
      <c r="L149" s="94">
        <v>155.02</v>
      </c>
      <c r="M149" s="94">
        <v>389.33</v>
      </c>
      <c r="N149" s="59">
        <v>283.26</v>
      </c>
      <c r="O149" s="88">
        <v>0.01557305336832897</v>
      </c>
      <c r="P149" s="95">
        <v>-0.0847251217814893</v>
      </c>
      <c r="Q149" s="88">
        <v>-0.0810451727192207</v>
      </c>
      <c r="R149" s="88">
        <v>-0.04334924525867629</v>
      </c>
      <c r="S149" s="88">
        <v>-0.37446162536185834</v>
      </c>
      <c r="T149" s="59"/>
      <c r="U149" s="59"/>
      <c r="V149" s="91"/>
      <c r="W149" s="91"/>
      <c r="X149" s="91"/>
      <c r="Y149" s="91"/>
      <c r="Z149" s="91"/>
      <c r="AA149" s="96"/>
      <c r="AB149" s="97"/>
      <c r="AC149" s="91"/>
      <c r="AD149" s="91"/>
      <c r="AE149" s="91"/>
      <c r="AF149" s="91"/>
    </row>
    <row r="150">
      <c r="A150" s="59" t="s">
        <v>510</v>
      </c>
      <c r="B150" s="59" t="s">
        <v>511</v>
      </c>
      <c r="C150" s="70">
        <v>1.5437312369E10</v>
      </c>
      <c r="D150" s="86">
        <v>-0.11373339755775688</v>
      </c>
      <c r="E150" s="94">
        <v>24.49</v>
      </c>
      <c r="F150" s="94">
        <v>23.33</v>
      </c>
      <c r="G150" s="94">
        <v>34.88</v>
      </c>
      <c r="H150" s="59">
        <v>31.47</v>
      </c>
      <c r="I150" s="94">
        <v>41.87</v>
      </c>
      <c r="J150" s="59">
        <v>39.31</v>
      </c>
      <c r="K150" s="94">
        <v>30.21</v>
      </c>
      <c r="L150" s="94">
        <v>29.87</v>
      </c>
      <c r="M150" s="94">
        <v>53.43</v>
      </c>
      <c r="N150" s="59">
        <v>40.05</v>
      </c>
      <c r="O150" s="88">
        <v>-0.04972138876982427</v>
      </c>
      <c r="P150" s="95">
        <v>-0.10835716555449647</v>
      </c>
      <c r="Q150" s="88">
        <v>-0.0651233782752479</v>
      </c>
      <c r="R150" s="88">
        <v>-0.011382658185470367</v>
      </c>
      <c r="S150" s="88">
        <v>-0.3340823970037454</v>
      </c>
      <c r="T150" s="59"/>
      <c r="U150" s="59"/>
      <c r="V150" s="91"/>
      <c r="W150" s="91"/>
      <c r="X150" s="91"/>
      <c r="Y150" s="91"/>
      <c r="Z150" s="91"/>
      <c r="AA150" s="96"/>
      <c r="AB150" s="97"/>
      <c r="AC150" s="91"/>
      <c r="AD150" s="91"/>
      <c r="AE150" s="91"/>
      <c r="AF150" s="91"/>
    </row>
    <row r="151">
      <c r="A151" s="59" t="s">
        <v>147</v>
      </c>
      <c r="B151" s="59" t="s">
        <v>512</v>
      </c>
      <c r="C151" s="70">
        <v>4.9711646453E10</v>
      </c>
      <c r="D151" s="86">
        <v>-0.11394195103956986</v>
      </c>
      <c r="E151" s="94">
        <v>4.18</v>
      </c>
      <c r="F151" s="94">
        <v>3.95</v>
      </c>
      <c r="G151" s="94">
        <v>7.31</v>
      </c>
      <c r="H151" s="59">
        <v>6.23</v>
      </c>
      <c r="I151" s="94">
        <v>12.65</v>
      </c>
      <c r="J151" s="59">
        <v>11.49</v>
      </c>
      <c r="K151" s="94">
        <v>46.3</v>
      </c>
      <c r="L151" s="94">
        <v>45.15</v>
      </c>
      <c r="M151" s="94">
        <v>69.6</v>
      </c>
      <c r="N151" s="59">
        <v>57.44</v>
      </c>
      <c r="O151" s="88">
        <v>-0.0582278481012657</v>
      </c>
      <c r="P151" s="95">
        <v>-0.1733547351524878</v>
      </c>
      <c r="Q151" s="88">
        <v>-0.1009573542210618</v>
      </c>
      <c r="R151" s="88">
        <v>-0.02547065337763009</v>
      </c>
      <c r="S151" s="88">
        <v>-0.21169916434540384</v>
      </c>
      <c r="T151" s="59"/>
      <c r="U151" s="59"/>
      <c r="V151" s="91"/>
      <c r="W151" s="91"/>
      <c r="X151" s="91"/>
      <c r="Y151" s="91"/>
      <c r="Z151" s="91"/>
      <c r="AA151" s="96"/>
      <c r="AB151" s="97"/>
      <c r="AC151" s="91"/>
      <c r="AD151" s="91"/>
      <c r="AE151" s="91"/>
      <c r="AF151" s="91"/>
    </row>
    <row r="152">
      <c r="A152" s="59" t="s">
        <v>149</v>
      </c>
      <c r="B152" s="59" t="s">
        <v>513</v>
      </c>
      <c r="C152" s="70">
        <v>1.89459791526E11</v>
      </c>
      <c r="D152" s="86">
        <v>-0.11403465093370355</v>
      </c>
      <c r="E152" s="94">
        <v>34.58</v>
      </c>
      <c r="F152" s="94">
        <v>33.02</v>
      </c>
      <c r="G152" s="94">
        <v>15.92</v>
      </c>
      <c r="H152" s="59">
        <v>14.3</v>
      </c>
      <c r="I152" s="94">
        <v>19.06</v>
      </c>
      <c r="J152" s="59">
        <v>17.84</v>
      </c>
      <c r="K152" s="94">
        <v>40.13</v>
      </c>
      <c r="L152" s="94">
        <v>38.73</v>
      </c>
      <c r="M152" s="94">
        <v>99.88</v>
      </c>
      <c r="N152" s="59">
        <v>76.53</v>
      </c>
      <c r="O152" s="88">
        <v>-0.04724409448818882</v>
      </c>
      <c r="P152" s="95">
        <v>-0.11328671328671322</v>
      </c>
      <c r="Q152" s="88">
        <v>-0.06838565022421518</v>
      </c>
      <c r="R152" s="88">
        <v>-0.03614768912987363</v>
      </c>
      <c r="S152" s="88">
        <v>-0.3051091075395269</v>
      </c>
      <c r="T152" s="59"/>
      <c r="U152" s="59"/>
      <c r="V152" s="91"/>
      <c r="W152" s="91"/>
      <c r="X152" s="91"/>
      <c r="Y152" s="91"/>
      <c r="Z152" s="91"/>
      <c r="AA152" s="96"/>
      <c r="AB152" s="97"/>
      <c r="AC152" s="91"/>
      <c r="AD152" s="91"/>
      <c r="AE152" s="91"/>
      <c r="AF152" s="91"/>
    </row>
    <row r="153">
      <c r="A153" s="59" t="s">
        <v>151</v>
      </c>
      <c r="B153" s="59" t="s">
        <v>514</v>
      </c>
      <c r="C153" s="70">
        <v>4.5517092266E10</v>
      </c>
      <c r="D153" s="86">
        <v>-0.11415096730786933</v>
      </c>
      <c r="E153" s="94">
        <v>34.15</v>
      </c>
      <c r="F153" s="94">
        <v>32.3</v>
      </c>
      <c r="G153" s="94">
        <v>35.3</v>
      </c>
      <c r="H153" s="59">
        <v>31.14</v>
      </c>
      <c r="I153" s="94">
        <v>36.2</v>
      </c>
      <c r="J153" s="59">
        <v>34.23</v>
      </c>
      <c r="K153" s="94">
        <v>47.7</v>
      </c>
      <c r="L153" s="94">
        <v>46.97</v>
      </c>
      <c r="M153" s="94">
        <v>169.23</v>
      </c>
      <c r="N153" s="59">
        <v>129.5</v>
      </c>
      <c r="O153" s="88">
        <v>-0.057275541795665685</v>
      </c>
      <c r="P153" s="95">
        <v>-0.13359023763648029</v>
      </c>
      <c r="Q153" s="88">
        <v>-0.057551855097867546</v>
      </c>
      <c r="R153" s="88">
        <v>-0.015541835213966447</v>
      </c>
      <c r="S153" s="88">
        <v>-0.30679536679536673</v>
      </c>
      <c r="T153" s="59"/>
      <c r="U153" s="59"/>
      <c r="V153" s="91"/>
      <c r="W153" s="91"/>
      <c r="X153" s="91"/>
      <c r="Y153" s="91"/>
      <c r="Z153" s="91"/>
      <c r="AA153" s="96"/>
      <c r="AB153" s="97"/>
      <c r="AC153" s="91"/>
      <c r="AD153" s="91"/>
      <c r="AE153" s="91"/>
      <c r="AF153" s="91"/>
    </row>
    <row r="154">
      <c r="A154" s="59" t="s">
        <v>515</v>
      </c>
      <c r="B154" s="59" t="s">
        <v>516</v>
      </c>
      <c r="C154" s="70">
        <v>1.7289530644E10</v>
      </c>
      <c r="D154" s="86">
        <v>-0.11449022098209424</v>
      </c>
      <c r="E154" s="94">
        <v>36.9</v>
      </c>
      <c r="F154" s="94">
        <v>36.21</v>
      </c>
      <c r="G154" s="94">
        <v>33.87</v>
      </c>
      <c r="H154" s="59">
        <v>32.06</v>
      </c>
      <c r="I154" s="94">
        <v>30.86</v>
      </c>
      <c r="J154" s="59">
        <v>28.97</v>
      </c>
      <c r="K154" s="94">
        <v>64.32</v>
      </c>
      <c r="L154" s="94">
        <v>61.96</v>
      </c>
      <c r="M154" s="94">
        <v>167.93</v>
      </c>
      <c r="N154" s="59">
        <v>120.5</v>
      </c>
      <c r="O154" s="88">
        <v>-0.0190555095277547</v>
      </c>
      <c r="P154" s="95">
        <v>-0.05645664379288818</v>
      </c>
      <c r="Q154" s="88">
        <v>-0.06523990334829136</v>
      </c>
      <c r="R154" s="88">
        <v>-0.038089089735312984</v>
      </c>
      <c r="S154" s="88">
        <v>-0.3936099585062241</v>
      </c>
      <c r="T154" s="59"/>
      <c r="U154" s="59"/>
      <c r="V154" s="91"/>
      <c r="W154" s="91"/>
      <c r="X154" s="91"/>
      <c r="Y154" s="91"/>
      <c r="Z154" s="91"/>
      <c r="AA154" s="96"/>
      <c r="AB154" s="97"/>
      <c r="AC154" s="91"/>
      <c r="AD154" s="91"/>
      <c r="AE154" s="91"/>
      <c r="AF154" s="91"/>
    </row>
    <row r="155">
      <c r="A155" s="59" t="s">
        <v>517</v>
      </c>
      <c r="B155" s="59" t="s">
        <v>518</v>
      </c>
      <c r="C155" s="70">
        <v>6.2372460028E10</v>
      </c>
      <c r="D155" s="86">
        <v>-0.11490165789481947</v>
      </c>
      <c r="E155" s="94">
        <v>65.53</v>
      </c>
      <c r="F155" s="94">
        <v>67.36</v>
      </c>
      <c r="G155" s="94">
        <v>65.79</v>
      </c>
      <c r="H155" s="59">
        <v>63.04</v>
      </c>
      <c r="I155" s="94">
        <v>53.88</v>
      </c>
      <c r="J155" s="59">
        <v>49.48</v>
      </c>
      <c r="K155" s="94">
        <v>91.64</v>
      </c>
      <c r="L155" s="94">
        <v>88.74</v>
      </c>
      <c r="M155" s="94">
        <v>213.37</v>
      </c>
      <c r="N155" s="59">
        <v>148.54</v>
      </c>
      <c r="O155" s="88">
        <v>0.027167458432304014</v>
      </c>
      <c r="P155" s="95">
        <v>-0.04362309644670062</v>
      </c>
      <c r="Q155" s="88">
        <v>-0.08892481810832671</v>
      </c>
      <c r="R155" s="88">
        <v>-0.03267973856209157</v>
      </c>
      <c r="S155" s="88">
        <v>-0.4364480947892825</v>
      </c>
      <c r="T155" s="59"/>
      <c r="U155" s="59"/>
      <c r="V155" s="91"/>
      <c r="W155" s="91"/>
      <c r="X155" s="91"/>
      <c r="Y155" s="91"/>
      <c r="Z155" s="91"/>
      <c r="AA155" s="96"/>
      <c r="AB155" s="97"/>
      <c r="AC155" s="91"/>
      <c r="AD155" s="91"/>
      <c r="AE155" s="91"/>
      <c r="AF155" s="91"/>
    </row>
    <row r="156">
      <c r="A156" s="59" t="s">
        <v>519</v>
      </c>
      <c r="B156" s="59" t="s">
        <v>520</v>
      </c>
      <c r="C156" s="70">
        <v>1.52682990311E11</v>
      </c>
      <c r="D156" s="86">
        <v>-0.1149685460984883</v>
      </c>
      <c r="E156" s="94">
        <v>14.1</v>
      </c>
      <c r="F156" s="94">
        <v>13.36</v>
      </c>
      <c r="G156" s="94">
        <v>13.17</v>
      </c>
      <c r="H156" s="59">
        <v>12.81</v>
      </c>
      <c r="I156" s="94">
        <v>13.2</v>
      </c>
      <c r="J156" s="59">
        <v>12.54</v>
      </c>
      <c r="K156" s="94">
        <v>26.74</v>
      </c>
      <c r="L156" s="94">
        <v>25.76</v>
      </c>
      <c r="M156" s="94">
        <v>70.51</v>
      </c>
      <c r="N156" s="59">
        <v>50.34</v>
      </c>
      <c r="O156" s="88">
        <v>-0.05538922155688625</v>
      </c>
      <c r="P156" s="95">
        <v>-0.028103044496487074</v>
      </c>
      <c r="Q156" s="88">
        <v>-0.05263157894736844</v>
      </c>
      <c r="R156" s="88">
        <v>-0.03804347826086944</v>
      </c>
      <c r="S156" s="88">
        <v>-0.40067540723083034</v>
      </c>
      <c r="T156" s="59"/>
      <c r="U156" s="59"/>
      <c r="V156" s="91"/>
      <c r="W156" s="91"/>
      <c r="X156" s="91"/>
      <c r="Y156" s="91"/>
      <c r="Z156" s="91"/>
      <c r="AA156" s="96"/>
      <c r="AB156" s="97"/>
      <c r="AC156" s="91"/>
      <c r="AD156" s="91"/>
      <c r="AE156" s="91"/>
      <c r="AF156" s="91"/>
    </row>
    <row r="157">
      <c r="A157" s="59" t="s">
        <v>521</v>
      </c>
      <c r="B157" s="59" t="s">
        <v>522</v>
      </c>
      <c r="C157" s="70">
        <v>1.47409145056E11</v>
      </c>
      <c r="D157" s="86">
        <v>-0.11504475466129507</v>
      </c>
      <c r="E157" s="94">
        <v>85.16</v>
      </c>
      <c r="F157" s="94">
        <v>84.06</v>
      </c>
      <c r="G157" s="94">
        <v>84.01</v>
      </c>
      <c r="H157" s="59">
        <v>78.88</v>
      </c>
      <c r="I157" s="94">
        <v>96.34</v>
      </c>
      <c r="J157" s="59">
        <v>91.36</v>
      </c>
      <c r="K157" s="94">
        <v>108.61</v>
      </c>
      <c r="L157" s="94">
        <v>105.36</v>
      </c>
      <c r="M157" s="94">
        <v>223.55</v>
      </c>
      <c r="N157" s="59">
        <v>158.35</v>
      </c>
      <c r="O157" s="88">
        <v>-0.013085891030216444</v>
      </c>
      <c r="P157" s="95">
        <v>-0.06503549695740378</v>
      </c>
      <c r="Q157" s="88">
        <v>-0.05450963222416817</v>
      </c>
      <c r="R157" s="88">
        <v>-0.030846621108580108</v>
      </c>
      <c r="S157" s="88">
        <v>-0.4117461319861068</v>
      </c>
      <c r="T157" s="59"/>
      <c r="U157" s="59"/>
      <c r="V157" s="91"/>
      <c r="W157" s="91"/>
      <c r="X157" s="91"/>
      <c r="Y157" s="91"/>
      <c r="Z157" s="91"/>
      <c r="AA157" s="96"/>
      <c r="AB157" s="97"/>
      <c r="AC157" s="91"/>
      <c r="AD157" s="91"/>
      <c r="AE157" s="91"/>
      <c r="AF157" s="91"/>
    </row>
    <row r="158">
      <c r="A158" s="59" t="s">
        <v>523</v>
      </c>
      <c r="B158" s="59" t="s">
        <v>524</v>
      </c>
      <c r="C158" s="70">
        <v>1.4004124298E10</v>
      </c>
      <c r="D158" s="86">
        <v>-0.1151411806311478</v>
      </c>
      <c r="E158" s="94">
        <v>19.64</v>
      </c>
      <c r="F158" s="94">
        <v>17.0</v>
      </c>
      <c r="G158" s="94">
        <v>39.76</v>
      </c>
      <c r="H158" s="59">
        <v>35.71</v>
      </c>
      <c r="I158" s="94">
        <v>22.59</v>
      </c>
      <c r="J158" s="59">
        <v>21.09</v>
      </c>
      <c r="K158" s="94">
        <v>68.04</v>
      </c>
      <c r="L158" s="94">
        <v>66.52</v>
      </c>
      <c r="M158" s="94">
        <v>100.96</v>
      </c>
      <c r="N158" s="59">
        <v>83.23</v>
      </c>
      <c r="O158" s="88">
        <v>-0.15529411764705886</v>
      </c>
      <c r="P158" s="95">
        <v>-0.1134136096331559</v>
      </c>
      <c r="Q158" s="88">
        <v>-0.07112375533428165</v>
      </c>
      <c r="R158" s="88">
        <v>-0.022850270595309835</v>
      </c>
      <c r="S158" s="88">
        <v>-0.21302414994593283</v>
      </c>
      <c r="T158" s="59"/>
      <c r="U158" s="59"/>
      <c r="V158" s="91"/>
      <c r="W158" s="91"/>
      <c r="X158" s="91"/>
      <c r="Y158" s="91"/>
      <c r="Z158" s="91"/>
      <c r="AA158" s="96"/>
      <c r="AB158" s="97"/>
      <c r="AC158" s="91"/>
      <c r="AD158" s="91"/>
      <c r="AE158" s="91"/>
      <c r="AF158" s="91"/>
    </row>
    <row r="159">
      <c r="A159" s="59" t="s">
        <v>525</v>
      </c>
      <c r="B159" s="59" t="s">
        <v>526</v>
      </c>
      <c r="C159" s="70">
        <v>3.942117312E10</v>
      </c>
      <c r="D159" s="86">
        <v>-0.11551270400322552</v>
      </c>
      <c r="E159" s="94">
        <v>26.75</v>
      </c>
      <c r="F159" s="94">
        <v>26.62</v>
      </c>
      <c r="G159" s="94">
        <v>26.59</v>
      </c>
      <c r="H159" s="59">
        <v>24.29</v>
      </c>
      <c r="I159" s="94">
        <v>26.45</v>
      </c>
      <c r="J159" s="59">
        <v>24.51</v>
      </c>
      <c r="K159" s="94">
        <v>44.81</v>
      </c>
      <c r="L159" s="94">
        <v>43.09</v>
      </c>
      <c r="M159" s="94">
        <v>108.51</v>
      </c>
      <c r="N159" s="59">
        <v>79.85</v>
      </c>
      <c r="O159" s="88">
        <v>-0.004883546205860218</v>
      </c>
      <c r="P159" s="95">
        <v>-0.0946891724989708</v>
      </c>
      <c r="Q159" s="88">
        <v>-0.07915136678906559</v>
      </c>
      <c r="R159" s="88">
        <v>-0.03991645393362726</v>
      </c>
      <c r="S159" s="88">
        <v>-0.3589229805886038</v>
      </c>
      <c r="T159" s="59"/>
      <c r="U159" s="59"/>
      <c r="V159" s="91"/>
      <c r="W159" s="91"/>
      <c r="X159" s="91"/>
      <c r="Y159" s="91"/>
      <c r="Z159" s="91"/>
      <c r="AA159" s="96"/>
      <c r="AB159" s="97"/>
      <c r="AC159" s="91"/>
      <c r="AD159" s="91"/>
      <c r="AE159" s="91"/>
      <c r="AF159" s="91"/>
    </row>
    <row r="160">
      <c r="A160" s="59" t="s">
        <v>527</v>
      </c>
      <c r="B160" s="59" t="s">
        <v>528</v>
      </c>
      <c r="C160" s="70">
        <v>1.6784010613E10</v>
      </c>
      <c r="D160" s="86">
        <v>-0.11582200156828515</v>
      </c>
      <c r="E160" s="94">
        <v>32.79</v>
      </c>
      <c r="F160" s="94">
        <v>32.59</v>
      </c>
      <c r="G160" s="94">
        <v>38.98</v>
      </c>
      <c r="H160" s="59">
        <v>34.26</v>
      </c>
      <c r="I160" s="94">
        <v>31.95</v>
      </c>
      <c r="J160" s="59">
        <v>31.0</v>
      </c>
      <c r="K160" s="94">
        <v>38.26</v>
      </c>
      <c r="L160" s="94">
        <v>37.01</v>
      </c>
      <c r="M160" s="94">
        <v>97.12</v>
      </c>
      <c r="N160" s="59">
        <v>70.85</v>
      </c>
      <c r="O160" s="88">
        <v>-0.006136851795029019</v>
      </c>
      <c r="P160" s="95">
        <v>-0.13776999416228836</v>
      </c>
      <c r="Q160" s="88">
        <v>-0.03064516129032256</v>
      </c>
      <c r="R160" s="88">
        <v>-0.03377465549851392</v>
      </c>
      <c r="S160" s="88">
        <v>-0.3707833450952719</v>
      </c>
      <c r="T160" s="59"/>
      <c r="U160" s="59"/>
      <c r="V160" s="91"/>
      <c r="W160" s="91"/>
      <c r="X160" s="91"/>
      <c r="Y160" s="91"/>
      <c r="Z160" s="91"/>
      <c r="AA160" s="96"/>
      <c r="AB160" s="97"/>
      <c r="AC160" s="91"/>
      <c r="AD160" s="91"/>
      <c r="AE160" s="91"/>
      <c r="AF160" s="91"/>
    </row>
    <row r="161">
      <c r="A161" s="59" t="s">
        <v>153</v>
      </c>
      <c r="B161" s="59" t="s">
        <v>529</v>
      </c>
      <c r="C161" s="70">
        <v>1.11273772133E11</v>
      </c>
      <c r="D161" s="86">
        <v>-0.11590808999639612</v>
      </c>
      <c r="E161" s="94">
        <v>29.6</v>
      </c>
      <c r="F161" s="94">
        <v>29.66</v>
      </c>
      <c r="G161" s="94">
        <v>37.35</v>
      </c>
      <c r="H161" s="59">
        <v>34.01</v>
      </c>
      <c r="I161" s="94">
        <v>43.6</v>
      </c>
      <c r="J161" s="59">
        <v>40.94</v>
      </c>
      <c r="K161" s="94">
        <v>89.28</v>
      </c>
      <c r="L161" s="94">
        <v>84.25</v>
      </c>
      <c r="M161" s="94">
        <v>303.57</v>
      </c>
      <c r="N161" s="59">
        <v>223.43</v>
      </c>
      <c r="O161" s="88">
        <v>0.002022926500337111</v>
      </c>
      <c r="P161" s="95">
        <v>-0.09820640987944733</v>
      </c>
      <c r="Q161" s="88">
        <v>-0.06497313141182227</v>
      </c>
      <c r="R161" s="88">
        <v>-0.0597032640949555</v>
      </c>
      <c r="S161" s="88">
        <v>-0.35868057109609264</v>
      </c>
      <c r="T161" s="59"/>
      <c r="U161" s="59"/>
      <c r="V161" s="91"/>
      <c r="W161" s="91"/>
      <c r="X161" s="91"/>
      <c r="Y161" s="91"/>
      <c r="Z161" s="91"/>
      <c r="AA161" s="96"/>
      <c r="AB161" s="97"/>
      <c r="AC161" s="91"/>
      <c r="AD161" s="91"/>
      <c r="AE161" s="91"/>
      <c r="AF161" s="91"/>
    </row>
    <row r="162">
      <c r="A162" s="59" t="s">
        <v>530</v>
      </c>
      <c r="B162" s="59" t="s">
        <v>531</v>
      </c>
      <c r="C162" s="70">
        <v>9.764871735E9</v>
      </c>
      <c r="D162" s="86">
        <v>-0.11595759609468578</v>
      </c>
      <c r="E162" s="94">
        <v>22.62</v>
      </c>
      <c r="F162" s="94">
        <v>22.65</v>
      </c>
      <c r="G162" s="94">
        <v>23.95</v>
      </c>
      <c r="H162" s="59">
        <v>22.34</v>
      </c>
      <c r="I162" s="94">
        <v>24.95</v>
      </c>
      <c r="J162" s="59">
        <v>23.54</v>
      </c>
      <c r="K162" s="94">
        <v>54.13</v>
      </c>
      <c r="L162" s="94">
        <v>52.25</v>
      </c>
      <c r="M162" s="94">
        <v>72.99</v>
      </c>
      <c r="N162" s="59">
        <v>51.65</v>
      </c>
      <c r="O162" s="88">
        <v>0.0013245033112581717</v>
      </c>
      <c r="P162" s="95">
        <v>-0.07206803939122647</v>
      </c>
      <c r="Q162" s="88">
        <v>-0.0598980458793543</v>
      </c>
      <c r="R162" s="88">
        <v>-0.03598086124401919</v>
      </c>
      <c r="S162" s="88">
        <v>-0.4131655372700871</v>
      </c>
      <c r="T162" s="59"/>
      <c r="U162" s="59"/>
      <c r="V162" s="91"/>
      <c r="W162" s="91"/>
      <c r="X162" s="91"/>
      <c r="Y162" s="91"/>
      <c r="Z162" s="91"/>
      <c r="AA162" s="96"/>
      <c r="AB162" s="97"/>
      <c r="AC162" s="91"/>
      <c r="AD162" s="91"/>
      <c r="AE162" s="91"/>
      <c r="AF162" s="91"/>
    </row>
    <row r="163">
      <c r="A163" s="59" t="s">
        <v>155</v>
      </c>
      <c r="B163" s="59" t="s">
        <v>532</v>
      </c>
      <c r="C163" s="70">
        <v>1.3176159E11</v>
      </c>
      <c r="D163" s="86">
        <v>-0.11632403774182705</v>
      </c>
      <c r="E163" s="94">
        <v>48.54</v>
      </c>
      <c r="F163" s="94">
        <v>46.82</v>
      </c>
      <c r="G163" s="94">
        <v>38.64</v>
      </c>
      <c r="H163" s="59">
        <v>36.5</v>
      </c>
      <c r="I163" s="94">
        <v>51.02</v>
      </c>
      <c r="J163" s="59">
        <v>47.29</v>
      </c>
      <c r="K163" s="94">
        <v>57.61</v>
      </c>
      <c r="L163" s="94">
        <v>55.28</v>
      </c>
      <c r="M163" s="94">
        <v>88.03</v>
      </c>
      <c r="N163" s="59">
        <v>64.48</v>
      </c>
      <c r="O163" s="88">
        <v>-0.036736437419905996</v>
      </c>
      <c r="P163" s="95">
        <v>-0.05863013698630139</v>
      </c>
      <c r="Q163" s="88">
        <v>-0.0788750264326497</v>
      </c>
      <c r="R163" s="88">
        <v>-0.042149059334298085</v>
      </c>
      <c r="S163" s="88">
        <v>-0.36522952853598006</v>
      </c>
      <c r="T163" s="59"/>
      <c r="U163" s="59"/>
      <c r="V163" s="91"/>
      <c r="W163" s="91"/>
      <c r="X163" s="91"/>
      <c r="Y163" s="91"/>
      <c r="Z163" s="91"/>
      <c r="AA163" s="96"/>
      <c r="AB163" s="97"/>
      <c r="AC163" s="91"/>
      <c r="AD163" s="91"/>
      <c r="AE163" s="91"/>
      <c r="AF163" s="91"/>
    </row>
    <row r="164">
      <c r="A164" s="59" t="s">
        <v>157</v>
      </c>
      <c r="B164" s="59" t="s">
        <v>533</v>
      </c>
      <c r="C164" s="70">
        <v>3.4425323E10</v>
      </c>
      <c r="D164" s="86">
        <v>-0.11663128935967179</v>
      </c>
      <c r="E164" s="94">
        <v>41.28</v>
      </c>
      <c r="F164" s="94">
        <v>40.4</v>
      </c>
      <c r="G164" s="94">
        <v>41.79</v>
      </c>
      <c r="H164" s="59">
        <v>39.92</v>
      </c>
      <c r="I164" s="94">
        <v>53.58</v>
      </c>
      <c r="J164" s="59">
        <v>51.0</v>
      </c>
      <c r="K164" s="94">
        <v>199.95</v>
      </c>
      <c r="L164" s="94">
        <v>191.77</v>
      </c>
      <c r="M164" s="94">
        <v>299.92</v>
      </c>
      <c r="N164" s="59">
        <v>211.02</v>
      </c>
      <c r="O164" s="88">
        <v>-0.021782178217821847</v>
      </c>
      <c r="P164" s="95">
        <v>-0.046843687374749435</v>
      </c>
      <c r="Q164" s="88">
        <v>-0.050588235294117614</v>
      </c>
      <c r="R164" s="88">
        <v>-0.042655264118475145</v>
      </c>
      <c r="S164" s="88">
        <v>-0.42128708179319496</v>
      </c>
      <c r="T164" s="59"/>
      <c r="U164" s="59"/>
      <c r="V164" s="91"/>
      <c r="W164" s="91"/>
      <c r="X164" s="91"/>
      <c r="Y164" s="91"/>
      <c r="Z164" s="91"/>
      <c r="AA164" s="96"/>
      <c r="AB164" s="97"/>
      <c r="AC164" s="91"/>
      <c r="AD164" s="91"/>
      <c r="AE164" s="91"/>
      <c r="AF164" s="91"/>
    </row>
    <row r="165">
      <c r="A165" s="59" t="s">
        <v>534</v>
      </c>
      <c r="B165" s="59" t="s">
        <v>535</v>
      </c>
      <c r="C165" s="70">
        <v>3.4782806084E10</v>
      </c>
      <c r="D165" s="86">
        <v>-0.11672086761005349</v>
      </c>
      <c r="E165" s="94">
        <v>58.1</v>
      </c>
      <c r="F165" s="94">
        <v>54.24</v>
      </c>
      <c r="G165" s="94">
        <v>73.25</v>
      </c>
      <c r="H165" s="59">
        <v>65.31</v>
      </c>
      <c r="I165" s="94">
        <v>92.26</v>
      </c>
      <c r="J165" s="59">
        <v>83.67</v>
      </c>
      <c r="K165" s="94">
        <v>119.75</v>
      </c>
      <c r="L165" s="94">
        <v>116.84</v>
      </c>
      <c r="M165" s="94">
        <v>166.06</v>
      </c>
      <c r="N165" s="59">
        <v>131.45</v>
      </c>
      <c r="O165" s="88">
        <v>-0.07116519174041297</v>
      </c>
      <c r="P165" s="95">
        <v>-0.12157403154187717</v>
      </c>
      <c r="Q165" s="88">
        <v>-0.10266523246085817</v>
      </c>
      <c r="R165" s="88">
        <v>-0.024905854159534377</v>
      </c>
      <c r="S165" s="88">
        <v>-0.26329402814758474</v>
      </c>
      <c r="T165" s="59"/>
      <c r="U165" s="59"/>
      <c r="V165" s="91"/>
      <c r="W165" s="91"/>
      <c r="X165" s="91"/>
      <c r="Y165" s="91"/>
      <c r="Z165" s="91"/>
      <c r="AA165" s="96"/>
      <c r="AB165" s="97"/>
      <c r="AC165" s="91"/>
      <c r="AD165" s="91"/>
      <c r="AE165" s="91"/>
      <c r="AF165" s="91"/>
    </row>
    <row r="166">
      <c r="A166" s="59" t="s">
        <v>536</v>
      </c>
      <c r="B166" s="59" t="s">
        <v>537</v>
      </c>
      <c r="C166" s="70">
        <v>3.38333581525E11</v>
      </c>
      <c r="D166" s="86">
        <v>-0.11689863502412441</v>
      </c>
      <c r="E166" s="94">
        <v>17.63</v>
      </c>
      <c r="F166" s="94">
        <v>17.35</v>
      </c>
      <c r="G166" s="94">
        <v>22.32</v>
      </c>
      <c r="H166" s="59">
        <v>20.57</v>
      </c>
      <c r="I166" s="94">
        <v>20.85</v>
      </c>
      <c r="J166" s="59">
        <v>19.81</v>
      </c>
      <c r="K166" s="94">
        <v>71.19</v>
      </c>
      <c r="L166" s="94">
        <v>68.36</v>
      </c>
      <c r="M166" s="94">
        <v>211.2</v>
      </c>
      <c r="N166" s="59">
        <v>152.01</v>
      </c>
      <c r="O166" s="88">
        <v>-0.016138328530259226</v>
      </c>
      <c r="P166" s="95">
        <v>-0.0850753524550316</v>
      </c>
      <c r="Q166" s="88">
        <v>-0.05249873801110564</v>
      </c>
      <c r="R166" s="88">
        <v>-0.04139847864248096</v>
      </c>
      <c r="S166" s="88">
        <v>-0.38938227748174464</v>
      </c>
      <c r="T166" s="59"/>
      <c r="U166" s="59"/>
      <c r="V166" s="91"/>
      <c r="W166" s="91"/>
      <c r="X166" s="91"/>
      <c r="Y166" s="91"/>
      <c r="Z166" s="91"/>
      <c r="AA166" s="96"/>
      <c r="AB166" s="97"/>
      <c r="AC166" s="91"/>
      <c r="AD166" s="91"/>
      <c r="AE166" s="91"/>
      <c r="AF166" s="91"/>
    </row>
    <row r="167">
      <c r="A167" s="59" t="s">
        <v>538</v>
      </c>
      <c r="B167" s="59" t="s">
        <v>539</v>
      </c>
      <c r="C167" s="70">
        <v>2.0790138455E11</v>
      </c>
      <c r="D167" s="86">
        <v>-0.11754708343085281</v>
      </c>
      <c r="E167" s="94">
        <v>19.93</v>
      </c>
      <c r="F167" s="94">
        <v>19.01</v>
      </c>
      <c r="G167" s="94">
        <v>26.01</v>
      </c>
      <c r="H167" s="59">
        <v>23.41</v>
      </c>
      <c r="I167" s="94">
        <v>28.35</v>
      </c>
      <c r="J167" s="59">
        <v>26.02</v>
      </c>
      <c r="K167" s="94">
        <v>37.55</v>
      </c>
      <c r="L167" s="94">
        <v>36.08</v>
      </c>
      <c r="M167" s="94">
        <v>55.45</v>
      </c>
      <c r="N167" s="59">
        <v>42.72</v>
      </c>
      <c r="O167" s="88">
        <v>-0.048395581273014104</v>
      </c>
      <c r="P167" s="95">
        <v>-0.11106364801366943</v>
      </c>
      <c r="Q167" s="88">
        <v>-0.08954650269023835</v>
      </c>
      <c r="R167" s="88">
        <v>-0.04074279379157425</v>
      </c>
      <c r="S167" s="88">
        <v>-0.2979868913857679</v>
      </c>
      <c r="T167" s="59"/>
      <c r="U167" s="59"/>
      <c r="V167" s="91"/>
      <c r="W167" s="91"/>
      <c r="X167" s="91"/>
      <c r="Y167" s="91"/>
      <c r="Z167" s="91"/>
      <c r="AA167" s="96"/>
      <c r="AB167" s="97"/>
      <c r="AC167" s="91"/>
      <c r="AD167" s="91"/>
      <c r="AE167" s="91"/>
      <c r="AF167" s="91"/>
    </row>
    <row r="168">
      <c r="A168" s="59" t="s">
        <v>540</v>
      </c>
      <c r="B168" s="59" t="s">
        <v>541</v>
      </c>
      <c r="C168" s="70">
        <v>4.4879529622E10</v>
      </c>
      <c r="D168" s="86">
        <v>-0.11785110378103789</v>
      </c>
      <c r="E168" s="94">
        <v>4.75</v>
      </c>
      <c r="F168" s="94">
        <v>4.73</v>
      </c>
      <c r="G168" s="94">
        <v>8.82</v>
      </c>
      <c r="H168" s="59">
        <v>8.12</v>
      </c>
      <c r="I168" s="94">
        <v>11.4</v>
      </c>
      <c r="J168" s="59">
        <v>10.66</v>
      </c>
      <c r="K168" s="94">
        <v>23.31</v>
      </c>
      <c r="L168" s="94">
        <v>22.32</v>
      </c>
      <c r="M168" s="94">
        <v>76.51</v>
      </c>
      <c r="N168" s="59">
        <v>55.24</v>
      </c>
      <c r="O168" s="88">
        <v>-0.004228329809725068</v>
      </c>
      <c r="P168" s="95">
        <v>-0.08620689655172428</v>
      </c>
      <c r="Q168" s="88">
        <v>-0.06941838649155724</v>
      </c>
      <c r="R168" s="88">
        <v>-0.04435483870967735</v>
      </c>
      <c r="S168" s="88">
        <v>-0.3850470673425055</v>
      </c>
      <c r="T168" s="59"/>
      <c r="U168" s="59"/>
      <c r="V168" s="91"/>
      <c r="W168" s="91"/>
      <c r="X168" s="91"/>
      <c r="Y168" s="91"/>
      <c r="Z168" s="91"/>
      <c r="AA168" s="96"/>
      <c r="AB168" s="97"/>
      <c r="AC168" s="91"/>
      <c r="AD168" s="91"/>
      <c r="AE168" s="91"/>
      <c r="AF168" s="91"/>
    </row>
    <row r="169">
      <c r="A169" s="59" t="s">
        <v>161</v>
      </c>
      <c r="B169" s="59" t="s">
        <v>542</v>
      </c>
      <c r="C169" s="70">
        <v>7.4425219536E10</v>
      </c>
      <c r="D169" s="86">
        <v>-0.11854256306704176</v>
      </c>
      <c r="E169" s="94">
        <v>26.19</v>
      </c>
      <c r="F169" s="94">
        <v>26.23</v>
      </c>
      <c r="G169" s="94">
        <v>30.09</v>
      </c>
      <c r="H169" s="59">
        <v>27.74</v>
      </c>
      <c r="I169" s="94">
        <v>31.5</v>
      </c>
      <c r="J169" s="59">
        <v>30.18</v>
      </c>
      <c r="K169" s="94">
        <v>53.78</v>
      </c>
      <c r="L169" s="94">
        <v>51.67</v>
      </c>
      <c r="M169" s="94">
        <v>118.57</v>
      </c>
      <c r="N169" s="59">
        <v>83.21</v>
      </c>
      <c r="O169" s="88">
        <v>0.0015249714067860902</v>
      </c>
      <c r="P169" s="95">
        <v>-0.08471521268925744</v>
      </c>
      <c r="Q169" s="88">
        <v>-0.04373757455268391</v>
      </c>
      <c r="R169" s="88">
        <v>-0.04083607509192954</v>
      </c>
      <c r="S169" s="88">
        <v>-0.42494892440812404</v>
      </c>
      <c r="T169" s="59"/>
      <c r="U169" s="59"/>
      <c r="V169" s="91"/>
      <c r="W169" s="91"/>
      <c r="X169" s="91"/>
      <c r="Y169" s="91"/>
      <c r="Z169" s="91"/>
      <c r="AA169" s="96"/>
      <c r="AB169" s="97"/>
      <c r="AC169" s="91"/>
      <c r="AD169" s="91"/>
      <c r="AE169" s="91"/>
      <c r="AF169" s="91"/>
    </row>
    <row r="170">
      <c r="A170" s="59" t="s">
        <v>543</v>
      </c>
      <c r="B170" s="59" t="s">
        <v>544</v>
      </c>
      <c r="C170" s="70">
        <v>3.3019165971E10</v>
      </c>
      <c r="D170" s="86">
        <v>-0.11882135072895925</v>
      </c>
      <c r="E170" s="94">
        <v>5.51</v>
      </c>
      <c r="F170" s="94">
        <v>4.98</v>
      </c>
      <c r="G170" s="94">
        <v>4.44</v>
      </c>
      <c r="H170" s="59">
        <v>4.08</v>
      </c>
      <c r="I170" s="94">
        <v>5.6</v>
      </c>
      <c r="J170" s="59">
        <v>5.19</v>
      </c>
      <c r="K170" s="94">
        <v>18.16</v>
      </c>
      <c r="L170" s="94">
        <v>17.0</v>
      </c>
      <c r="M170" s="94">
        <v>73.58</v>
      </c>
      <c r="N170" s="59">
        <v>58.76</v>
      </c>
      <c r="O170" s="88">
        <v>-0.10642570281124485</v>
      </c>
      <c r="P170" s="95">
        <v>-0.08823529411764713</v>
      </c>
      <c r="Q170" s="88">
        <v>-0.07899807321772624</v>
      </c>
      <c r="R170" s="88">
        <v>-0.06823529411764706</v>
      </c>
      <c r="S170" s="88">
        <v>-0.252212389380531</v>
      </c>
      <c r="T170" s="59"/>
      <c r="U170" s="59"/>
      <c r="V170" s="91"/>
      <c r="W170" s="91"/>
      <c r="X170" s="91"/>
      <c r="Y170" s="91"/>
      <c r="Z170" s="91"/>
      <c r="AA170" s="96"/>
      <c r="AB170" s="97"/>
      <c r="AC170" s="91"/>
      <c r="AD170" s="91"/>
      <c r="AE170" s="91"/>
      <c r="AF170" s="91"/>
    </row>
    <row r="171">
      <c r="A171" s="59" t="s">
        <v>545</v>
      </c>
      <c r="B171" s="59" t="s">
        <v>546</v>
      </c>
      <c r="C171" s="70">
        <v>5.2506242315E10</v>
      </c>
      <c r="D171" s="86">
        <v>-0.11886775040563488</v>
      </c>
      <c r="E171" s="94">
        <v>18.1</v>
      </c>
      <c r="F171" s="94">
        <v>15.53</v>
      </c>
      <c r="G171" s="94">
        <v>23.37</v>
      </c>
      <c r="H171" s="59">
        <v>22.94</v>
      </c>
      <c r="I171" s="94">
        <v>22.03</v>
      </c>
      <c r="J171" s="59">
        <v>20.78</v>
      </c>
      <c r="K171" s="94">
        <v>47.34</v>
      </c>
      <c r="L171" s="94">
        <v>44.99</v>
      </c>
      <c r="M171" s="94">
        <v>96.2</v>
      </c>
      <c r="N171" s="59">
        <v>74.13</v>
      </c>
      <c r="O171" s="88">
        <v>-0.16548615582743093</v>
      </c>
      <c r="P171" s="95">
        <v>-0.018744551002615507</v>
      </c>
      <c r="Q171" s="88">
        <v>-0.06015399422521655</v>
      </c>
      <c r="R171" s="88">
        <v>-0.05223382973994224</v>
      </c>
      <c r="S171" s="88">
        <v>-0.2977202212329692</v>
      </c>
      <c r="T171" s="59"/>
      <c r="U171" s="59"/>
      <c r="V171" s="91"/>
      <c r="W171" s="91"/>
      <c r="X171" s="91"/>
      <c r="Y171" s="91"/>
      <c r="Z171" s="91"/>
      <c r="AA171" s="96"/>
      <c r="AB171" s="97"/>
      <c r="AC171" s="91"/>
      <c r="AD171" s="91"/>
      <c r="AE171" s="91"/>
      <c r="AF171" s="91"/>
    </row>
    <row r="172">
      <c r="A172" s="59" t="s">
        <v>163</v>
      </c>
      <c r="B172" s="59" t="s">
        <v>547</v>
      </c>
      <c r="C172" s="70">
        <v>2.0882061338E10</v>
      </c>
      <c r="D172" s="86">
        <v>-0.11925798895130468</v>
      </c>
      <c r="E172" s="94">
        <v>27.9</v>
      </c>
      <c r="F172" s="94">
        <v>25.14</v>
      </c>
      <c r="G172" s="94">
        <v>27.71</v>
      </c>
      <c r="H172" s="59">
        <v>24.95</v>
      </c>
      <c r="I172" s="94">
        <v>28.93</v>
      </c>
      <c r="J172" s="59">
        <v>27.97</v>
      </c>
      <c r="K172" s="94">
        <v>67.81</v>
      </c>
      <c r="L172" s="94">
        <v>65.94</v>
      </c>
      <c r="M172" s="94">
        <v>210.48</v>
      </c>
      <c r="N172" s="59">
        <v>160.28</v>
      </c>
      <c r="O172" s="88">
        <v>-0.10978520286396173</v>
      </c>
      <c r="P172" s="95">
        <v>-0.11062124248497</v>
      </c>
      <c r="Q172" s="88">
        <v>-0.03432248838040761</v>
      </c>
      <c r="R172" s="88">
        <v>-0.02835911434637556</v>
      </c>
      <c r="S172" s="88">
        <v>-0.3132018966808085</v>
      </c>
      <c r="T172" s="59"/>
      <c r="U172" s="59"/>
      <c r="V172" s="91"/>
      <c r="W172" s="91"/>
      <c r="X172" s="91"/>
      <c r="Y172" s="91"/>
      <c r="Z172" s="91"/>
      <c r="AA172" s="96"/>
      <c r="AB172" s="97"/>
      <c r="AC172" s="91"/>
      <c r="AD172" s="91"/>
      <c r="AE172" s="91"/>
      <c r="AF172" s="91"/>
    </row>
    <row r="173">
      <c r="A173" s="59" t="s">
        <v>548</v>
      </c>
      <c r="B173" s="59" t="s">
        <v>549</v>
      </c>
      <c r="C173" s="70">
        <v>8.390191789E9</v>
      </c>
      <c r="D173" s="86">
        <v>-0.11927216370603186</v>
      </c>
      <c r="E173" s="94">
        <v>24.96</v>
      </c>
      <c r="F173" s="94">
        <v>25.18</v>
      </c>
      <c r="G173" s="94">
        <v>27.99</v>
      </c>
      <c r="H173" s="59">
        <v>25.56</v>
      </c>
      <c r="I173" s="94">
        <v>24.13</v>
      </c>
      <c r="J173" s="59">
        <v>22.17</v>
      </c>
      <c r="K173" s="94">
        <v>54.01</v>
      </c>
      <c r="L173" s="94">
        <v>51.21</v>
      </c>
      <c r="M173" s="94">
        <v>59.38</v>
      </c>
      <c r="N173" s="59">
        <v>43.44</v>
      </c>
      <c r="O173" s="88">
        <v>0.008737092930897493</v>
      </c>
      <c r="P173" s="95">
        <v>-0.09507042253521127</v>
      </c>
      <c r="Q173" s="88">
        <v>-0.08840775823184471</v>
      </c>
      <c r="R173" s="88">
        <v>-0.054676820933411384</v>
      </c>
      <c r="S173" s="88">
        <v>-0.36694290976058946</v>
      </c>
      <c r="T173" s="59"/>
      <c r="U173" s="59"/>
      <c r="V173" s="91"/>
      <c r="W173" s="91"/>
      <c r="X173" s="91"/>
      <c r="Y173" s="91"/>
      <c r="Z173" s="91"/>
      <c r="AA173" s="96"/>
      <c r="AB173" s="97"/>
      <c r="AC173" s="91"/>
      <c r="AD173" s="91"/>
      <c r="AE173" s="91"/>
      <c r="AF173" s="91"/>
    </row>
    <row r="174">
      <c r="A174" s="59" t="s">
        <v>550</v>
      </c>
      <c r="B174" s="59" t="s">
        <v>551</v>
      </c>
      <c r="C174" s="70">
        <v>8.0472582253E10</v>
      </c>
      <c r="D174" s="86">
        <v>-0.11950627434104517</v>
      </c>
      <c r="E174" s="94">
        <v>32.01</v>
      </c>
      <c r="F174" s="94">
        <v>32.18</v>
      </c>
      <c r="G174" s="94">
        <v>24.57</v>
      </c>
      <c r="H174" s="59">
        <v>22.29</v>
      </c>
      <c r="I174" s="94">
        <v>28.27</v>
      </c>
      <c r="J174" s="59">
        <v>25.92</v>
      </c>
      <c r="K174" s="94">
        <v>55.32</v>
      </c>
      <c r="L174" s="94">
        <v>52.67</v>
      </c>
      <c r="M174" s="94">
        <v>119.45</v>
      </c>
      <c r="N174" s="59">
        <v>87.86</v>
      </c>
      <c r="O174" s="88">
        <v>0.00528278433809825</v>
      </c>
      <c r="P174" s="95">
        <v>-0.10228802153432037</v>
      </c>
      <c r="Q174" s="88">
        <v>-0.0906635802469135</v>
      </c>
      <c r="R174" s="88">
        <v>-0.050313271311942256</v>
      </c>
      <c r="S174" s="88">
        <v>-0.359549282950148</v>
      </c>
      <c r="T174" s="59"/>
      <c r="U174" s="59"/>
      <c r="V174" s="91"/>
      <c r="W174" s="91"/>
      <c r="X174" s="91"/>
      <c r="Y174" s="91"/>
      <c r="Z174" s="91"/>
      <c r="AA174" s="96"/>
      <c r="AB174" s="97"/>
      <c r="AC174" s="91"/>
      <c r="AD174" s="91"/>
      <c r="AE174" s="91"/>
      <c r="AF174" s="91"/>
    </row>
    <row r="175">
      <c r="A175" s="59" t="s">
        <v>552</v>
      </c>
      <c r="B175" s="59" t="s">
        <v>553</v>
      </c>
      <c r="C175" s="70">
        <v>9.158544509E9</v>
      </c>
      <c r="D175" s="86">
        <v>-0.11971063171815226</v>
      </c>
      <c r="E175" s="94">
        <v>10.01</v>
      </c>
      <c r="F175" s="94">
        <v>7.99</v>
      </c>
      <c r="G175" s="94">
        <v>16.4</v>
      </c>
      <c r="H175" s="59">
        <v>15.14</v>
      </c>
      <c r="I175" s="94">
        <v>25.72</v>
      </c>
      <c r="J175" s="59">
        <v>23.41</v>
      </c>
      <c r="K175" s="94">
        <v>93.96</v>
      </c>
      <c r="L175" s="94">
        <v>89.61</v>
      </c>
      <c r="M175" s="94">
        <v>347.18</v>
      </c>
      <c r="N175" s="59">
        <v>311.29</v>
      </c>
      <c r="O175" s="88">
        <v>-0.25281602002503123</v>
      </c>
      <c r="P175" s="95">
        <v>-0.08322324966974888</v>
      </c>
      <c r="Q175" s="88">
        <v>-0.09867577958137543</v>
      </c>
      <c r="R175" s="88">
        <v>-0.048543689320388286</v>
      </c>
      <c r="S175" s="88">
        <v>-0.11529441999421756</v>
      </c>
      <c r="T175" s="59"/>
      <c r="U175" s="59"/>
      <c r="V175" s="91"/>
      <c r="W175" s="91"/>
      <c r="X175" s="91"/>
      <c r="Y175" s="91"/>
      <c r="Z175" s="91"/>
      <c r="AA175" s="96"/>
      <c r="AB175" s="97"/>
      <c r="AC175" s="91"/>
      <c r="AD175" s="91"/>
      <c r="AE175" s="91"/>
      <c r="AF175" s="91"/>
    </row>
    <row r="176">
      <c r="A176" s="59" t="s">
        <v>554</v>
      </c>
      <c r="B176" s="59" t="s">
        <v>555</v>
      </c>
      <c r="C176" s="70">
        <v>7.665488008E9</v>
      </c>
      <c r="D176" s="86">
        <v>-0.12002059807889735</v>
      </c>
      <c r="E176" s="94">
        <v>34.17</v>
      </c>
      <c r="F176" s="94">
        <v>36.35</v>
      </c>
      <c r="G176" s="94">
        <v>38.17</v>
      </c>
      <c r="H176" s="59">
        <v>35.14</v>
      </c>
      <c r="I176" s="94">
        <v>40.01</v>
      </c>
      <c r="J176" s="59">
        <v>37.98</v>
      </c>
      <c r="K176" s="94">
        <v>63.27</v>
      </c>
      <c r="L176" s="94">
        <v>61.69</v>
      </c>
      <c r="M176" s="94">
        <v>101.81</v>
      </c>
      <c r="N176" s="59">
        <v>68.11</v>
      </c>
      <c r="O176" s="88">
        <v>0.05997248968363135</v>
      </c>
      <c r="P176" s="95">
        <v>-0.08622652248150259</v>
      </c>
      <c r="Q176" s="88">
        <v>-0.05344918378093737</v>
      </c>
      <c r="R176" s="88">
        <v>-0.025611930620846254</v>
      </c>
      <c r="S176" s="88">
        <v>-0.49478784319483193</v>
      </c>
      <c r="T176" s="59"/>
      <c r="U176" s="59"/>
      <c r="V176" s="91"/>
      <c r="W176" s="91"/>
      <c r="X176" s="91"/>
      <c r="Y176" s="91"/>
      <c r="Z176" s="91"/>
      <c r="AA176" s="96"/>
      <c r="AB176" s="97"/>
      <c r="AC176" s="91"/>
      <c r="AD176" s="91"/>
      <c r="AE176" s="91"/>
      <c r="AF176" s="91"/>
    </row>
    <row r="177">
      <c r="A177" s="59" t="s">
        <v>165</v>
      </c>
      <c r="B177" s="59" t="s">
        <v>556</v>
      </c>
      <c r="C177" s="70">
        <v>1.46917698E11</v>
      </c>
      <c r="D177" s="86">
        <v>-0.12039705864803192</v>
      </c>
      <c r="E177" s="94">
        <v>42.19</v>
      </c>
      <c r="F177" s="94">
        <v>38.08</v>
      </c>
      <c r="G177" s="94">
        <v>33.59</v>
      </c>
      <c r="H177" s="59">
        <v>32.42</v>
      </c>
      <c r="I177" s="94">
        <v>25.62</v>
      </c>
      <c r="J177" s="59">
        <v>23.91</v>
      </c>
      <c r="K177" s="94">
        <v>78.87</v>
      </c>
      <c r="L177" s="94">
        <v>74.27</v>
      </c>
      <c r="M177" s="94">
        <v>378.85</v>
      </c>
      <c r="N177" s="59">
        <v>286.03</v>
      </c>
      <c r="O177" s="88">
        <v>-0.10793067226890755</v>
      </c>
      <c r="P177" s="95">
        <v>-0.03608883405305372</v>
      </c>
      <c r="Q177" s="88">
        <v>-0.07151819322459226</v>
      </c>
      <c r="R177" s="88">
        <v>-0.06193617880705546</v>
      </c>
      <c r="S177" s="88">
        <v>-0.32451141488655055</v>
      </c>
      <c r="T177" s="59"/>
      <c r="U177" s="59"/>
      <c r="V177" s="91"/>
      <c r="W177" s="91"/>
      <c r="X177" s="91"/>
      <c r="Y177" s="91"/>
      <c r="Z177" s="91"/>
      <c r="AA177" s="96"/>
      <c r="AB177" s="97"/>
      <c r="AC177" s="91"/>
      <c r="AD177" s="91"/>
      <c r="AE177" s="91"/>
      <c r="AF177" s="91"/>
    </row>
    <row r="178">
      <c r="A178" s="59" t="s">
        <v>167</v>
      </c>
      <c r="B178" s="59" t="s">
        <v>557</v>
      </c>
      <c r="C178" s="70">
        <v>1.36548645319E11</v>
      </c>
      <c r="D178" s="86">
        <v>-0.12152849725162684</v>
      </c>
      <c r="E178" s="94">
        <v>45.69</v>
      </c>
      <c r="F178" s="94">
        <v>43.71</v>
      </c>
      <c r="G178" s="94">
        <v>46.18</v>
      </c>
      <c r="H178" s="59">
        <v>41.43</v>
      </c>
      <c r="I178" s="94">
        <v>45.68</v>
      </c>
      <c r="J178" s="59">
        <v>42.16</v>
      </c>
      <c r="K178" s="94">
        <v>94.13</v>
      </c>
      <c r="L178" s="94">
        <v>90.7</v>
      </c>
      <c r="M178" s="94">
        <v>179.42</v>
      </c>
      <c r="N178" s="59">
        <v>135.27</v>
      </c>
      <c r="O178" s="88">
        <v>-0.045298558682223676</v>
      </c>
      <c r="P178" s="95">
        <v>-0.1146512189234854</v>
      </c>
      <c r="Q178" s="88">
        <v>-0.08349146110056935</v>
      </c>
      <c r="R178" s="88">
        <v>-0.0378169790518191</v>
      </c>
      <c r="S178" s="88">
        <v>-0.32638426850003677</v>
      </c>
      <c r="T178" s="59"/>
      <c r="U178" s="59"/>
      <c r="V178" s="91"/>
      <c r="W178" s="91"/>
      <c r="X178" s="91"/>
      <c r="Y178" s="91"/>
      <c r="Z178" s="91"/>
      <c r="AA178" s="96"/>
      <c r="AB178" s="97"/>
      <c r="AC178" s="91"/>
      <c r="AD178" s="91"/>
      <c r="AE178" s="91"/>
      <c r="AF178" s="91"/>
    </row>
    <row r="179">
      <c r="A179" s="59" t="s">
        <v>558</v>
      </c>
      <c r="B179" s="59" t="s">
        <v>559</v>
      </c>
      <c r="C179" s="70">
        <v>3.9950997226E10</v>
      </c>
      <c r="D179" s="86">
        <v>-0.12251408625861249</v>
      </c>
      <c r="E179" s="94">
        <v>21.2</v>
      </c>
      <c r="F179" s="94">
        <v>20.35</v>
      </c>
      <c r="G179" s="94">
        <v>20.23</v>
      </c>
      <c r="H179" s="59">
        <v>18.98</v>
      </c>
      <c r="I179" s="94">
        <v>21.43</v>
      </c>
      <c r="J179" s="59">
        <v>19.58</v>
      </c>
      <c r="K179" s="94">
        <v>33.67</v>
      </c>
      <c r="L179" s="94">
        <v>32.43</v>
      </c>
      <c r="M179" s="94">
        <v>41.99</v>
      </c>
      <c r="N179" s="59">
        <v>30.6</v>
      </c>
      <c r="O179" s="88">
        <v>-0.041769041769041663</v>
      </c>
      <c r="P179" s="95">
        <v>-0.06585879873551106</v>
      </c>
      <c r="Q179" s="88">
        <v>-0.09448416751787546</v>
      </c>
      <c r="R179" s="88">
        <v>-0.03823620104841203</v>
      </c>
      <c r="S179" s="88">
        <v>-0.37222222222222223</v>
      </c>
      <c r="T179" s="59"/>
      <c r="U179" s="59"/>
      <c r="V179" s="91"/>
      <c r="W179" s="91"/>
      <c r="X179" s="91"/>
      <c r="Y179" s="91"/>
      <c r="Z179" s="91"/>
      <c r="AA179" s="96"/>
      <c r="AB179" s="97"/>
      <c r="AC179" s="91"/>
      <c r="AD179" s="91"/>
      <c r="AE179" s="91"/>
      <c r="AF179" s="91"/>
    </row>
    <row r="180">
      <c r="A180" s="59" t="s">
        <v>169</v>
      </c>
      <c r="B180" s="59" t="s">
        <v>560</v>
      </c>
      <c r="C180" s="70">
        <v>1.86788055832E11</v>
      </c>
      <c r="D180" s="86">
        <v>-0.12293851006148807</v>
      </c>
      <c r="E180" s="94">
        <v>22.28</v>
      </c>
      <c r="F180" s="94">
        <v>22.38</v>
      </c>
      <c r="G180" s="94">
        <v>27.54</v>
      </c>
      <c r="H180" s="59">
        <v>24.71</v>
      </c>
      <c r="I180" s="94">
        <v>14.94</v>
      </c>
      <c r="J180" s="59">
        <v>13.94</v>
      </c>
      <c r="K180" s="94">
        <v>26.47</v>
      </c>
      <c r="L180" s="94">
        <v>25.19</v>
      </c>
      <c r="M180" s="94">
        <v>46.59</v>
      </c>
      <c r="N180" s="59">
        <v>33.71</v>
      </c>
      <c r="O180" s="88">
        <v>0.004468275245755044</v>
      </c>
      <c r="P180" s="95">
        <v>-0.11452853095912578</v>
      </c>
      <c r="Q180" s="88">
        <v>-0.07173601147776183</v>
      </c>
      <c r="R180" s="88">
        <v>-0.050813815005954645</v>
      </c>
      <c r="S180" s="88">
        <v>-0.38208246811035307</v>
      </c>
      <c r="T180" s="59"/>
      <c r="U180" s="59"/>
      <c r="V180" s="91"/>
      <c r="W180" s="91"/>
      <c r="X180" s="91"/>
      <c r="Y180" s="91"/>
      <c r="Z180" s="91"/>
      <c r="AA180" s="96"/>
      <c r="AB180" s="97"/>
      <c r="AC180" s="91"/>
      <c r="AD180" s="91"/>
      <c r="AE180" s="91"/>
      <c r="AF180" s="91"/>
    </row>
    <row r="181">
      <c r="A181" s="59" t="s">
        <v>171</v>
      </c>
      <c r="B181" s="59" t="s">
        <v>561</v>
      </c>
      <c r="C181" s="70">
        <v>1.26684718544E11</v>
      </c>
      <c r="D181" s="86">
        <v>-0.12328277789085074</v>
      </c>
      <c r="E181" s="94">
        <v>4.27</v>
      </c>
      <c r="F181" s="94">
        <v>4.02</v>
      </c>
      <c r="G181" s="94">
        <v>14.57</v>
      </c>
      <c r="H181" s="59">
        <v>13.01</v>
      </c>
      <c r="I181" s="94">
        <v>34.44</v>
      </c>
      <c r="J181" s="59">
        <v>32.38</v>
      </c>
      <c r="K181" s="94">
        <v>103.96</v>
      </c>
      <c r="L181" s="94">
        <v>96.88</v>
      </c>
      <c r="M181" s="94">
        <v>387.78</v>
      </c>
      <c r="N181" s="59">
        <v>298.84</v>
      </c>
      <c r="O181" s="88">
        <v>-0.06218905472636817</v>
      </c>
      <c r="P181" s="95">
        <v>-0.11990776325903156</v>
      </c>
      <c r="Q181" s="88">
        <v>-0.063619518221124</v>
      </c>
      <c r="R181" s="88">
        <v>-0.07308009909165977</v>
      </c>
      <c r="S181" s="88">
        <v>-0.29761745415607016</v>
      </c>
      <c r="T181" s="59"/>
      <c r="U181" s="59"/>
      <c r="V181" s="91"/>
      <c r="W181" s="91"/>
      <c r="X181" s="91"/>
      <c r="Y181" s="91"/>
      <c r="Z181" s="91"/>
      <c r="AA181" s="96"/>
      <c r="AB181" s="97"/>
      <c r="AC181" s="91"/>
      <c r="AD181" s="91"/>
      <c r="AE181" s="91"/>
      <c r="AF181" s="91"/>
    </row>
    <row r="182">
      <c r="A182" s="59" t="s">
        <v>562</v>
      </c>
      <c r="B182" s="59" t="s">
        <v>563</v>
      </c>
      <c r="C182" s="70">
        <v>8.609119376E9</v>
      </c>
      <c r="D182" s="86">
        <v>-0.1241573099600363</v>
      </c>
      <c r="E182" s="94">
        <v>30.79</v>
      </c>
      <c r="F182" s="94">
        <v>30.23</v>
      </c>
      <c r="G182" s="94">
        <v>71.08</v>
      </c>
      <c r="H182" s="59">
        <v>63.33</v>
      </c>
      <c r="I182" s="94">
        <v>82.94</v>
      </c>
      <c r="J182" s="59">
        <v>75.26</v>
      </c>
      <c r="K182" s="94">
        <v>122.51</v>
      </c>
      <c r="L182" s="94">
        <v>117.47</v>
      </c>
      <c r="M182" s="94">
        <v>127.7</v>
      </c>
      <c r="N182" s="59">
        <v>95.66</v>
      </c>
      <c r="O182" s="88">
        <v>-0.018524644392987056</v>
      </c>
      <c r="P182" s="95">
        <v>-0.12237486183483341</v>
      </c>
      <c r="Q182" s="88">
        <v>-0.10204623970236502</v>
      </c>
      <c r="R182" s="88">
        <v>-0.04290457137992684</v>
      </c>
      <c r="S182" s="88">
        <v>-0.3349362324900691</v>
      </c>
      <c r="T182" s="59"/>
      <c r="U182" s="59"/>
      <c r="V182" s="91"/>
      <c r="W182" s="91"/>
      <c r="X182" s="91"/>
      <c r="Y182" s="91"/>
      <c r="Z182" s="91"/>
      <c r="AA182" s="96"/>
      <c r="AB182" s="97"/>
      <c r="AC182" s="91"/>
      <c r="AD182" s="91"/>
      <c r="AE182" s="91"/>
      <c r="AF182" s="91"/>
    </row>
    <row r="183">
      <c r="A183" s="59" t="s">
        <v>564</v>
      </c>
      <c r="B183" s="59" t="s">
        <v>565</v>
      </c>
      <c r="C183" s="70">
        <v>3.7586734673E10</v>
      </c>
      <c r="D183" s="86">
        <v>-0.12469012621415576</v>
      </c>
      <c r="E183" s="94">
        <v>26.55</v>
      </c>
      <c r="F183" s="94">
        <v>24.5</v>
      </c>
      <c r="G183" s="94">
        <v>34.76</v>
      </c>
      <c r="H183" s="59">
        <v>32.43</v>
      </c>
      <c r="I183" s="94">
        <v>32.97</v>
      </c>
      <c r="J183" s="59">
        <v>30.36</v>
      </c>
      <c r="K183" s="94">
        <v>61.35</v>
      </c>
      <c r="L183" s="94">
        <v>58.18</v>
      </c>
      <c r="M183" s="94">
        <v>327.09</v>
      </c>
      <c r="N183" s="59">
        <v>246.4</v>
      </c>
      <c r="O183" s="88">
        <v>-0.08367346938775513</v>
      </c>
      <c r="P183" s="95">
        <v>-0.0718470551958063</v>
      </c>
      <c r="Q183" s="88">
        <v>-0.0859683794466403</v>
      </c>
      <c r="R183" s="88">
        <v>-0.05448607768992784</v>
      </c>
      <c r="S183" s="88">
        <v>-0.3274756493506492</v>
      </c>
      <c r="T183" s="59"/>
      <c r="U183" s="59"/>
      <c r="V183" s="91"/>
      <c r="W183" s="91"/>
      <c r="X183" s="91"/>
      <c r="Y183" s="91"/>
      <c r="Z183" s="91"/>
      <c r="AA183" s="96"/>
      <c r="AB183" s="97"/>
      <c r="AC183" s="91"/>
      <c r="AD183" s="91"/>
      <c r="AE183" s="91"/>
      <c r="AF183" s="91"/>
    </row>
    <row r="184">
      <c r="A184" s="59" t="s">
        <v>175</v>
      </c>
      <c r="B184" s="59" t="s">
        <v>566</v>
      </c>
      <c r="C184" s="70">
        <v>1.01181662966E11</v>
      </c>
      <c r="D184" s="86">
        <v>-0.12474436343190343</v>
      </c>
      <c r="E184" s="94">
        <v>44.5</v>
      </c>
      <c r="F184" s="94">
        <v>44.29</v>
      </c>
      <c r="G184" s="94">
        <v>43.67</v>
      </c>
      <c r="H184" s="59">
        <v>41.56</v>
      </c>
      <c r="I184" s="94">
        <v>48.4</v>
      </c>
      <c r="J184" s="59">
        <v>45.65</v>
      </c>
      <c r="K184" s="94">
        <v>79.23</v>
      </c>
      <c r="L184" s="94">
        <v>76.28</v>
      </c>
      <c r="M184" s="94">
        <v>179.93</v>
      </c>
      <c r="N184" s="59">
        <v>122.46</v>
      </c>
      <c r="O184" s="88">
        <v>-0.004741476631293765</v>
      </c>
      <c r="P184" s="95">
        <v>-0.05076997112608275</v>
      </c>
      <c r="Q184" s="88">
        <v>-0.060240963855421686</v>
      </c>
      <c r="R184" s="88">
        <v>-0.038673308862087086</v>
      </c>
      <c r="S184" s="88">
        <v>-0.46929609668463185</v>
      </c>
      <c r="T184" s="59"/>
      <c r="U184" s="59"/>
      <c r="V184" s="91"/>
      <c r="W184" s="91"/>
      <c r="X184" s="91"/>
      <c r="Y184" s="91"/>
      <c r="Z184" s="91"/>
      <c r="AA184" s="96"/>
      <c r="AB184" s="97"/>
      <c r="AC184" s="91"/>
      <c r="AD184" s="91"/>
      <c r="AE184" s="91"/>
      <c r="AF184" s="91"/>
    </row>
    <row r="185">
      <c r="A185" s="59" t="s">
        <v>567</v>
      </c>
      <c r="B185" s="59" t="s">
        <v>568</v>
      </c>
      <c r="C185" s="70">
        <v>1.3767529815E10</v>
      </c>
      <c r="D185" s="86">
        <v>-0.12491397596100873</v>
      </c>
      <c r="E185" s="94">
        <v>36.17</v>
      </c>
      <c r="F185" s="94">
        <v>34.41</v>
      </c>
      <c r="G185" s="94">
        <v>38.89</v>
      </c>
      <c r="H185" s="59">
        <v>36.25</v>
      </c>
      <c r="I185" s="94">
        <v>69.91</v>
      </c>
      <c r="J185" s="59">
        <v>63.8</v>
      </c>
      <c r="K185" s="94">
        <v>162.42</v>
      </c>
      <c r="L185" s="94">
        <v>157.5</v>
      </c>
      <c r="M185" s="94">
        <v>356.35</v>
      </c>
      <c r="N185" s="59">
        <v>259.43</v>
      </c>
      <c r="O185" s="88">
        <v>-0.051147922115664206</v>
      </c>
      <c r="P185" s="95">
        <v>-0.07282758620689657</v>
      </c>
      <c r="Q185" s="88">
        <v>-0.0957680250783699</v>
      </c>
      <c r="R185" s="88">
        <v>-0.03123809523809516</v>
      </c>
      <c r="S185" s="88">
        <v>-0.37358825116601785</v>
      </c>
      <c r="T185" s="59"/>
      <c r="U185" s="59"/>
      <c r="V185" s="91"/>
      <c r="W185" s="91"/>
      <c r="X185" s="91"/>
      <c r="Y185" s="91"/>
      <c r="Z185" s="91"/>
      <c r="AA185" s="96"/>
      <c r="AB185" s="97"/>
      <c r="AC185" s="91"/>
      <c r="AD185" s="91"/>
      <c r="AE185" s="91"/>
      <c r="AF185" s="91"/>
    </row>
    <row r="186">
      <c r="A186" s="59" t="s">
        <v>569</v>
      </c>
      <c r="B186" s="59" t="s">
        <v>570</v>
      </c>
      <c r="C186" s="70">
        <v>1.17320308377E11</v>
      </c>
      <c r="D186" s="86">
        <v>-0.1250313321587863</v>
      </c>
      <c r="E186" s="94">
        <v>63.5</v>
      </c>
      <c r="F186" s="94">
        <v>61.21</v>
      </c>
      <c r="G186" s="94">
        <v>61.32</v>
      </c>
      <c r="H186" s="59">
        <v>56.38</v>
      </c>
      <c r="I186" s="94">
        <v>72.66</v>
      </c>
      <c r="J186" s="59">
        <v>67.05</v>
      </c>
      <c r="K186" s="94">
        <v>83.29</v>
      </c>
      <c r="L186" s="94">
        <v>80.77</v>
      </c>
      <c r="M186" s="94">
        <v>166.3</v>
      </c>
      <c r="N186" s="59">
        <v>120.05</v>
      </c>
      <c r="O186" s="88">
        <v>-0.03741218755105374</v>
      </c>
      <c r="P186" s="95">
        <v>-0.08761972330613689</v>
      </c>
      <c r="Q186" s="88">
        <v>-0.08366890380313198</v>
      </c>
      <c r="R186" s="88">
        <v>-0.03119970285997289</v>
      </c>
      <c r="S186" s="88">
        <v>-0.3852561432736361</v>
      </c>
      <c r="T186" s="59"/>
      <c r="U186" s="59"/>
      <c r="V186" s="91"/>
      <c r="W186" s="91"/>
      <c r="X186" s="91"/>
      <c r="Y186" s="91"/>
      <c r="Z186" s="91"/>
      <c r="AA186" s="96"/>
      <c r="AB186" s="97"/>
      <c r="AC186" s="91"/>
      <c r="AD186" s="91"/>
      <c r="AE186" s="91"/>
      <c r="AF186" s="91"/>
    </row>
    <row r="187">
      <c r="A187" s="59" t="s">
        <v>571</v>
      </c>
      <c r="B187" s="59" t="s">
        <v>572</v>
      </c>
      <c r="C187" s="70">
        <v>3.3989670191E10</v>
      </c>
      <c r="D187" s="86">
        <v>-0.12508154739827715</v>
      </c>
      <c r="E187" s="94">
        <v>44.59</v>
      </c>
      <c r="F187" s="94">
        <v>44.38</v>
      </c>
      <c r="G187" s="94">
        <v>33.04</v>
      </c>
      <c r="H187" s="59">
        <v>31.8</v>
      </c>
      <c r="I187" s="94">
        <v>26.29</v>
      </c>
      <c r="J187" s="59">
        <v>24.57</v>
      </c>
      <c r="K187" s="94">
        <v>61.25</v>
      </c>
      <c r="L187" s="94">
        <v>58.39</v>
      </c>
      <c r="M187" s="94">
        <v>124.3</v>
      </c>
      <c r="N187" s="59">
        <v>84.98</v>
      </c>
      <c r="O187" s="88">
        <v>-0.0047318611987381895</v>
      </c>
      <c r="P187" s="95">
        <v>-0.03899371069182385</v>
      </c>
      <c r="Q187" s="88">
        <v>-0.07000407000406995</v>
      </c>
      <c r="R187" s="88">
        <v>-0.04898098989553005</v>
      </c>
      <c r="S187" s="88">
        <v>-0.4626971052012237</v>
      </c>
      <c r="T187" s="59"/>
      <c r="U187" s="59"/>
      <c r="V187" s="91"/>
      <c r="W187" s="91"/>
      <c r="X187" s="91"/>
      <c r="Y187" s="91"/>
      <c r="Z187" s="91"/>
      <c r="AA187" s="96"/>
      <c r="AB187" s="97"/>
      <c r="AC187" s="91"/>
      <c r="AD187" s="91"/>
      <c r="AE187" s="91"/>
      <c r="AF187" s="91"/>
    </row>
    <row r="188">
      <c r="A188" s="59" t="s">
        <v>573</v>
      </c>
      <c r="B188" s="59" t="s">
        <v>574</v>
      </c>
      <c r="C188" s="70">
        <v>1.7920224745E10</v>
      </c>
      <c r="D188" s="86">
        <v>-0.1253437474795866</v>
      </c>
      <c r="E188" s="94">
        <v>37.15</v>
      </c>
      <c r="F188" s="94">
        <v>38.62</v>
      </c>
      <c r="G188" s="94">
        <v>37.7</v>
      </c>
      <c r="H188" s="59">
        <v>34.04</v>
      </c>
      <c r="I188" s="94">
        <v>42.44</v>
      </c>
      <c r="J188" s="59">
        <v>39.16</v>
      </c>
      <c r="K188" s="94">
        <v>76.18</v>
      </c>
      <c r="L188" s="94">
        <v>74.73</v>
      </c>
      <c r="M188" s="94">
        <v>109.61</v>
      </c>
      <c r="N188" s="59">
        <v>75.38</v>
      </c>
      <c r="O188" s="88">
        <v>0.03806317969963747</v>
      </c>
      <c r="P188" s="95">
        <v>-0.10752056404230328</v>
      </c>
      <c r="Q188" s="88">
        <v>-0.083758937691522</v>
      </c>
      <c r="R188" s="88">
        <v>-0.01940318479860836</v>
      </c>
      <c r="S188" s="88">
        <v>-0.45409923056513674</v>
      </c>
      <c r="T188" s="59"/>
      <c r="U188" s="59"/>
      <c r="V188" s="91"/>
      <c r="W188" s="91"/>
      <c r="X188" s="91"/>
      <c r="Y188" s="91"/>
      <c r="Z188" s="91"/>
      <c r="AA188" s="96"/>
      <c r="AB188" s="97"/>
      <c r="AC188" s="91"/>
      <c r="AD188" s="91"/>
      <c r="AE188" s="91"/>
      <c r="AF188" s="91"/>
    </row>
    <row r="189">
      <c r="A189" s="59" t="s">
        <v>575</v>
      </c>
      <c r="B189" s="59" t="s">
        <v>576</v>
      </c>
      <c r="C189" s="70">
        <v>1.1938945441E10</v>
      </c>
      <c r="D189" s="86">
        <v>-0.12542357537815244</v>
      </c>
      <c r="E189" s="94">
        <v>23.38</v>
      </c>
      <c r="F189" s="94">
        <v>22.88</v>
      </c>
      <c r="G189" s="94">
        <v>25.39</v>
      </c>
      <c r="H189" s="59">
        <v>23.33</v>
      </c>
      <c r="I189" s="94">
        <v>24.87</v>
      </c>
      <c r="J189" s="59">
        <v>22.6</v>
      </c>
      <c r="K189" s="94">
        <v>68.83</v>
      </c>
      <c r="L189" s="94">
        <v>66.14</v>
      </c>
      <c r="M189" s="94">
        <v>236.0</v>
      </c>
      <c r="N189" s="59">
        <v>171.53</v>
      </c>
      <c r="O189" s="88">
        <v>-0.021853146853146856</v>
      </c>
      <c r="P189" s="95">
        <v>-0.08829832833261905</v>
      </c>
      <c r="Q189" s="88">
        <v>-0.10044247787610618</v>
      </c>
      <c r="R189" s="88">
        <v>-0.04067130329603867</v>
      </c>
      <c r="S189" s="88">
        <v>-0.3758526205328514</v>
      </c>
      <c r="T189" s="59"/>
      <c r="U189" s="59"/>
      <c r="V189" s="91"/>
      <c r="W189" s="91"/>
      <c r="X189" s="91"/>
      <c r="Y189" s="91"/>
      <c r="Z189" s="91"/>
      <c r="AA189" s="96"/>
      <c r="AB189" s="97"/>
      <c r="AC189" s="91"/>
      <c r="AD189" s="91"/>
      <c r="AE189" s="91"/>
      <c r="AF189" s="91"/>
    </row>
    <row r="190">
      <c r="A190" s="59" t="s">
        <v>177</v>
      </c>
      <c r="B190" s="59" t="s">
        <v>577</v>
      </c>
      <c r="C190" s="70">
        <v>4.4523196032E10</v>
      </c>
      <c r="D190" s="86">
        <v>-0.12546185827598028</v>
      </c>
      <c r="E190" s="94">
        <v>20.55</v>
      </c>
      <c r="F190" s="94">
        <v>20.06</v>
      </c>
      <c r="G190" s="94">
        <v>22.9</v>
      </c>
      <c r="H190" s="59">
        <v>21.33</v>
      </c>
      <c r="I190" s="94">
        <v>22.54</v>
      </c>
      <c r="J190" s="59">
        <v>21.58</v>
      </c>
      <c r="K190" s="94">
        <v>47.52</v>
      </c>
      <c r="L190" s="94">
        <v>45.7</v>
      </c>
      <c r="M190" s="94">
        <v>162.92</v>
      </c>
      <c r="N190" s="59">
        <v>112.75</v>
      </c>
      <c r="O190" s="88">
        <v>-0.024426719840478665</v>
      </c>
      <c r="P190" s="95">
        <v>-0.07360525082044071</v>
      </c>
      <c r="Q190" s="88">
        <v>-0.04448563484708067</v>
      </c>
      <c r="R190" s="88">
        <v>-0.03982494529540482</v>
      </c>
      <c r="S190" s="88">
        <v>-0.44496674057649654</v>
      </c>
      <c r="T190" s="59"/>
      <c r="U190" s="59"/>
      <c r="V190" s="91"/>
      <c r="W190" s="91"/>
      <c r="X190" s="91"/>
      <c r="Y190" s="91"/>
      <c r="Z190" s="91"/>
      <c r="AA190" s="96"/>
      <c r="AB190" s="97"/>
      <c r="AC190" s="91"/>
      <c r="AD190" s="91"/>
      <c r="AE190" s="91"/>
      <c r="AF190" s="91"/>
    </row>
    <row r="191">
      <c r="A191" s="59" t="s">
        <v>578</v>
      </c>
      <c r="B191" s="59" t="s">
        <v>579</v>
      </c>
      <c r="C191" s="70">
        <v>5.5919959342E10</v>
      </c>
      <c r="D191" s="86">
        <v>-0.12546237053832415</v>
      </c>
      <c r="E191" s="94">
        <v>80.17</v>
      </c>
      <c r="F191" s="94">
        <v>78.56</v>
      </c>
      <c r="G191" s="94">
        <v>71.2</v>
      </c>
      <c r="H191" s="59">
        <v>65.62</v>
      </c>
      <c r="I191" s="94">
        <v>76.04</v>
      </c>
      <c r="J191" s="59">
        <v>71.42</v>
      </c>
      <c r="K191" s="94">
        <v>127.11</v>
      </c>
      <c r="L191" s="94">
        <v>122.33</v>
      </c>
      <c r="M191" s="94">
        <v>255.74</v>
      </c>
      <c r="N191" s="59">
        <v>180.35</v>
      </c>
      <c r="O191" s="88">
        <v>-0.02049389002036659</v>
      </c>
      <c r="P191" s="95">
        <v>-0.08503505028954583</v>
      </c>
      <c r="Q191" s="88">
        <v>-0.06468776253150384</v>
      </c>
      <c r="R191" s="88">
        <v>-0.039074634186217615</v>
      </c>
      <c r="S191" s="88">
        <v>-0.4180205156639868</v>
      </c>
      <c r="T191" s="59"/>
      <c r="U191" s="59"/>
      <c r="V191" s="91"/>
      <c r="W191" s="91"/>
      <c r="X191" s="91"/>
      <c r="Y191" s="91"/>
      <c r="Z191" s="91"/>
      <c r="AA191" s="96"/>
      <c r="AB191" s="97"/>
      <c r="AC191" s="91"/>
      <c r="AD191" s="91"/>
      <c r="AE191" s="91"/>
      <c r="AF191" s="91"/>
    </row>
    <row r="192">
      <c r="A192" s="59" t="s">
        <v>179</v>
      </c>
      <c r="B192" s="59" t="s">
        <v>580</v>
      </c>
      <c r="C192" s="70">
        <v>1.09116031E12</v>
      </c>
      <c r="D192" s="86">
        <v>-0.12651891791457642</v>
      </c>
      <c r="E192" s="94">
        <v>11.26</v>
      </c>
      <c r="F192" s="94">
        <v>10.85</v>
      </c>
      <c r="G192" s="94">
        <v>13.27</v>
      </c>
      <c r="H192" s="59">
        <v>12.33</v>
      </c>
      <c r="I192" s="94">
        <v>14.48</v>
      </c>
      <c r="J192" s="59">
        <v>13.65</v>
      </c>
      <c r="K192" s="94">
        <v>32.2</v>
      </c>
      <c r="L192" s="94">
        <v>30.91</v>
      </c>
      <c r="M192" s="94">
        <v>75.97</v>
      </c>
      <c r="N192" s="59">
        <v>53.65</v>
      </c>
      <c r="O192" s="88">
        <v>-0.037788018433179735</v>
      </c>
      <c r="P192" s="95">
        <v>-0.07623682076236817</v>
      </c>
      <c r="Q192" s="88">
        <v>-0.06080586080586081</v>
      </c>
      <c r="R192" s="88">
        <v>-0.04173406664509876</v>
      </c>
      <c r="S192" s="88">
        <v>-0.4160298229263747</v>
      </c>
      <c r="T192" s="59"/>
      <c r="U192" s="59"/>
      <c r="V192" s="91"/>
      <c r="W192" s="91"/>
      <c r="X192" s="91"/>
      <c r="Y192" s="91"/>
      <c r="Z192" s="91"/>
      <c r="AA192" s="96"/>
      <c r="AB192" s="97"/>
      <c r="AC192" s="91"/>
      <c r="AD192" s="91"/>
      <c r="AE192" s="91"/>
      <c r="AF192" s="91"/>
    </row>
    <row r="193">
      <c r="A193" s="59" t="s">
        <v>581</v>
      </c>
      <c r="B193" s="59" t="s">
        <v>582</v>
      </c>
      <c r="C193" s="70">
        <v>4.7874506165E10</v>
      </c>
      <c r="D193" s="86">
        <v>-0.1268997790867557</v>
      </c>
      <c r="E193" s="94">
        <v>25.51</v>
      </c>
      <c r="F193" s="94">
        <v>26.81</v>
      </c>
      <c r="G193" s="94">
        <v>33.07</v>
      </c>
      <c r="H193" s="59">
        <v>29.27</v>
      </c>
      <c r="I193" s="94">
        <v>47.74</v>
      </c>
      <c r="J193" s="59">
        <v>43.75</v>
      </c>
      <c r="K193" s="94">
        <v>79.83</v>
      </c>
      <c r="L193" s="94">
        <v>76.56</v>
      </c>
      <c r="M193" s="94">
        <v>211.44</v>
      </c>
      <c r="N193" s="59">
        <v>148.98</v>
      </c>
      <c r="O193" s="88">
        <v>0.0484893696381946</v>
      </c>
      <c r="P193" s="95">
        <v>-0.12982576016399047</v>
      </c>
      <c r="Q193" s="88">
        <v>-0.09120000000000004</v>
      </c>
      <c r="R193" s="88">
        <v>-0.04271159874608145</v>
      </c>
      <c r="S193" s="88">
        <v>-0.419250906161901</v>
      </c>
      <c r="T193" s="59"/>
      <c r="U193" s="59"/>
      <c r="V193" s="91"/>
      <c r="W193" s="91"/>
      <c r="X193" s="91"/>
      <c r="Y193" s="91"/>
      <c r="Z193" s="91"/>
      <c r="AA193" s="96"/>
      <c r="AB193" s="97"/>
      <c r="AC193" s="91"/>
      <c r="AD193" s="91"/>
      <c r="AE193" s="91"/>
      <c r="AF193" s="91"/>
    </row>
    <row r="194">
      <c r="A194" s="59" t="s">
        <v>583</v>
      </c>
      <c r="B194" s="59" t="s">
        <v>584</v>
      </c>
      <c r="C194" s="70">
        <v>3.3618693303E10</v>
      </c>
      <c r="D194" s="86">
        <v>-0.12717584623167547</v>
      </c>
      <c r="E194" s="94">
        <v>26.33</v>
      </c>
      <c r="F194" s="94">
        <v>27.26</v>
      </c>
      <c r="G194" s="94">
        <v>30.97</v>
      </c>
      <c r="H194" s="59">
        <v>28.48</v>
      </c>
      <c r="I194" s="94">
        <v>36.46</v>
      </c>
      <c r="J194" s="59">
        <v>34.39</v>
      </c>
      <c r="K194" s="94">
        <v>57.31</v>
      </c>
      <c r="L194" s="94">
        <v>55.5</v>
      </c>
      <c r="M194" s="94">
        <v>104.03</v>
      </c>
      <c r="N194" s="59">
        <v>69.83</v>
      </c>
      <c r="O194" s="88">
        <v>0.03411592076302286</v>
      </c>
      <c r="P194" s="95">
        <v>-0.08742977528089882</v>
      </c>
      <c r="Q194" s="88">
        <v>-0.06019191625472522</v>
      </c>
      <c r="R194" s="88">
        <v>-0.032612612612612654</v>
      </c>
      <c r="S194" s="88">
        <v>-0.4897608477731635</v>
      </c>
      <c r="T194" s="59"/>
      <c r="U194" s="59"/>
      <c r="V194" s="91"/>
      <c r="W194" s="91"/>
      <c r="X194" s="91"/>
      <c r="Y194" s="91"/>
      <c r="Z194" s="91"/>
      <c r="AA194" s="96"/>
      <c r="AB194" s="97"/>
      <c r="AC194" s="91"/>
      <c r="AD194" s="91"/>
      <c r="AE194" s="91"/>
      <c r="AF194" s="91"/>
    </row>
    <row r="195">
      <c r="A195" s="59" t="s">
        <v>181</v>
      </c>
      <c r="B195" s="59" t="s">
        <v>585</v>
      </c>
      <c r="C195" s="70">
        <v>2.7400734315E10</v>
      </c>
      <c r="D195" s="86">
        <v>-0.12722002295564064</v>
      </c>
      <c r="E195" s="94">
        <v>10.94</v>
      </c>
      <c r="F195" s="94">
        <v>11.51</v>
      </c>
      <c r="G195" s="94">
        <v>9.02</v>
      </c>
      <c r="H195" s="59">
        <v>8.68</v>
      </c>
      <c r="I195" s="94">
        <v>10.1</v>
      </c>
      <c r="J195" s="59">
        <v>9.4</v>
      </c>
      <c r="K195" s="94">
        <v>17.3</v>
      </c>
      <c r="L195" s="94">
        <v>16.74</v>
      </c>
      <c r="M195" s="94">
        <v>102.42</v>
      </c>
      <c r="N195" s="59">
        <v>66.57</v>
      </c>
      <c r="O195" s="88">
        <v>0.04952215464813208</v>
      </c>
      <c r="P195" s="95">
        <v>-0.03917050691244238</v>
      </c>
      <c r="Q195" s="88">
        <v>-0.0744680851063829</v>
      </c>
      <c r="R195" s="88">
        <v>-0.03345280764635617</v>
      </c>
      <c r="S195" s="88">
        <v>-0.5385308697611538</v>
      </c>
      <c r="T195" s="59"/>
      <c r="U195" s="59"/>
      <c r="V195" s="91"/>
      <c r="W195" s="91"/>
      <c r="X195" s="91"/>
      <c r="Y195" s="91"/>
      <c r="Z195" s="91"/>
      <c r="AA195" s="96"/>
      <c r="AB195" s="97"/>
      <c r="AC195" s="91"/>
      <c r="AD195" s="91"/>
      <c r="AE195" s="91"/>
      <c r="AF195" s="91"/>
    </row>
    <row r="196">
      <c r="A196" s="59" t="s">
        <v>183</v>
      </c>
      <c r="B196" s="59" t="s">
        <v>586</v>
      </c>
      <c r="C196" s="70">
        <v>1.9088934115E10</v>
      </c>
      <c r="D196" s="86">
        <v>-0.12730179894192079</v>
      </c>
      <c r="E196" s="94">
        <v>42.49</v>
      </c>
      <c r="F196" s="94">
        <v>41.24</v>
      </c>
      <c r="G196" s="94">
        <v>45.42</v>
      </c>
      <c r="H196" s="59">
        <v>42.86</v>
      </c>
      <c r="I196" s="94">
        <v>49.48</v>
      </c>
      <c r="J196" s="59">
        <v>46.03</v>
      </c>
      <c r="K196" s="94">
        <v>90.92</v>
      </c>
      <c r="L196" s="94">
        <v>85.63</v>
      </c>
      <c r="M196" s="94">
        <v>290.9</v>
      </c>
      <c r="N196" s="59">
        <v>206.35</v>
      </c>
      <c r="O196" s="88">
        <v>-0.03031037827352085</v>
      </c>
      <c r="P196" s="95">
        <v>-0.05972935137657495</v>
      </c>
      <c r="Q196" s="88">
        <v>-0.07495111883554194</v>
      </c>
      <c r="R196" s="88">
        <v>-0.06177741445755</v>
      </c>
      <c r="S196" s="88">
        <v>-0.40974073176641623</v>
      </c>
      <c r="T196" s="59"/>
      <c r="U196" s="59"/>
      <c r="V196" s="91"/>
      <c r="W196" s="91"/>
      <c r="X196" s="91"/>
      <c r="Y196" s="91"/>
      <c r="Z196" s="91"/>
      <c r="AA196" s="96"/>
      <c r="AB196" s="97"/>
      <c r="AC196" s="91"/>
      <c r="AD196" s="91"/>
      <c r="AE196" s="91"/>
      <c r="AF196" s="91"/>
    </row>
    <row r="197">
      <c r="A197" s="59" t="s">
        <v>587</v>
      </c>
      <c r="B197" s="59" t="s">
        <v>588</v>
      </c>
      <c r="C197" s="70">
        <v>4.0634766144E10</v>
      </c>
      <c r="D197" s="86">
        <v>-0.12777990504616957</v>
      </c>
      <c r="E197" s="94">
        <v>36.56</v>
      </c>
      <c r="F197" s="94">
        <v>30.6</v>
      </c>
      <c r="G197" s="94">
        <v>28.4</v>
      </c>
      <c r="H197" s="59">
        <v>26.4</v>
      </c>
      <c r="I197" s="94">
        <v>42.13</v>
      </c>
      <c r="J197" s="59">
        <v>39.44</v>
      </c>
      <c r="K197" s="94">
        <v>62.45</v>
      </c>
      <c r="L197" s="94">
        <v>60.79</v>
      </c>
      <c r="M197" s="94">
        <v>184.87</v>
      </c>
      <c r="N197" s="59">
        <v>145.24</v>
      </c>
      <c r="O197" s="88">
        <v>-0.1947712418300654</v>
      </c>
      <c r="P197" s="95">
        <v>-0.07575757575757576</v>
      </c>
      <c r="Q197" s="88">
        <v>-0.06820486815415834</v>
      </c>
      <c r="R197" s="88">
        <v>-0.02730712288205303</v>
      </c>
      <c r="S197" s="88">
        <v>-0.2728587166069953</v>
      </c>
      <c r="T197" s="59"/>
      <c r="U197" s="59"/>
      <c r="V197" s="91"/>
      <c r="W197" s="91"/>
      <c r="X197" s="91"/>
      <c r="Y197" s="91"/>
      <c r="Z197" s="91"/>
      <c r="AA197" s="96"/>
      <c r="AB197" s="97"/>
      <c r="AC197" s="91"/>
      <c r="AD197" s="91"/>
      <c r="AE197" s="91"/>
      <c r="AF197" s="91"/>
    </row>
    <row r="198">
      <c r="A198" s="59" t="s">
        <v>589</v>
      </c>
      <c r="B198" s="59" t="s">
        <v>590</v>
      </c>
      <c r="C198" s="70">
        <v>1.4906268957E10</v>
      </c>
      <c r="D198" s="86">
        <v>-0.12793535578810336</v>
      </c>
      <c r="E198" s="94">
        <v>41.42</v>
      </c>
      <c r="F198" s="94">
        <v>39.23</v>
      </c>
      <c r="G198" s="94">
        <v>43.56</v>
      </c>
      <c r="H198" s="59">
        <v>39.22</v>
      </c>
      <c r="I198" s="94">
        <v>42.39</v>
      </c>
      <c r="J198" s="59">
        <v>39.69</v>
      </c>
      <c r="K198" s="94">
        <v>68.91</v>
      </c>
      <c r="L198" s="94">
        <v>66.8</v>
      </c>
      <c r="M198" s="94">
        <v>78.61</v>
      </c>
      <c r="N198" s="59">
        <v>57.23</v>
      </c>
      <c r="O198" s="88">
        <v>-0.05582462401223566</v>
      </c>
      <c r="P198" s="95">
        <v>-0.1106578276389598</v>
      </c>
      <c r="Q198" s="88">
        <v>-0.06802721088435382</v>
      </c>
      <c r="R198" s="88">
        <v>-0.031586826347305384</v>
      </c>
      <c r="S198" s="88">
        <v>-0.37358029005766213</v>
      </c>
      <c r="T198" s="59"/>
      <c r="U198" s="59"/>
      <c r="V198" s="91"/>
      <c r="W198" s="91"/>
      <c r="X198" s="91"/>
      <c r="Y198" s="91"/>
      <c r="Z198" s="91"/>
      <c r="AA198" s="96"/>
      <c r="AB198" s="97"/>
      <c r="AC198" s="91"/>
      <c r="AD198" s="91"/>
      <c r="AE198" s="91"/>
      <c r="AF198" s="91"/>
    </row>
    <row r="199">
      <c r="A199" s="59" t="s">
        <v>591</v>
      </c>
      <c r="B199" s="59" t="s">
        <v>592</v>
      </c>
      <c r="C199" s="70">
        <v>1.06530228E10</v>
      </c>
      <c r="D199" s="86">
        <v>-0.12825811796841308</v>
      </c>
      <c r="E199" s="94">
        <v>14.74</v>
      </c>
      <c r="F199" s="94">
        <v>13.17</v>
      </c>
      <c r="G199" s="94">
        <v>18.95</v>
      </c>
      <c r="H199" s="59">
        <v>17.75</v>
      </c>
      <c r="I199" s="94">
        <v>12.06</v>
      </c>
      <c r="J199" s="59">
        <v>10.88</v>
      </c>
      <c r="K199" s="94">
        <v>48.72</v>
      </c>
      <c r="L199" s="94">
        <v>47.62</v>
      </c>
      <c r="M199" s="94">
        <v>54.2</v>
      </c>
      <c r="N199" s="59">
        <v>40.97</v>
      </c>
      <c r="O199" s="88">
        <v>-0.11921032649962038</v>
      </c>
      <c r="P199" s="95">
        <v>-0.06760563380281687</v>
      </c>
      <c r="Q199" s="88">
        <v>-0.10845588235294114</v>
      </c>
      <c r="R199" s="88">
        <v>-0.023099538009239848</v>
      </c>
      <c r="S199" s="88">
        <v>-0.32291920917744704</v>
      </c>
      <c r="T199" s="59"/>
      <c r="U199" s="59"/>
      <c r="V199" s="91"/>
      <c r="W199" s="91"/>
      <c r="X199" s="91"/>
      <c r="Y199" s="91"/>
      <c r="Z199" s="91"/>
      <c r="AA199" s="96"/>
      <c r="AB199" s="97"/>
      <c r="AC199" s="91"/>
      <c r="AD199" s="91"/>
      <c r="AE199" s="91"/>
      <c r="AF199" s="91"/>
    </row>
    <row r="200">
      <c r="A200" s="59" t="s">
        <v>593</v>
      </c>
      <c r="B200" s="59" t="s">
        <v>594</v>
      </c>
      <c r="C200" s="70">
        <v>2.3821612084E10</v>
      </c>
      <c r="D200" s="86">
        <v>-0.12880043585335763</v>
      </c>
      <c r="E200" s="94">
        <v>15.61</v>
      </c>
      <c r="F200" s="94">
        <v>14.93</v>
      </c>
      <c r="G200" s="94">
        <v>15.56</v>
      </c>
      <c r="H200" s="59">
        <v>15.05</v>
      </c>
      <c r="I200" s="94">
        <v>19.47</v>
      </c>
      <c r="J200" s="59">
        <v>17.84</v>
      </c>
      <c r="K200" s="94">
        <v>76.53</v>
      </c>
      <c r="L200" s="94">
        <v>72.22</v>
      </c>
      <c r="M200" s="94">
        <v>115.4</v>
      </c>
      <c r="N200" s="59">
        <v>81.64</v>
      </c>
      <c r="O200" s="88">
        <v>-0.045545880776959126</v>
      </c>
      <c r="P200" s="95">
        <v>-0.033887043189368755</v>
      </c>
      <c r="Q200" s="88">
        <v>-0.09136771300448425</v>
      </c>
      <c r="R200" s="88">
        <v>-0.059678759346441464</v>
      </c>
      <c r="S200" s="88">
        <v>-0.4135227829495346</v>
      </c>
      <c r="T200" s="59"/>
      <c r="U200" s="59"/>
      <c r="V200" s="91"/>
      <c r="W200" s="91"/>
      <c r="X200" s="91"/>
      <c r="Y200" s="91"/>
      <c r="Z200" s="91"/>
      <c r="AA200" s="96"/>
      <c r="AB200" s="97"/>
      <c r="AC200" s="91"/>
      <c r="AD200" s="91"/>
      <c r="AE200" s="91"/>
      <c r="AF200" s="91"/>
    </row>
    <row r="201">
      <c r="A201" s="59" t="s">
        <v>595</v>
      </c>
      <c r="B201" s="59" t="s">
        <v>596</v>
      </c>
      <c r="C201" s="70">
        <v>1.4037565459E10</v>
      </c>
      <c r="D201" s="86">
        <v>-0.12943614489990732</v>
      </c>
      <c r="E201" s="94">
        <v>22.19</v>
      </c>
      <c r="F201" s="94">
        <v>22.56</v>
      </c>
      <c r="G201" s="94">
        <v>23.92</v>
      </c>
      <c r="H201" s="59">
        <v>22.29</v>
      </c>
      <c r="I201" s="94">
        <v>24.12</v>
      </c>
      <c r="J201" s="59">
        <v>22.76</v>
      </c>
      <c r="K201" s="94">
        <v>38.68</v>
      </c>
      <c r="L201" s="94">
        <v>37.15</v>
      </c>
      <c r="M201" s="94">
        <v>73.88</v>
      </c>
      <c r="N201" s="59">
        <v>49.6</v>
      </c>
      <c r="O201" s="88">
        <v>0.016400709219858044</v>
      </c>
      <c r="P201" s="95">
        <v>-0.07312696276357122</v>
      </c>
      <c r="Q201" s="88">
        <v>-0.05975395430579962</v>
      </c>
      <c r="R201" s="88">
        <v>-0.04118438761776585</v>
      </c>
      <c r="S201" s="88">
        <v>-0.48951612903225794</v>
      </c>
      <c r="T201" s="59"/>
      <c r="U201" s="59"/>
      <c r="V201" s="91"/>
      <c r="W201" s="91"/>
      <c r="X201" s="91"/>
      <c r="Y201" s="91"/>
      <c r="Z201" s="91"/>
      <c r="AA201" s="96"/>
      <c r="AB201" s="97"/>
      <c r="AC201" s="91"/>
      <c r="AD201" s="91"/>
      <c r="AE201" s="91"/>
      <c r="AF201" s="91"/>
    </row>
    <row r="202">
      <c r="A202" s="59" t="s">
        <v>597</v>
      </c>
      <c r="B202" s="59" t="s">
        <v>598</v>
      </c>
      <c r="C202" s="70">
        <v>6.1128464469E10</v>
      </c>
      <c r="D202" s="86">
        <v>-0.1295087852885777</v>
      </c>
      <c r="E202" s="94">
        <v>12.26</v>
      </c>
      <c r="F202" s="94">
        <v>13.2</v>
      </c>
      <c r="G202" s="94">
        <v>6.86</v>
      </c>
      <c r="H202" s="59">
        <v>6.38</v>
      </c>
      <c r="I202" s="94">
        <v>6.49</v>
      </c>
      <c r="J202" s="59">
        <v>6.0</v>
      </c>
      <c r="K202" s="94">
        <v>16.35</v>
      </c>
      <c r="L202" s="94">
        <v>15.85</v>
      </c>
      <c r="M202" s="94">
        <v>42.16</v>
      </c>
      <c r="N202" s="59">
        <v>27.55</v>
      </c>
      <c r="O202" s="88">
        <v>0.07121212121212118</v>
      </c>
      <c r="P202" s="95">
        <v>-0.07523510971786841</v>
      </c>
      <c r="Q202" s="88">
        <v>-0.0816666666666667</v>
      </c>
      <c r="R202" s="88">
        <v>-0.03154574132492125</v>
      </c>
      <c r="S202" s="88">
        <v>-0.5303085299455533</v>
      </c>
      <c r="T202" s="59"/>
      <c r="U202" s="59"/>
      <c r="V202" s="91"/>
      <c r="W202" s="91"/>
      <c r="X202" s="91"/>
      <c r="Y202" s="91"/>
      <c r="Z202" s="91"/>
      <c r="AA202" s="96"/>
      <c r="AB202" s="97"/>
      <c r="AC202" s="91"/>
      <c r="AD202" s="91"/>
      <c r="AE202" s="91"/>
      <c r="AF202" s="91"/>
    </row>
    <row r="203">
      <c r="A203" s="59" t="s">
        <v>185</v>
      </c>
      <c r="B203" s="59" t="s">
        <v>599</v>
      </c>
      <c r="C203" s="70">
        <v>4.3488815481E10</v>
      </c>
      <c r="D203" s="86">
        <v>-0.1295782087728207</v>
      </c>
      <c r="E203" s="94">
        <v>30.71</v>
      </c>
      <c r="F203" s="94">
        <v>32.27</v>
      </c>
      <c r="G203" s="94">
        <v>27.48</v>
      </c>
      <c r="H203" s="59">
        <v>25.54</v>
      </c>
      <c r="I203" s="94">
        <v>29.58</v>
      </c>
      <c r="J203" s="59">
        <v>27.25</v>
      </c>
      <c r="K203" s="94">
        <v>84.87</v>
      </c>
      <c r="L203" s="94">
        <v>81.53</v>
      </c>
      <c r="M203" s="94">
        <v>302.51</v>
      </c>
      <c r="N203" s="59">
        <v>202.51</v>
      </c>
      <c r="O203" s="88">
        <v>0.04834211341803539</v>
      </c>
      <c r="P203" s="95">
        <v>-0.07595927956147225</v>
      </c>
      <c r="Q203" s="88">
        <v>-0.08550458715596324</v>
      </c>
      <c r="R203" s="88">
        <v>-0.040966515393106875</v>
      </c>
      <c r="S203" s="88">
        <v>-0.4938027751715965</v>
      </c>
      <c r="T203" s="59"/>
      <c r="U203" s="59"/>
      <c r="V203" s="91"/>
      <c r="W203" s="91"/>
      <c r="X203" s="91"/>
      <c r="Y203" s="91"/>
      <c r="Z203" s="91"/>
      <c r="AA203" s="96"/>
      <c r="AB203" s="97"/>
      <c r="AC203" s="91"/>
      <c r="AD203" s="91"/>
      <c r="AE203" s="91"/>
      <c r="AF203" s="91"/>
    </row>
    <row r="204">
      <c r="A204" s="59" t="s">
        <v>600</v>
      </c>
      <c r="B204" s="59" t="s">
        <v>601</v>
      </c>
      <c r="C204" s="70">
        <v>3.03084450715E11</v>
      </c>
      <c r="D204" s="86">
        <v>-0.1297916723724251</v>
      </c>
      <c r="E204" s="94">
        <v>28.57</v>
      </c>
      <c r="F204" s="94">
        <v>28.5</v>
      </c>
      <c r="G204" s="94">
        <v>35.87</v>
      </c>
      <c r="H204" s="59">
        <v>33.43</v>
      </c>
      <c r="I204" s="94">
        <v>30.74</v>
      </c>
      <c r="J204" s="59">
        <v>28.93</v>
      </c>
      <c r="K204" s="94">
        <v>116.16</v>
      </c>
      <c r="L204" s="94">
        <v>112.54</v>
      </c>
      <c r="M204" s="94">
        <v>243.94</v>
      </c>
      <c r="N204" s="59">
        <v>164.96</v>
      </c>
      <c r="O204" s="88">
        <v>-0.002456140350877203</v>
      </c>
      <c r="P204" s="95">
        <v>-0.07298833383188746</v>
      </c>
      <c r="Q204" s="88">
        <v>-0.06256481161424123</v>
      </c>
      <c r="R204" s="88">
        <v>-0.032166340856584236</v>
      </c>
      <c r="S204" s="88">
        <v>-0.4787827352085353</v>
      </c>
      <c r="T204" s="59"/>
      <c r="U204" s="59"/>
      <c r="V204" s="91"/>
      <c r="W204" s="91"/>
      <c r="X204" s="91"/>
      <c r="Y204" s="91"/>
      <c r="Z204" s="91"/>
      <c r="AA204" s="96"/>
      <c r="AB204" s="97"/>
      <c r="AC204" s="91"/>
      <c r="AD204" s="91"/>
      <c r="AE204" s="91"/>
      <c r="AF204" s="91"/>
    </row>
    <row r="205">
      <c r="A205" s="59" t="s">
        <v>187</v>
      </c>
      <c r="B205" s="59" t="s">
        <v>602</v>
      </c>
      <c r="C205" s="70">
        <v>4.6816830868E10</v>
      </c>
      <c r="D205" s="86">
        <v>-0.130449447101401</v>
      </c>
      <c r="E205" s="94" t="e">
        <v>#N/A</v>
      </c>
      <c r="F205" s="94" t="e">
        <v>#N/A</v>
      </c>
      <c r="G205" s="94" t="e">
        <v>#N/A</v>
      </c>
      <c r="H205" s="59" t="e">
        <v>#N/A</v>
      </c>
      <c r="I205" s="94" t="e">
        <v>#N/A</v>
      </c>
      <c r="J205" s="59" t="e">
        <v>#N/A</v>
      </c>
      <c r="K205" s="94">
        <v>72.27</v>
      </c>
      <c r="L205" s="94">
        <v>70.87</v>
      </c>
      <c r="M205" s="94">
        <v>27.33</v>
      </c>
      <c r="N205" s="59">
        <v>22.02</v>
      </c>
      <c r="O205" s="88" t="e">
        <v>#N/A</v>
      </c>
      <c r="P205" s="95" t="e">
        <v>#N/A</v>
      </c>
      <c r="Q205" s="88" t="e">
        <v>#N/A</v>
      </c>
      <c r="R205" s="88">
        <v>-0.0197544800338647</v>
      </c>
      <c r="S205" s="88">
        <v>-0.24114441416893728</v>
      </c>
      <c r="T205" s="59"/>
      <c r="U205" s="59"/>
      <c r="V205" s="91"/>
      <c r="W205" s="91"/>
      <c r="X205" s="91"/>
      <c r="Y205" s="91"/>
      <c r="Z205" s="91"/>
      <c r="AA205" s="96"/>
      <c r="AB205" s="97"/>
      <c r="AC205" s="91"/>
      <c r="AD205" s="91"/>
      <c r="AE205" s="91"/>
      <c r="AF205" s="91"/>
    </row>
    <row r="206">
      <c r="A206" s="59" t="s">
        <v>603</v>
      </c>
      <c r="B206" s="59" t="s">
        <v>604</v>
      </c>
      <c r="C206" s="70">
        <v>1.0485765964E10</v>
      </c>
      <c r="D206" s="86">
        <v>-0.13045037888879724</v>
      </c>
      <c r="E206" s="94">
        <v>6.39</v>
      </c>
      <c r="F206" s="94">
        <v>6.33</v>
      </c>
      <c r="G206" s="94">
        <v>6.55</v>
      </c>
      <c r="H206" s="59">
        <v>6.04</v>
      </c>
      <c r="I206" s="94">
        <v>7.68</v>
      </c>
      <c r="J206" s="59">
        <v>7.18</v>
      </c>
      <c r="K206" s="94">
        <v>17.28</v>
      </c>
      <c r="L206" s="94">
        <v>16.52</v>
      </c>
      <c r="M206" s="94">
        <v>30.21</v>
      </c>
      <c r="N206" s="59">
        <v>20.94</v>
      </c>
      <c r="O206" s="88">
        <v>-0.009478672985781929</v>
      </c>
      <c r="P206" s="95">
        <v>-0.08443708609271519</v>
      </c>
      <c r="Q206" s="88">
        <v>-0.06963788300835655</v>
      </c>
      <c r="R206" s="88">
        <v>-0.046004842615012205</v>
      </c>
      <c r="S206" s="88">
        <v>-0.4426934097421203</v>
      </c>
      <c r="T206" s="59"/>
      <c r="U206" s="59"/>
      <c r="V206" s="91"/>
      <c r="W206" s="91"/>
      <c r="X206" s="91"/>
      <c r="Y206" s="91"/>
      <c r="Z206" s="91"/>
      <c r="AA206" s="96"/>
      <c r="AB206" s="97"/>
      <c r="AC206" s="91"/>
      <c r="AD206" s="91"/>
      <c r="AE206" s="91"/>
      <c r="AF206" s="91"/>
    </row>
    <row r="207">
      <c r="A207" s="59" t="s">
        <v>605</v>
      </c>
      <c r="B207" s="59" t="s">
        <v>606</v>
      </c>
      <c r="C207" s="70">
        <v>1.0672675659E10</v>
      </c>
      <c r="D207" s="86">
        <v>-0.13054769380355574</v>
      </c>
      <c r="E207" s="94">
        <v>60.66</v>
      </c>
      <c r="F207" s="94">
        <v>61.73</v>
      </c>
      <c r="G207" s="94">
        <v>41.96</v>
      </c>
      <c r="H207" s="59">
        <v>38.94</v>
      </c>
      <c r="I207" s="94">
        <v>37.63</v>
      </c>
      <c r="J207" s="59">
        <v>34.11</v>
      </c>
      <c r="K207" s="94">
        <v>61.97</v>
      </c>
      <c r="L207" s="94">
        <v>58.47</v>
      </c>
      <c r="M207" s="94">
        <v>64.24</v>
      </c>
      <c r="N207" s="59">
        <v>44.94</v>
      </c>
      <c r="O207" s="88">
        <v>0.017333549327717485</v>
      </c>
      <c r="P207" s="95">
        <v>-0.07755521314843357</v>
      </c>
      <c r="Q207" s="88">
        <v>-0.1031955438287893</v>
      </c>
      <c r="R207" s="88">
        <v>-0.05985975714041389</v>
      </c>
      <c r="S207" s="88">
        <v>-0.42946150422785934</v>
      </c>
      <c r="T207" s="59"/>
      <c r="U207" s="59"/>
      <c r="V207" s="91"/>
      <c r="W207" s="91"/>
      <c r="X207" s="91"/>
      <c r="Y207" s="91"/>
      <c r="Z207" s="91"/>
      <c r="AA207" s="96"/>
      <c r="AB207" s="97"/>
      <c r="AC207" s="91"/>
      <c r="AD207" s="91"/>
      <c r="AE207" s="91"/>
      <c r="AF207" s="91"/>
    </row>
    <row r="208">
      <c r="A208" s="59" t="s">
        <v>607</v>
      </c>
      <c r="B208" s="59" t="s">
        <v>608</v>
      </c>
      <c r="C208" s="70">
        <v>1.16619909577E11</v>
      </c>
      <c r="D208" s="86">
        <v>-0.13092431660809972</v>
      </c>
      <c r="E208" s="94">
        <v>53.78</v>
      </c>
      <c r="F208" s="94">
        <v>53.23</v>
      </c>
      <c r="G208" s="94">
        <v>44.13</v>
      </c>
      <c r="H208" s="59">
        <v>41.25</v>
      </c>
      <c r="I208" s="94">
        <v>33.31</v>
      </c>
      <c r="J208" s="59">
        <v>31.07</v>
      </c>
      <c r="K208" s="94">
        <v>74.27</v>
      </c>
      <c r="L208" s="94">
        <v>70.91</v>
      </c>
      <c r="M208" s="94">
        <v>112.66</v>
      </c>
      <c r="N208" s="59">
        <v>77.43</v>
      </c>
      <c r="O208" s="88">
        <v>-0.010332519256058693</v>
      </c>
      <c r="P208" s="95">
        <v>-0.06981818181818188</v>
      </c>
      <c r="Q208" s="88">
        <v>-0.07209526874798848</v>
      </c>
      <c r="R208" s="88">
        <v>-0.04738400789733464</v>
      </c>
      <c r="S208" s="88">
        <v>-0.45499160532093486</v>
      </c>
      <c r="T208" s="59"/>
      <c r="U208" s="59"/>
      <c r="V208" s="91"/>
      <c r="W208" s="91"/>
      <c r="X208" s="91"/>
      <c r="Y208" s="91"/>
      <c r="Z208" s="91"/>
      <c r="AA208" s="96"/>
      <c r="AB208" s="97"/>
      <c r="AC208" s="91"/>
      <c r="AD208" s="91"/>
      <c r="AE208" s="91"/>
      <c r="AF208" s="91"/>
    </row>
    <row r="209">
      <c r="A209" s="59" t="s">
        <v>609</v>
      </c>
      <c r="B209" s="59" t="s">
        <v>610</v>
      </c>
      <c r="C209" s="70">
        <v>2.1933199028E10</v>
      </c>
      <c r="D209" s="86">
        <v>-0.1312727466328821</v>
      </c>
      <c r="E209" s="94">
        <v>15.61</v>
      </c>
      <c r="F209" s="94">
        <v>16.05</v>
      </c>
      <c r="G209" s="94">
        <v>13.4</v>
      </c>
      <c r="H209" s="59">
        <v>12.39</v>
      </c>
      <c r="I209" s="94">
        <v>8.47</v>
      </c>
      <c r="J209" s="59">
        <v>8.08</v>
      </c>
      <c r="K209" s="94">
        <v>37.91</v>
      </c>
      <c r="L209" s="94">
        <v>37.21</v>
      </c>
      <c r="M209" s="94">
        <v>57.6</v>
      </c>
      <c r="N209" s="59">
        <v>37.52</v>
      </c>
      <c r="O209" s="88">
        <v>0.027414330218068616</v>
      </c>
      <c r="P209" s="95">
        <v>-0.08151735270379336</v>
      </c>
      <c r="Q209" s="88">
        <v>-0.04826732673267334</v>
      </c>
      <c r="R209" s="88">
        <v>-0.01881214727223853</v>
      </c>
      <c r="S209" s="88">
        <v>-0.5351812366737739</v>
      </c>
      <c r="T209" s="59"/>
      <c r="U209" s="59"/>
      <c r="V209" s="91"/>
      <c r="W209" s="91"/>
      <c r="X209" s="91"/>
      <c r="Y209" s="91"/>
      <c r="Z209" s="91"/>
      <c r="AA209" s="96"/>
      <c r="AB209" s="97"/>
      <c r="AC209" s="91"/>
      <c r="AD209" s="91"/>
      <c r="AE209" s="91"/>
      <c r="AF209" s="91"/>
    </row>
    <row r="210">
      <c r="A210" s="59" t="s">
        <v>611</v>
      </c>
      <c r="B210" s="59" t="s">
        <v>612</v>
      </c>
      <c r="C210" s="70">
        <v>2.9511053874E10</v>
      </c>
      <c r="D210" s="86">
        <v>-0.1314590524297675</v>
      </c>
      <c r="E210" s="94">
        <v>43.79</v>
      </c>
      <c r="F210" s="94">
        <v>39.41</v>
      </c>
      <c r="G210" s="94">
        <v>62.62</v>
      </c>
      <c r="H210" s="59">
        <v>56.54</v>
      </c>
      <c r="I210" s="94">
        <v>62.47</v>
      </c>
      <c r="J210" s="59">
        <v>56.46</v>
      </c>
      <c r="K210" s="94">
        <v>108.94</v>
      </c>
      <c r="L210" s="94">
        <v>105.17</v>
      </c>
      <c r="M210" s="94">
        <v>198.74</v>
      </c>
      <c r="N210" s="59">
        <v>153.31</v>
      </c>
      <c r="O210" s="88">
        <v>-0.11113930474498866</v>
      </c>
      <c r="P210" s="95">
        <v>-0.10753448885744603</v>
      </c>
      <c r="Q210" s="88">
        <v>-0.10644704215373713</v>
      </c>
      <c r="R210" s="88">
        <v>-0.03584672435105064</v>
      </c>
      <c r="S210" s="88">
        <v>-0.29632770204161507</v>
      </c>
      <c r="T210" s="59"/>
      <c r="U210" s="59"/>
      <c r="V210" s="91"/>
      <c r="W210" s="91"/>
      <c r="X210" s="91"/>
      <c r="Y210" s="91"/>
      <c r="Z210" s="91"/>
      <c r="AA210" s="96"/>
      <c r="AB210" s="97"/>
      <c r="AC210" s="91"/>
      <c r="AD210" s="91"/>
      <c r="AE210" s="91"/>
      <c r="AF210" s="91"/>
    </row>
    <row r="211">
      <c r="A211" s="59" t="s">
        <v>613</v>
      </c>
      <c r="B211" s="59" t="s">
        <v>614</v>
      </c>
      <c r="C211" s="70">
        <v>1.6239365423E10</v>
      </c>
      <c r="D211" s="86">
        <v>-0.13204458794530988</v>
      </c>
      <c r="E211" s="94">
        <v>58.96</v>
      </c>
      <c r="F211" s="94">
        <v>54.2</v>
      </c>
      <c r="G211" s="94">
        <v>76.7</v>
      </c>
      <c r="H211" s="59">
        <v>70.56</v>
      </c>
      <c r="I211" s="94">
        <v>85.47</v>
      </c>
      <c r="J211" s="59">
        <v>78.45</v>
      </c>
      <c r="K211" s="94">
        <v>161.97</v>
      </c>
      <c r="L211" s="94">
        <v>153.35</v>
      </c>
      <c r="M211" s="94">
        <v>302.93</v>
      </c>
      <c r="N211" s="59">
        <v>226.12</v>
      </c>
      <c r="O211" s="88">
        <v>-0.08782287822878225</v>
      </c>
      <c r="P211" s="95">
        <v>-0.08701814058956917</v>
      </c>
      <c r="Q211" s="88">
        <v>-0.08948374760994258</v>
      </c>
      <c r="R211" s="88">
        <v>-0.05621128138245846</v>
      </c>
      <c r="S211" s="88">
        <v>-0.33968689191579693</v>
      </c>
      <c r="T211" s="59"/>
      <c r="U211" s="59"/>
      <c r="V211" s="91"/>
      <c r="W211" s="91"/>
      <c r="X211" s="91"/>
      <c r="Y211" s="91"/>
      <c r="Z211" s="91"/>
      <c r="AA211" s="96"/>
      <c r="AB211" s="97"/>
      <c r="AC211" s="91"/>
      <c r="AD211" s="91"/>
      <c r="AE211" s="91"/>
      <c r="AF211" s="91"/>
    </row>
    <row r="212">
      <c r="A212" s="59" t="s">
        <v>615</v>
      </c>
      <c r="B212" s="59" t="s">
        <v>616</v>
      </c>
      <c r="C212" s="70">
        <v>1.24950263367E11</v>
      </c>
      <c r="D212" s="86">
        <v>-0.1325676573516134</v>
      </c>
      <c r="E212" s="94">
        <v>109.84</v>
      </c>
      <c r="F212" s="94">
        <v>110.03</v>
      </c>
      <c r="G212" s="94">
        <v>123.79</v>
      </c>
      <c r="H212" s="59">
        <v>116.63</v>
      </c>
      <c r="I212" s="94">
        <v>165.22</v>
      </c>
      <c r="J212" s="59">
        <v>158.77</v>
      </c>
      <c r="K212" s="94">
        <v>142.18</v>
      </c>
      <c r="L212" s="94">
        <v>137.04</v>
      </c>
      <c r="M212" s="94">
        <v>144.33</v>
      </c>
      <c r="N212" s="59">
        <v>94.64</v>
      </c>
      <c r="O212" s="88">
        <v>0.0017268017813323433</v>
      </c>
      <c r="P212" s="95">
        <v>-0.061390722798593936</v>
      </c>
      <c r="Q212" s="88">
        <v>-0.04062480317440315</v>
      </c>
      <c r="R212" s="88">
        <v>-0.03750729713952142</v>
      </c>
      <c r="S212" s="88">
        <v>-0.5250422654268809</v>
      </c>
      <c r="T212" s="59"/>
      <c r="U212" s="59"/>
      <c r="V212" s="91"/>
      <c r="W212" s="91"/>
      <c r="X212" s="91"/>
      <c r="Y212" s="91"/>
      <c r="Z212" s="91"/>
      <c r="AA212" s="96"/>
      <c r="AB212" s="97"/>
      <c r="AC212" s="91"/>
      <c r="AD212" s="91"/>
      <c r="AE212" s="91"/>
      <c r="AF212" s="91"/>
    </row>
    <row r="213">
      <c r="A213" s="59" t="s">
        <v>617</v>
      </c>
      <c r="B213" s="59" t="s">
        <v>618</v>
      </c>
      <c r="C213" s="70">
        <v>1.1793419755E10</v>
      </c>
      <c r="D213" s="86">
        <v>-0.13277062412389545</v>
      </c>
      <c r="E213" s="94">
        <v>58.39</v>
      </c>
      <c r="F213" s="94">
        <v>55.53</v>
      </c>
      <c r="G213" s="94">
        <v>48.76</v>
      </c>
      <c r="H213" s="59">
        <v>43.5</v>
      </c>
      <c r="I213" s="94">
        <v>52.07</v>
      </c>
      <c r="J213" s="59">
        <v>47.52</v>
      </c>
      <c r="K213" s="94">
        <v>160.92</v>
      </c>
      <c r="L213" s="94">
        <v>154.26</v>
      </c>
      <c r="M213" s="94">
        <v>157.54</v>
      </c>
      <c r="N213" s="59">
        <v>116.48</v>
      </c>
      <c r="O213" s="88">
        <v>-0.05150369169818115</v>
      </c>
      <c r="P213" s="95">
        <v>-0.120919540229885</v>
      </c>
      <c r="Q213" s="88">
        <v>-0.09574915824915818</v>
      </c>
      <c r="R213" s="88">
        <v>-0.043173862310385044</v>
      </c>
      <c r="S213" s="88">
        <v>-0.352506868131868</v>
      </c>
      <c r="T213" s="59"/>
      <c r="U213" s="59"/>
      <c r="V213" s="91"/>
      <c r="W213" s="91"/>
      <c r="X213" s="91"/>
      <c r="Y213" s="91"/>
      <c r="Z213" s="91"/>
      <c r="AA213" s="96"/>
      <c r="AB213" s="97"/>
      <c r="AC213" s="91"/>
      <c r="AD213" s="91"/>
      <c r="AE213" s="91"/>
      <c r="AF213" s="91"/>
    </row>
    <row r="214">
      <c r="A214" s="59" t="s">
        <v>619</v>
      </c>
      <c r="B214" s="59" t="s">
        <v>620</v>
      </c>
      <c r="C214" s="70">
        <v>1.93244124362E11</v>
      </c>
      <c r="D214" s="86">
        <v>-0.13298748671514757</v>
      </c>
      <c r="E214" s="94">
        <v>31.54</v>
      </c>
      <c r="F214" s="94">
        <v>32.36</v>
      </c>
      <c r="G214" s="94">
        <v>37.56</v>
      </c>
      <c r="H214" s="59">
        <v>33.41</v>
      </c>
      <c r="I214" s="94">
        <v>35.18</v>
      </c>
      <c r="J214" s="59">
        <v>33.03</v>
      </c>
      <c r="K214" s="94">
        <v>98.84</v>
      </c>
      <c r="L214" s="94">
        <v>95.36</v>
      </c>
      <c r="M214" s="94">
        <v>139.14</v>
      </c>
      <c r="N214" s="59">
        <v>95.01</v>
      </c>
      <c r="O214" s="88">
        <v>0.02533992583436342</v>
      </c>
      <c r="P214" s="95">
        <v>-0.12421430709368471</v>
      </c>
      <c r="Q214" s="88">
        <v>-0.06509234029669993</v>
      </c>
      <c r="R214" s="88">
        <v>-0.03649328859060407</v>
      </c>
      <c r="S214" s="88">
        <v>-0.4644774234291125</v>
      </c>
      <c r="T214" s="59"/>
      <c r="U214" s="59"/>
      <c r="V214" s="91"/>
      <c r="W214" s="91"/>
      <c r="X214" s="91"/>
      <c r="Y214" s="91"/>
      <c r="Z214" s="91"/>
      <c r="AA214" s="96"/>
      <c r="AB214" s="97"/>
      <c r="AC214" s="91"/>
      <c r="AD214" s="91"/>
      <c r="AE214" s="91"/>
      <c r="AF214" s="91"/>
    </row>
    <row r="215">
      <c r="A215" s="59" t="s">
        <v>621</v>
      </c>
      <c r="B215" s="59" t="s">
        <v>622</v>
      </c>
      <c r="C215" s="70">
        <v>2.6793122916E10</v>
      </c>
      <c r="D215" s="86">
        <v>-0.13392998096149067</v>
      </c>
      <c r="E215" s="94">
        <v>32.77</v>
      </c>
      <c r="F215" s="94">
        <v>33.32</v>
      </c>
      <c r="G215" s="94">
        <v>35.64</v>
      </c>
      <c r="H215" s="59">
        <v>31.9</v>
      </c>
      <c r="I215" s="94">
        <v>38.94</v>
      </c>
      <c r="J215" s="59">
        <v>36.48</v>
      </c>
      <c r="K215" s="94">
        <v>97.21</v>
      </c>
      <c r="L215" s="94">
        <v>92.26</v>
      </c>
      <c r="M215" s="94">
        <v>119.33</v>
      </c>
      <c r="N215" s="59">
        <v>82.42</v>
      </c>
      <c r="O215" s="88">
        <v>0.01650660264105634</v>
      </c>
      <c r="P215" s="95">
        <v>-0.1172413793103449</v>
      </c>
      <c r="Q215" s="88">
        <v>-0.06743421052631582</v>
      </c>
      <c r="R215" s="88">
        <v>-0.05365272057229556</v>
      </c>
      <c r="S215" s="88">
        <v>-0.44782819703955346</v>
      </c>
      <c r="T215" s="59"/>
      <c r="U215" s="59"/>
      <c r="V215" s="91"/>
      <c r="W215" s="91"/>
      <c r="X215" s="91"/>
      <c r="Y215" s="91"/>
      <c r="Z215" s="91"/>
      <c r="AA215" s="96"/>
      <c r="AB215" s="97"/>
      <c r="AC215" s="91"/>
      <c r="AD215" s="91"/>
      <c r="AE215" s="91"/>
      <c r="AF215" s="91"/>
    </row>
    <row r="216">
      <c r="A216" s="59" t="s">
        <v>623</v>
      </c>
      <c r="B216" s="59" t="s">
        <v>624</v>
      </c>
      <c r="C216" s="70">
        <v>1.8193404186E10</v>
      </c>
      <c r="D216" s="86">
        <v>-0.13393095650602654</v>
      </c>
      <c r="E216" s="94">
        <v>48.44</v>
      </c>
      <c r="F216" s="94">
        <v>45.84</v>
      </c>
      <c r="G216" s="94">
        <v>57.22</v>
      </c>
      <c r="H216" s="59">
        <v>52.52</v>
      </c>
      <c r="I216" s="94">
        <v>62.11</v>
      </c>
      <c r="J216" s="59">
        <v>57.06</v>
      </c>
      <c r="K216" s="94">
        <v>80.97</v>
      </c>
      <c r="L216" s="94">
        <v>77.65</v>
      </c>
      <c r="M216" s="94">
        <v>146.11</v>
      </c>
      <c r="N216" s="59">
        <v>104.95</v>
      </c>
      <c r="O216" s="88">
        <v>-0.05671902268760895</v>
      </c>
      <c r="P216" s="95">
        <v>-0.0894897182025894</v>
      </c>
      <c r="Q216" s="88">
        <v>-0.0885033298282509</v>
      </c>
      <c r="R216" s="88">
        <v>-0.04275595621377969</v>
      </c>
      <c r="S216" s="88">
        <v>-0.39218675559790384</v>
      </c>
      <c r="T216" s="59"/>
      <c r="U216" s="59"/>
      <c r="V216" s="91"/>
      <c r="W216" s="91"/>
      <c r="X216" s="91"/>
      <c r="Y216" s="91"/>
      <c r="Z216" s="91"/>
      <c r="AA216" s="96"/>
      <c r="AB216" s="97"/>
      <c r="AC216" s="91"/>
      <c r="AD216" s="91"/>
      <c r="AE216" s="91"/>
      <c r="AF216" s="91"/>
    </row>
    <row r="217">
      <c r="A217" s="59" t="s">
        <v>625</v>
      </c>
      <c r="B217" s="59" t="s">
        <v>626</v>
      </c>
      <c r="C217" s="70">
        <v>2.8100791743E10</v>
      </c>
      <c r="D217" s="86">
        <v>-0.13408388046828287</v>
      </c>
      <c r="E217" s="94">
        <v>38.11</v>
      </c>
      <c r="F217" s="94">
        <v>36.23</v>
      </c>
      <c r="G217" s="94">
        <v>32.77</v>
      </c>
      <c r="H217" s="59">
        <v>30.7</v>
      </c>
      <c r="I217" s="94">
        <v>30.33</v>
      </c>
      <c r="J217" s="59">
        <v>28.84</v>
      </c>
      <c r="K217" s="94">
        <v>42.04</v>
      </c>
      <c r="L217" s="94">
        <v>40.65</v>
      </c>
      <c r="M217" s="94">
        <v>59.02</v>
      </c>
      <c r="N217" s="59">
        <v>40.28</v>
      </c>
      <c r="O217" s="88">
        <v>-0.051890698316312524</v>
      </c>
      <c r="P217" s="95">
        <v>-0.06742671009772</v>
      </c>
      <c r="Q217" s="88">
        <v>-0.051664355062413264</v>
      </c>
      <c r="R217" s="88">
        <v>-0.03419434194341945</v>
      </c>
      <c r="S217" s="88">
        <v>-0.4652432969215492</v>
      </c>
      <c r="T217" s="59"/>
      <c r="U217" s="59"/>
      <c r="V217" s="91"/>
      <c r="W217" s="91"/>
      <c r="X217" s="91"/>
      <c r="Y217" s="91"/>
      <c r="Z217" s="91"/>
      <c r="AA217" s="96"/>
      <c r="AB217" s="97"/>
      <c r="AC217" s="91"/>
      <c r="AD217" s="91"/>
      <c r="AE217" s="91"/>
      <c r="AF217" s="91"/>
    </row>
    <row r="218">
      <c r="A218" s="59" t="s">
        <v>627</v>
      </c>
      <c r="B218" s="59" t="s">
        <v>628</v>
      </c>
      <c r="C218" s="70">
        <v>6.0398212E10</v>
      </c>
      <c r="D218" s="86">
        <v>-0.1341130040051378</v>
      </c>
      <c r="E218" s="94">
        <v>34.64</v>
      </c>
      <c r="F218" s="94">
        <v>34.37</v>
      </c>
      <c r="G218" s="94">
        <v>39.23</v>
      </c>
      <c r="H218" s="59">
        <v>35.13</v>
      </c>
      <c r="I218" s="94">
        <v>42.35</v>
      </c>
      <c r="J218" s="59">
        <v>37.97</v>
      </c>
      <c r="K218" s="94">
        <v>56.69</v>
      </c>
      <c r="L218" s="94">
        <v>54.32</v>
      </c>
      <c r="M218" s="94">
        <v>104.47</v>
      </c>
      <c r="N218" s="59">
        <v>75.32</v>
      </c>
      <c r="O218" s="88">
        <v>-0.007855688100087377</v>
      </c>
      <c r="P218" s="95">
        <v>-0.11670936521491586</v>
      </c>
      <c r="Q218" s="88">
        <v>-0.1153542270213327</v>
      </c>
      <c r="R218" s="88">
        <v>-0.04363033873343147</v>
      </c>
      <c r="S218" s="88">
        <v>-0.3870154009559215</v>
      </c>
      <c r="T218" s="59"/>
      <c r="U218" s="59"/>
      <c r="V218" s="91"/>
      <c r="W218" s="91"/>
      <c r="X218" s="91"/>
      <c r="Y218" s="91"/>
      <c r="Z218" s="91"/>
      <c r="AA218" s="96"/>
      <c r="AB218" s="97"/>
      <c r="AC218" s="91"/>
      <c r="AD218" s="91"/>
      <c r="AE218" s="91"/>
      <c r="AF218" s="91"/>
    </row>
    <row r="219">
      <c r="A219" s="59" t="s">
        <v>629</v>
      </c>
      <c r="B219" s="59" t="s">
        <v>630</v>
      </c>
      <c r="C219" s="70">
        <v>1.02995154E11</v>
      </c>
      <c r="D219" s="86">
        <v>-0.13420734544795862</v>
      </c>
      <c r="E219" s="94">
        <v>43.24</v>
      </c>
      <c r="F219" s="94">
        <v>41.65</v>
      </c>
      <c r="G219" s="94">
        <v>33.79</v>
      </c>
      <c r="H219" s="59">
        <v>30.28</v>
      </c>
      <c r="I219" s="94">
        <v>41.72</v>
      </c>
      <c r="J219" s="59">
        <v>38.12</v>
      </c>
      <c r="K219" s="94">
        <v>96.48</v>
      </c>
      <c r="L219" s="94">
        <v>92.61</v>
      </c>
      <c r="M219" s="94">
        <v>306.74</v>
      </c>
      <c r="N219" s="59">
        <v>222.16</v>
      </c>
      <c r="O219" s="88">
        <v>-0.0381752701080433</v>
      </c>
      <c r="P219" s="95">
        <v>-0.1159180977542932</v>
      </c>
      <c r="Q219" s="88">
        <v>-0.09443861490031484</v>
      </c>
      <c r="R219" s="88">
        <v>-0.041788143828960206</v>
      </c>
      <c r="S219" s="88">
        <v>-0.3807166006481816</v>
      </c>
      <c r="T219" s="59"/>
      <c r="U219" s="59"/>
      <c r="V219" s="91"/>
      <c r="W219" s="91"/>
      <c r="X219" s="91"/>
      <c r="Y219" s="91"/>
      <c r="Z219" s="91"/>
      <c r="AA219" s="96"/>
      <c r="AB219" s="97"/>
      <c r="AC219" s="91"/>
      <c r="AD219" s="91"/>
      <c r="AE219" s="91"/>
      <c r="AF219" s="91"/>
    </row>
    <row r="220">
      <c r="A220" s="59" t="s">
        <v>631</v>
      </c>
      <c r="B220" s="59" t="s">
        <v>632</v>
      </c>
      <c r="C220" s="70">
        <v>2.390337169E10</v>
      </c>
      <c r="D220" s="86">
        <v>-0.13445597271614362</v>
      </c>
      <c r="E220" s="94">
        <v>41.65</v>
      </c>
      <c r="F220" s="94">
        <v>40.0</v>
      </c>
      <c r="G220" s="94">
        <v>47.52</v>
      </c>
      <c r="H220" s="59">
        <v>43.43</v>
      </c>
      <c r="I220" s="94">
        <v>55.66</v>
      </c>
      <c r="J220" s="59">
        <v>51.95</v>
      </c>
      <c r="K220" s="94">
        <v>74.39</v>
      </c>
      <c r="L220" s="94">
        <v>70.52</v>
      </c>
      <c r="M220" s="94">
        <v>86.27</v>
      </c>
      <c r="N220" s="59">
        <v>61.16</v>
      </c>
      <c r="O220" s="88">
        <v>-0.04124999999999997</v>
      </c>
      <c r="P220" s="95">
        <v>-0.0941745337324431</v>
      </c>
      <c r="Q220" s="88">
        <v>-0.07141482194417696</v>
      </c>
      <c r="R220" s="88">
        <v>-0.054878048780487874</v>
      </c>
      <c r="S220" s="88">
        <v>-0.4105624591236102</v>
      </c>
      <c r="T220" s="59"/>
      <c r="U220" s="59"/>
      <c r="V220" s="91"/>
      <c r="W220" s="91"/>
      <c r="X220" s="91"/>
      <c r="Y220" s="91"/>
      <c r="Z220" s="91"/>
      <c r="AA220" s="96"/>
      <c r="AB220" s="97"/>
      <c r="AC220" s="91"/>
      <c r="AD220" s="91"/>
      <c r="AE220" s="91"/>
      <c r="AF220" s="91"/>
    </row>
    <row r="221">
      <c r="A221" s="59" t="s">
        <v>633</v>
      </c>
      <c r="B221" s="59" t="s">
        <v>634</v>
      </c>
      <c r="C221" s="70">
        <v>7.321406295E9</v>
      </c>
      <c r="D221" s="86">
        <v>-0.13494368220809472</v>
      </c>
      <c r="E221" s="94" t="e">
        <v>#N/A</v>
      </c>
      <c r="F221" s="94" t="e">
        <v>#N/A</v>
      </c>
      <c r="G221" s="94">
        <v>15.18</v>
      </c>
      <c r="H221" s="59">
        <v>13.52</v>
      </c>
      <c r="I221" s="94">
        <v>18.56</v>
      </c>
      <c r="J221" s="59">
        <v>16.71</v>
      </c>
      <c r="K221" s="94">
        <v>29.24</v>
      </c>
      <c r="L221" s="94">
        <v>28.26</v>
      </c>
      <c r="M221" s="94">
        <v>111.1</v>
      </c>
      <c r="N221" s="59">
        <v>87.37</v>
      </c>
      <c r="O221" s="88" t="e">
        <v>#N/A</v>
      </c>
      <c r="P221" s="95">
        <v>-0.12278106508875741</v>
      </c>
      <c r="Q221" s="88">
        <v>-0.11071214841412315</v>
      </c>
      <c r="R221" s="88">
        <v>-0.03467799009200272</v>
      </c>
      <c r="S221" s="88">
        <v>-0.2716035252374956</v>
      </c>
      <c r="T221" s="59"/>
      <c r="U221" s="59"/>
      <c r="V221" s="91"/>
      <c r="W221" s="91"/>
      <c r="X221" s="91"/>
      <c r="Y221" s="91"/>
      <c r="Z221" s="91"/>
      <c r="AA221" s="96"/>
      <c r="AB221" s="97"/>
      <c r="AC221" s="91"/>
      <c r="AD221" s="91"/>
      <c r="AE221" s="91"/>
      <c r="AF221" s="91"/>
    </row>
    <row r="222">
      <c r="A222" s="59" t="s">
        <v>635</v>
      </c>
      <c r="B222" s="59" t="s">
        <v>636</v>
      </c>
      <c r="C222" s="70">
        <v>2.4510962317E10</v>
      </c>
      <c r="D222" s="86">
        <v>-0.13516758752956332</v>
      </c>
      <c r="E222" s="94">
        <v>98.64</v>
      </c>
      <c r="F222" s="94">
        <v>91.41</v>
      </c>
      <c r="G222" s="94">
        <v>108.49</v>
      </c>
      <c r="H222" s="59">
        <v>97.74</v>
      </c>
      <c r="I222" s="94">
        <v>121.46</v>
      </c>
      <c r="J222" s="59">
        <v>116.35</v>
      </c>
      <c r="K222" s="94">
        <v>173.44</v>
      </c>
      <c r="L222" s="94">
        <v>165.55</v>
      </c>
      <c r="M222" s="94">
        <v>228.07</v>
      </c>
      <c r="N222" s="59">
        <v>163.47</v>
      </c>
      <c r="O222" s="88">
        <v>-0.07909419100754846</v>
      </c>
      <c r="P222" s="95">
        <v>-0.10998567628401883</v>
      </c>
      <c r="Q222" s="88">
        <v>-0.04391920928233777</v>
      </c>
      <c r="R222" s="88">
        <v>-0.047659317426759204</v>
      </c>
      <c r="S222" s="88">
        <v>-0.39517954364715235</v>
      </c>
      <c r="T222" s="59"/>
      <c r="U222" s="59"/>
      <c r="V222" s="91"/>
      <c r="W222" s="91"/>
      <c r="X222" s="91"/>
      <c r="Y222" s="91"/>
      <c r="Z222" s="91"/>
      <c r="AA222" s="96"/>
      <c r="AB222" s="97"/>
      <c r="AC222" s="91"/>
      <c r="AD222" s="91"/>
      <c r="AE222" s="91"/>
      <c r="AF222" s="91"/>
    </row>
    <row r="223">
      <c r="A223" s="59" t="s">
        <v>637</v>
      </c>
      <c r="B223" s="59" t="s">
        <v>638</v>
      </c>
      <c r="C223" s="70">
        <v>1.1925615402E10</v>
      </c>
      <c r="D223" s="86">
        <v>-0.13535985864756733</v>
      </c>
      <c r="E223" s="94">
        <v>25.97</v>
      </c>
      <c r="F223" s="94">
        <v>28.3</v>
      </c>
      <c r="G223" s="94">
        <v>25.22</v>
      </c>
      <c r="H223" s="59">
        <v>21.93</v>
      </c>
      <c r="I223" s="94">
        <v>24.19</v>
      </c>
      <c r="J223" s="59">
        <v>21.99</v>
      </c>
      <c r="K223" s="94">
        <v>41.95</v>
      </c>
      <c r="L223" s="94">
        <v>39.78</v>
      </c>
      <c r="M223" s="94">
        <v>40.93</v>
      </c>
      <c r="N223" s="59">
        <v>28.14</v>
      </c>
      <c r="O223" s="88">
        <v>0.08233215547703186</v>
      </c>
      <c r="P223" s="95">
        <v>-0.15002279981760142</v>
      </c>
      <c r="Q223" s="88">
        <v>-0.10004547521600742</v>
      </c>
      <c r="R223" s="88">
        <v>-0.054550025138260474</v>
      </c>
      <c r="S223" s="88">
        <v>-0.45451314854299923</v>
      </c>
      <c r="T223" s="59"/>
      <c r="U223" s="59"/>
      <c r="V223" s="91"/>
      <c r="W223" s="91"/>
      <c r="X223" s="91"/>
      <c r="Y223" s="91"/>
      <c r="Z223" s="91"/>
      <c r="AA223" s="96"/>
      <c r="AB223" s="97"/>
      <c r="AC223" s="91"/>
      <c r="AD223" s="91"/>
      <c r="AE223" s="91"/>
      <c r="AF223" s="91"/>
    </row>
    <row r="224">
      <c r="A224" s="59" t="s">
        <v>639</v>
      </c>
      <c r="B224" s="59" t="s">
        <v>640</v>
      </c>
      <c r="C224" s="70">
        <v>1.7485555712E10</v>
      </c>
      <c r="D224" s="86">
        <v>-0.135800657902681</v>
      </c>
      <c r="E224" s="94">
        <v>64.7</v>
      </c>
      <c r="F224" s="94">
        <v>58.05</v>
      </c>
      <c r="G224" s="94">
        <v>49.13</v>
      </c>
      <c r="H224" s="59">
        <v>42.35</v>
      </c>
      <c r="I224" s="94">
        <v>35.64</v>
      </c>
      <c r="J224" s="59">
        <v>33.13</v>
      </c>
      <c r="K224" s="94">
        <v>40.31</v>
      </c>
      <c r="L224" s="94">
        <v>38.26</v>
      </c>
      <c r="M224" s="94">
        <v>100.56</v>
      </c>
      <c r="N224" s="59">
        <v>78.87</v>
      </c>
      <c r="O224" s="88">
        <v>-0.11455641688199839</v>
      </c>
      <c r="P224" s="95">
        <v>-0.16009445100354194</v>
      </c>
      <c r="Q224" s="88">
        <v>-0.0757621491095683</v>
      </c>
      <c r="R224" s="88">
        <v>-0.05358076319916373</v>
      </c>
      <c r="S224" s="88">
        <v>-0.2750095093191327</v>
      </c>
      <c r="T224" s="59"/>
      <c r="U224" s="59"/>
      <c r="V224" s="91"/>
      <c r="W224" s="91"/>
      <c r="X224" s="91"/>
      <c r="Y224" s="91"/>
      <c r="Z224" s="91"/>
      <c r="AA224" s="96"/>
      <c r="AB224" s="97"/>
      <c r="AC224" s="91"/>
      <c r="AD224" s="91"/>
      <c r="AE224" s="91"/>
      <c r="AF224" s="91"/>
    </row>
    <row r="225">
      <c r="A225" s="59" t="s">
        <v>193</v>
      </c>
      <c r="B225" s="59" t="s">
        <v>641</v>
      </c>
      <c r="C225" s="70">
        <v>1.167941E11</v>
      </c>
      <c r="D225" s="86">
        <v>-0.1359348901477626</v>
      </c>
      <c r="E225" s="94">
        <v>20.52</v>
      </c>
      <c r="F225" s="94">
        <v>19.36</v>
      </c>
      <c r="G225" s="94">
        <v>23.26</v>
      </c>
      <c r="H225" s="59">
        <v>21.31</v>
      </c>
      <c r="I225" s="94">
        <v>20.79</v>
      </c>
      <c r="J225" s="59">
        <v>20.11</v>
      </c>
      <c r="K225" s="94">
        <v>26.56</v>
      </c>
      <c r="L225" s="94">
        <v>26.25</v>
      </c>
      <c r="M225" s="94">
        <v>66.14</v>
      </c>
      <c r="N225" s="59">
        <v>44.61</v>
      </c>
      <c r="O225" s="88">
        <v>-0.059917355371900835</v>
      </c>
      <c r="P225" s="95">
        <v>-0.09150633505396541</v>
      </c>
      <c r="Q225" s="88">
        <v>-0.03381402287419193</v>
      </c>
      <c r="R225" s="88">
        <v>-0.011809523809523761</v>
      </c>
      <c r="S225" s="88">
        <v>-0.48262721362923117</v>
      </c>
      <c r="T225" s="59"/>
      <c r="U225" s="59"/>
      <c r="V225" s="91"/>
      <c r="W225" s="91"/>
      <c r="X225" s="91"/>
      <c r="Y225" s="91"/>
      <c r="Z225" s="91"/>
      <c r="AA225" s="96"/>
      <c r="AB225" s="97"/>
      <c r="AC225" s="91"/>
      <c r="AD225" s="91"/>
      <c r="AE225" s="91"/>
      <c r="AF225" s="91"/>
    </row>
    <row r="226">
      <c r="A226" s="59" t="s">
        <v>195</v>
      </c>
      <c r="B226" s="59" t="s">
        <v>642</v>
      </c>
      <c r="C226" s="70">
        <v>2.3965579767E12</v>
      </c>
      <c r="D226" s="86">
        <v>-0.13594787922861598</v>
      </c>
      <c r="E226" s="94">
        <v>5.76</v>
      </c>
      <c r="F226" s="94">
        <v>5.01</v>
      </c>
      <c r="G226" s="94">
        <v>9.51</v>
      </c>
      <c r="H226" s="59">
        <v>8.42</v>
      </c>
      <c r="I226" s="94">
        <v>13.34</v>
      </c>
      <c r="J226" s="59">
        <v>12.61</v>
      </c>
      <c r="K226" s="94">
        <v>26.44</v>
      </c>
      <c r="L226" s="94">
        <v>25.78</v>
      </c>
      <c r="M226" s="94">
        <v>79.75</v>
      </c>
      <c r="N226" s="59">
        <v>60.55</v>
      </c>
      <c r="O226" s="88">
        <v>-0.14970059880239522</v>
      </c>
      <c r="P226" s="95">
        <v>-0.12945368171021376</v>
      </c>
      <c r="Q226" s="88">
        <v>-0.05789056304520226</v>
      </c>
      <c r="R226" s="88">
        <v>-0.025601241272304117</v>
      </c>
      <c r="S226" s="88">
        <v>-0.31709331131296453</v>
      </c>
      <c r="T226" s="59"/>
      <c r="U226" s="59"/>
      <c r="V226" s="91"/>
      <c r="W226" s="91"/>
      <c r="X226" s="91"/>
      <c r="Y226" s="91"/>
      <c r="Z226" s="91"/>
      <c r="AA226" s="96"/>
      <c r="AB226" s="97"/>
      <c r="AC226" s="91"/>
      <c r="AD226" s="91"/>
      <c r="AE226" s="91"/>
      <c r="AF226" s="91"/>
    </row>
    <row r="227">
      <c r="A227" s="59" t="s">
        <v>643</v>
      </c>
      <c r="B227" s="59" t="s">
        <v>644</v>
      </c>
      <c r="C227" s="70">
        <v>1.2969584515E10</v>
      </c>
      <c r="D227" s="86">
        <v>-0.1360811496832696</v>
      </c>
      <c r="E227" s="94">
        <v>23.96</v>
      </c>
      <c r="F227" s="94">
        <v>21.91</v>
      </c>
      <c r="G227" s="94">
        <v>21.12</v>
      </c>
      <c r="H227" s="59">
        <v>19.8</v>
      </c>
      <c r="I227" s="94">
        <v>23.18</v>
      </c>
      <c r="J227" s="59">
        <v>21.18</v>
      </c>
      <c r="K227" s="94">
        <v>33.88</v>
      </c>
      <c r="L227" s="94">
        <v>32.08</v>
      </c>
      <c r="M227" s="94">
        <v>50.43</v>
      </c>
      <c r="N227" s="59">
        <v>36.82</v>
      </c>
      <c r="O227" s="88">
        <v>-0.09356458238247378</v>
      </c>
      <c r="P227" s="95">
        <v>-0.06666666666666668</v>
      </c>
      <c r="Q227" s="88">
        <v>-0.09442870632672333</v>
      </c>
      <c r="R227" s="88">
        <v>-0.05610972568578567</v>
      </c>
      <c r="S227" s="88">
        <v>-0.3696360673546985</v>
      </c>
      <c r="T227" s="59"/>
      <c r="U227" s="59"/>
      <c r="V227" s="91"/>
      <c r="W227" s="91"/>
      <c r="X227" s="91"/>
      <c r="Y227" s="91"/>
      <c r="Z227" s="91"/>
      <c r="AA227" s="96"/>
      <c r="AB227" s="97"/>
      <c r="AC227" s="91"/>
      <c r="AD227" s="91"/>
      <c r="AE227" s="91"/>
      <c r="AF227" s="91"/>
    </row>
    <row r="228">
      <c r="A228" s="59" t="s">
        <v>645</v>
      </c>
      <c r="B228" s="59" t="s">
        <v>646</v>
      </c>
      <c r="C228" s="70">
        <v>1.234154294E10</v>
      </c>
      <c r="D228" s="86">
        <v>-0.13671672578769273</v>
      </c>
      <c r="E228" s="94">
        <v>30.27</v>
      </c>
      <c r="F228" s="94">
        <v>28.58</v>
      </c>
      <c r="G228" s="94">
        <v>28.66</v>
      </c>
      <c r="H228" s="59">
        <v>26.99</v>
      </c>
      <c r="I228" s="94">
        <v>34.65</v>
      </c>
      <c r="J228" s="59">
        <v>31.23</v>
      </c>
      <c r="K228" s="94">
        <v>81.25</v>
      </c>
      <c r="L228" s="94">
        <v>79.03</v>
      </c>
      <c r="M228" s="94">
        <v>236.66</v>
      </c>
      <c r="N228" s="59">
        <v>166.08</v>
      </c>
      <c r="O228" s="88">
        <v>-0.059132260321903475</v>
      </c>
      <c r="P228" s="95">
        <v>-0.06187476843275294</v>
      </c>
      <c r="Q228" s="88">
        <v>-0.10951008645533135</v>
      </c>
      <c r="R228" s="88">
        <v>-0.0280905985068961</v>
      </c>
      <c r="S228" s="88">
        <v>-0.42497591522157985</v>
      </c>
      <c r="T228" s="59"/>
      <c r="U228" s="59"/>
      <c r="V228" s="91"/>
      <c r="W228" s="91"/>
      <c r="X228" s="91"/>
      <c r="Y228" s="91"/>
      <c r="Z228" s="91"/>
      <c r="AA228" s="96"/>
      <c r="AB228" s="97"/>
      <c r="AC228" s="91"/>
      <c r="AD228" s="91"/>
      <c r="AE228" s="91"/>
      <c r="AF228" s="91"/>
    </row>
    <row r="229">
      <c r="A229" s="59" t="s">
        <v>647</v>
      </c>
      <c r="B229" s="59" t="s">
        <v>648</v>
      </c>
      <c r="C229" s="70">
        <v>9.701820246E9</v>
      </c>
      <c r="D229" s="86">
        <v>-0.13690705955444576</v>
      </c>
      <c r="E229" s="94">
        <v>28.53</v>
      </c>
      <c r="F229" s="94">
        <v>34.2</v>
      </c>
      <c r="G229" s="94">
        <v>40.64</v>
      </c>
      <c r="H229" s="59">
        <v>37.98</v>
      </c>
      <c r="I229" s="94">
        <v>55.82</v>
      </c>
      <c r="J229" s="59">
        <v>51.21</v>
      </c>
      <c r="K229" s="94">
        <v>134.88</v>
      </c>
      <c r="L229" s="94">
        <v>128.69</v>
      </c>
      <c r="M229" s="94">
        <v>144.33</v>
      </c>
      <c r="N229" s="59">
        <v>87.89</v>
      </c>
      <c r="O229" s="88">
        <v>0.16578947368421057</v>
      </c>
      <c r="P229" s="95">
        <v>-0.07003686150605593</v>
      </c>
      <c r="Q229" s="88">
        <v>-0.0900214801796524</v>
      </c>
      <c r="R229" s="88">
        <v>-0.048100085476727</v>
      </c>
      <c r="S229" s="88">
        <v>-0.642166344294004</v>
      </c>
      <c r="T229" s="59"/>
      <c r="U229" s="59"/>
      <c r="V229" s="91"/>
      <c r="W229" s="91"/>
      <c r="X229" s="91"/>
      <c r="Y229" s="91"/>
      <c r="Z229" s="91"/>
      <c r="AA229" s="96"/>
      <c r="AB229" s="97"/>
      <c r="AC229" s="91"/>
      <c r="AD229" s="91"/>
      <c r="AE229" s="91"/>
      <c r="AF229" s="91"/>
    </row>
    <row r="230">
      <c r="A230" s="59" t="s">
        <v>649</v>
      </c>
      <c r="B230" s="59" t="s">
        <v>650</v>
      </c>
      <c r="C230" s="70">
        <v>1.87116517171E11</v>
      </c>
      <c r="D230" s="86">
        <v>-0.13716325940893967</v>
      </c>
      <c r="E230" s="94">
        <v>38.94</v>
      </c>
      <c r="F230" s="94">
        <v>36.22</v>
      </c>
      <c r="G230" s="94">
        <v>43.75</v>
      </c>
      <c r="H230" s="59">
        <v>40.32</v>
      </c>
      <c r="I230" s="94">
        <v>57.21</v>
      </c>
      <c r="J230" s="59">
        <v>53.16</v>
      </c>
      <c r="K230" s="94">
        <v>97.13</v>
      </c>
      <c r="L230" s="94">
        <v>92.67</v>
      </c>
      <c r="M230" s="94">
        <v>213.76</v>
      </c>
      <c r="N230" s="59">
        <v>152.54</v>
      </c>
      <c r="O230" s="88">
        <v>-0.075096631695196</v>
      </c>
      <c r="P230" s="95">
        <v>-0.08506944444444443</v>
      </c>
      <c r="Q230" s="88">
        <v>-0.07618510158013553</v>
      </c>
      <c r="R230" s="88">
        <v>-0.04812776518830251</v>
      </c>
      <c r="S230" s="88">
        <v>-0.4013373541366199</v>
      </c>
      <c r="T230" s="59"/>
      <c r="U230" s="59"/>
      <c r="V230" s="91"/>
      <c r="W230" s="91"/>
      <c r="X230" s="91"/>
      <c r="Y230" s="91"/>
      <c r="Z230" s="91"/>
      <c r="AA230" s="96"/>
      <c r="AB230" s="97"/>
      <c r="AC230" s="91"/>
      <c r="AD230" s="91"/>
      <c r="AE230" s="91"/>
      <c r="AF230" s="91"/>
    </row>
    <row r="231">
      <c r="A231" s="59" t="s">
        <v>651</v>
      </c>
      <c r="B231" s="59" t="s">
        <v>652</v>
      </c>
      <c r="C231" s="70">
        <v>1.4589094823E10</v>
      </c>
      <c r="D231" s="86">
        <v>-0.13749474451366123</v>
      </c>
      <c r="E231" s="94">
        <v>27.3</v>
      </c>
      <c r="F231" s="94">
        <v>24.93</v>
      </c>
      <c r="G231" s="94">
        <v>25.27</v>
      </c>
      <c r="H231" s="59">
        <v>23.89</v>
      </c>
      <c r="I231" s="94">
        <v>30.52</v>
      </c>
      <c r="J231" s="59">
        <v>27.92</v>
      </c>
      <c r="K231" s="94">
        <v>29.24</v>
      </c>
      <c r="L231" s="94">
        <v>27.62</v>
      </c>
      <c r="M231" s="94">
        <v>34.06</v>
      </c>
      <c r="N231" s="59">
        <v>24.63</v>
      </c>
      <c r="O231" s="88">
        <v>-0.09506618531889294</v>
      </c>
      <c r="P231" s="95">
        <v>-0.05776475512766844</v>
      </c>
      <c r="Q231" s="88">
        <v>-0.09312320916905435</v>
      </c>
      <c r="R231" s="88">
        <v>-0.05865314989138296</v>
      </c>
      <c r="S231" s="88">
        <v>-0.38286642306130747</v>
      </c>
      <c r="T231" s="59"/>
      <c r="U231" s="59"/>
      <c r="V231" s="91"/>
      <c r="W231" s="91"/>
      <c r="X231" s="91"/>
      <c r="Y231" s="91"/>
      <c r="Z231" s="91"/>
      <c r="AA231" s="96"/>
      <c r="AB231" s="97"/>
      <c r="AC231" s="91"/>
      <c r="AD231" s="91"/>
      <c r="AE231" s="91"/>
      <c r="AF231" s="91"/>
    </row>
    <row r="232">
      <c r="A232" s="59" t="s">
        <v>653</v>
      </c>
      <c r="B232" s="59" t="s">
        <v>654</v>
      </c>
      <c r="C232" s="70">
        <v>4.1709155907E10</v>
      </c>
      <c r="D232" s="86">
        <v>-0.1376213805944165</v>
      </c>
      <c r="E232" s="94">
        <v>23.01</v>
      </c>
      <c r="F232" s="94">
        <v>22.05</v>
      </c>
      <c r="G232" s="94">
        <v>26.29</v>
      </c>
      <c r="H232" s="59">
        <v>22.79</v>
      </c>
      <c r="I232" s="94">
        <v>26.17</v>
      </c>
      <c r="J232" s="59">
        <v>23.28</v>
      </c>
      <c r="K232" s="94">
        <v>36.23</v>
      </c>
      <c r="L232" s="94">
        <v>34.68</v>
      </c>
      <c r="M232" s="94">
        <v>84.79</v>
      </c>
      <c r="N232" s="59">
        <v>64.13</v>
      </c>
      <c r="O232" s="88">
        <v>-0.04353741496598643</v>
      </c>
      <c r="P232" s="95">
        <v>-0.153576129881527</v>
      </c>
      <c r="Q232" s="88">
        <v>-0.1241408934707904</v>
      </c>
      <c r="R232" s="88">
        <v>-0.04469434832756624</v>
      </c>
      <c r="S232" s="88">
        <v>-0.32215811632621255</v>
      </c>
      <c r="T232" s="59"/>
      <c r="U232" s="59"/>
      <c r="V232" s="91"/>
      <c r="W232" s="91"/>
      <c r="X232" s="91"/>
      <c r="Y232" s="91"/>
      <c r="Z232" s="91"/>
      <c r="AA232" s="96"/>
      <c r="AB232" s="97"/>
      <c r="AC232" s="91"/>
      <c r="AD232" s="91"/>
      <c r="AE232" s="91"/>
      <c r="AF232" s="91"/>
    </row>
    <row r="233">
      <c r="A233" s="59" t="s">
        <v>655</v>
      </c>
      <c r="B233" s="59" t="s">
        <v>656</v>
      </c>
      <c r="C233" s="70">
        <v>1.7238404032E10</v>
      </c>
      <c r="D233" s="86">
        <v>-0.13766401182599317</v>
      </c>
      <c r="E233" s="94">
        <v>26.96</v>
      </c>
      <c r="F233" s="94">
        <v>25.22</v>
      </c>
      <c r="G233" s="94">
        <v>25.19</v>
      </c>
      <c r="H233" s="59">
        <v>22.23</v>
      </c>
      <c r="I233" s="94">
        <v>22.5</v>
      </c>
      <c r="J233" s="59">
        <v>21.71</v>
      </c>
      <c r="K233" s="94">
        <v>47.71</v>
      </c>
      <c r="L233" s="94">
        <v>45.95</v>
      </c>
      <c r="M233" s="94">
        <v>94.16</v>
      </c>
      <c r="N233" s="59">
        <v>66.71</v>
      </c>
      <c r="O233" s="88">
        <v>-0.06899286280729588</v>
      </c>
      <c r="P233" s="95">
        <v>-0.13315339631129108</v>
      </c>
      <c r="Q233" s="88">
        <v>-0.0363887609396591</v>
      </c>
      <c r="R233" s="88">
        <v>-0.03830250272034816</v>
      </c>
      <c r="S233" s="88">
        <v>-0.41148253635137166</v>
      </c>
      <c r="T233" s="59"/>
      <c r="U233" s="59"/>
      <c r="V233" s="91"/>
      <c r="W233" s="91"/>
      <c r="X233" s="91"/>
      <c r="Y233" s="91"/>
      <c r="Z233" s="91"/>
      <c r="AA233" s="96"/>
      <c r="AB233" s="97"/>
      <c r="AC233" s="91"/>
      <c r="AD233" s="91"/>
      <c r="AE233" s="91"/>
      <c r="AF233" s="91"/>
    </row>
    <row r="234">
      <c r="A234" s="59" t="s">
        <v>657</v>
      </c>
      <c r="B234" s="59" t="s">
        <v>658</v>
      </c>
      <c r="C234" s="70">
        <v>2.1900750517E10</v>
      </c>
      <c r="D234" s="86">
        <v>-0.13791031906469173</v>
      </c>
      <c r="E234" s="94">
        <v>74.52</v>
      </c>
      <c r="F234" s="94">
        <v>73.18</v>
      </c>
      <c r="G234" s="94">
        <v>58.89</v>
      </c>
      <c r="H234" s="59">
        <v>51.08</v>
      </c>
      <c r="I234" s="94">
        <v>33.75</v>
      </c>
      <c r="J234" s="59">
        <v>32.55</v>
      </c>
      <c r="K234" s="94">
        <v>91.66</v>
      </c>
      <c r="L234" s="94">
        <v>88.34</v>
      </c>
      <c r="M234" s="94">
        <v>137.17</v>
      </c>
      <c r="N234" s="59">
        <v>95.0</v>
      </c>
      <c r="O234" s="88">
        <v>-0.018311013938234342</v>
      </c>
      <c r="P234" s="95">
        <v>-0.15289741581832425</v>
      </c>
      <c r="Q234" s="88">
        <v>-0.0368663594470047</v>
      </c>
      <c r="R234" s="88">
        <v>-0.03758206927779028</v>
      </c>
      <c r="S234" s="88">
        <v>-0.4438947368421051</v>
      </c>
      <c r="T234" s="59"/>
      <c r="U234" s="59"/>
      <c r="V234" s="91"/>
      <c r="W234" s="91"/>
      <c r="X234" s="91"/>
      <c r="Y234" s="91"/>
      <c r="Z234" s="91"/>
      <c r="AA234" s="96"/>
      <c r="AB234" s="97"/>
      <c r="AC234" s="91"/>
      <c r="AD234" s="91"/>
      <c r="AE234" s="91"/>
      <c r="AF234" s="91"/>
    </row>
    <row r="235">
      <c r="A235" s="59" t="s">
        <v>659</v>
      </c>
      <c r="B235" s="59" t="s">
        <v>660</v>
      </c>
      <c r="C235" s="70">
        <v>1.21005093456E11</v>
      </c>
      <c r="D235" s="86">
        <v>-0.13833223911804252</v>
      </c>
      <c r="E235" s="94">
        <v>37.87</v>
      </c>
      <c r="F235" s="94">
        <v>36.26</v>
      </c>
      <c r="G235" s="94">
        <v>38.67</v>
      </c>
      <c r="H235" s="59">
        <v>35.53</v>
      </c>
      <c r="I235" s="94">
        <v>46.24</v>
      </c>
      <c r="J235" s="59">
        <v>43.73</v>
      </c>
      <c r="K235" s="94">
        <v>86.45</v>
      </c>
      <c r="L235" s="94">
        <v>82.66</v>
      </c>
      <c r="M235" s="94">
        <v>182.1</v>
      </c>
      <c r="N235" s="59">
        <v>125.1</v>
      </c>
      <c r="O235" s="88">
        <v>-0.04440154440154439</v>
      </c>
      <c r="P235" s="95">
        <v>-0.08837602026456517</v>
      </c>
      <c r="Q235" s="88">
        <v>-0.05739766750514533</v>
      </c>
      <c r="R235" s="88">
        <v>-0.045850471812243</v>
      </c>
      <c r="S235" s="88">
        <v>-0.4556354916067146</v>
      </c>
      <c r="T235" s="59"/>
      <c r="U235" s="59"/>
      <c r="V235" s="91"/>
      <c r="W235" s="91"/>
      <c r="X235" s="91"/>
      <c r="Y235" s="91"/>
      <c r="Z235" s="91"/>
      <c r="AA235" s="96"/>
      <c r="AB235" s="97"/>
      <c r="AC235" s="91"/>
      <c r="AD235" s="91"/>
      <c r="AE235" s="91"/>
      <c r="AF235" s="91"/>
    </row>
    <row r="236">
      <c r="A236" s="59" t="s">
        <v>661</v>
      </c>
      <c r="B236" s="59" t="s">
        <v>662</v>
      </c>
      <c r="C236" s="70">
        <v>1.9560429312E10</v>
      </c>
      <c r="D236" s="86">
        <v>-0.1383862843187495</v>
      </c>
      <c r="E236" s="94">
        <v>37.94</v>
      </c>
      <c r="F236" s="94">
        <v>35.46</v>
      </c>
      <c r="G236" s="94">
        <v>23.11</v>
      </c>
      <c r="H236" s="59">
        <v>22.96</v>
      </c>
      <c r="I236" s="94">
        <v>24.65</v>
      </c>
      <c r="J236" s="59">
        <v>23.5</v>
      </c>
      <c r="K236" s="94">
        <v>32.9</v>
      </c>
      <c r="L236" s="94">
        <v>31.37</v>
      </c>
      <c r="M236" s="94">
        <v>35.91</v>
      </c>
      <c r="N236" s="59">
        <v>23.66</v>
      </c>
      <c r="O236" s="88">
        <v>-0.06993795826283127</v>
      </c>
      <c r="P236" s="95">
        <v>-0.006533101045296105</v>
      </c>
      <c r="Q236" s="88">
        <v>-0.048936170212765896</v>
      </c>
      <c r="R236" s="88">
        <v>-0.048772712782913535</v>
      </c>
      <c r="S236" s="88">
        <v>-0.5177514792899407</v>
      </c>
      <c r="T236" s="59"/>
      <c r="U236" s="59"/>
      <c r="V236" s="91"/>
      <c r="W236" s="91"/>
      <c r="X236" s="91"/>
      <c r="Y236" s="91"/>
      <c r="Z236" s="91"/>
      <c r="AA236" s="96"/>
      <c r="AB236" s="97"/>
      <c r="AC236" s="91"/>
      <c r="AD236" s="91"/>
      <c r="AE236" s="91"/>
      <c r="AF236" s="91"/>
    </row>
    <row r="237">
      <c r="A237" s="59" t="s">
        <v>663</v>
      </c>
      <c r="B237" s="59" t="s">
        <v>664</v>
      </c>
      <c r="C237" s="70">
        <v>6.8612530844E10</v>
      </c>
      <c r="D237" s="86">
        <v>-0.13844066861940146</v>
      </c>
      <c r="E237" s="94">
        <v>85.29</v>
      </c>
      <c r="F237" s="94">
        <v>83.91</v>
      </c>
      <c r="G237" s="94">
        <v>77.55</v>
      </c>
      <c r="H237" s="59">
        <v>70.5</v>
      </c>
      <c r="I237" s="94">
        <v>64.44</v>
      </c>
      <c r="J237" s="59">
        <v>60.8</v>
      </c>
      <c r="K237" s="94">
        <v>145.17</v>
      </c>
      <c r="L237" s="94">
        <v>140.81</v>
      </c>
      <c r="M237" s="94">
        <v>188.14</v>
      </c>
      <c r="N237" s="59">
        <v>126.7</v>
      </c>
      <c r="O237" s="88">
        <v>-0.016446192348945416</v>
      </c>
      <c r="P237" s="95">
        <v>-0.09999999999999996</v>
      </c>
      <c r="Q237" s="88">
        <v>-0.05986842105263159</v>
      </c>
      <c r="R237" s="88">
        <v>-0.030963709963780877</v>
      </c>
      <c r="S237" s="88">
        <v>-0.4849250197316494</v>
      </c>
      <c r="T237" s="59"/>
      <c r="U237" s="59"/>
      <c r="V237" s="91"/>
      <c r="W237" s="91"/>
      <c r="X237" s="91"/>
      <c r="Y237" s="91"/>
      <c r="Z237" s="91"/>
      <c r="AA237" s="96"/>
      <c r="AB237" s="97"/>
      <c r="AC237" s="91"/>
      <c r="AD237" s="91"/>
      <c r="AE237" s="91"/>
      <c r="AF237" s="91"/>
    </row>
    <row r="238">
      <c r="A238" s="59" t="s">
        <v>665</v>
      </c>
      <c r="B238" s="59" t="s">
        <v>666</v>
      </c>
      <c r="C238" s="70">
        <v>1.27270978652E11</v>
      </c>
      <c r="D238" s="86">
        <v>-0.13852002742203745</v>
      </c>
      <c r="E238" s="94">
        <v>113.82</v>
      </c>
      <c r="F238" s="94">
        <v>111.69</v>
      </c>
      <c r="G238" s="94">
        <v>86.75</v>
      </c>
      <c r="H238" s="59">
        <v>81.27</v>
      </c>
      <c r="I238" s="94">
        <v>72.82</v>
      </c>
      <c r="J238" s="59">
        <v>68.9</v>
      </c>
      <c r="K238" s="94">
        <v>204.68</v>
      </c>
      <c r="L238" s="94">
        <v>197.46</v>
      </c>
      <c r="M238" s="94">
        <v>435.55</v>
      </c>
      <c r="N238" s="59">
        <v>287.94</v>
      </c>
      <c r="O238" s="88">
        <v>-0.019070641955412262</v>
      </c>
      <c r="P238" s="95">
        <v>-0.06742955580164887</v>
      </c>
      <c r="Q238" s="88">
        <v>-0.05689404934687935</v>
      </c>
      <c r="R238" s="88">
        <v>-0.036564367466828715</v>
      </c>
      <c r="S238" s="88">
        <v>-0.512641522539418</v>
      </c>
      <c r="T238" s="59"/>
      <c r="U238" s="59"/>
      <c r="V238" s="91"/>
      <c r="W238" s="91"/>
      <c r="X238" s="91"/>
      <c r="Y238" s="91"/>
      <c r="Z238" s="91"/>
      <c r="AA238" s="96"/>
      <c r="AB238" s="97"/>
      <c r="AC238" s="91"/>
      <c r="AD238" s="91"/>
      <c r="AE238" s="91"/>
      <c r="AF238" s="91"/>
    </row>
    <row r="239">
      <c r="A239" s="59" t="s">
        <v>667</v>
      </c>
      <c r="B239" s="59" t="s">
        <v>668</v>
      </c>
      <c r="C239" s="70">
        <v>1.1379180278E10</v>
      </c>
      <c r="D239" s="86">
        <v>-0.13858171088625673</v>
      </c>
      <c r="E239" s="94">
        <v>42.91</v>
      </c>
      <c r="F239" s="94">
        <v>40.26</v>
      </c>
      <c r="G239" s="94">
        <v>46.32</v>
      </c>
      <c r="H239" s="59">
        <v>43.76</v>
      </c>
      <c r="I239" s="94">
        <v>52.94</v>
      </c>
      <c r="J239" s="59">
        <v>50.04</v>
      </c>
      <c r="K239" s="94">
        <v>177.54</v>
      </c>
      <c r="L239" s="94">
        <v>173.75</v>
      </c>
      <c r="M239" s="94">
        <v>141.81</v>
      </c>
      <c r="N239" s="59">
        <v>95.25</v>
      </c>
      <c r="O239" s="88">
        <v>-0.06582215598609038</v>
      </c>
      <c r="P239" s="95">
        <v>-0.058500914076782505</v>
      </c>
      <c r="Q239" s="88">
        <v>-0.05795363709032771</v>
      </c>
      <c r="R239" s="88">
        <v>-0.021812949640287724</v>
      </c>
      <c r="S239" s="88">
        <v>-0.4888188976377953</v>
      </c>
      <c r="T239" s="59"/>
      <c r="U239" s="59"/>
      <c r="V239" s="91"/>
      <c r="W239" s="91"/>
      <c r="X239" s="91"/>
      <c r="Y239" s="91"/>
      <c r="Z239" s="91"/>
      <c r="AA239" s="96"/>
      <c r="AB239" s="97"/>
      <c r="AC239" s="91"/>
      <c r="AD239" s="91"/>
      <c r="AE239" s="91"/>
      <c r="AF239" s="91"/>
    </row>
    <row r="240">
      <c r="A240" s="59" t="s">
        <v>669</v>
      </c>
      <c r="B240" s="59" t="s">
        <v>670</v>
      </c>
      <c r="C240" s="70">
        <v>9.9199379594E10</v>
      </c>
      <c r="D240" s="86">
        <v>-0.1387646602866473</v>
      </c>
      <c r="E240" s="94">
        <v>39.67</v>
      </c>
      <c r="F240" s="94">
        <v>39.49</v>
      </c>
      <c r="G240" s="94">
        <v>32.72</v>
      </c>
      <c r="H240" s="59">
        <v>31.39</v>
      </c>
      <c r="I240" s="94">
        <v>45.19</v>
      </c>
      <c r="J240" s="59">
        <v>40.25</v>
      </c>
      <c r="K240" s="94">
        <v>142.71</v>
      </c>
      <c r="L240" s="94">
        <v>135.75</v>
      </c>
      <c r="M240" s="94">
        <v>221.95</v>
      </c>
      <c r="N240" s="59">
        <v>150.69</v>
      </c>
      <c r="O240" s="88">
        <v>-0.004558115978728784</v>
      </c>
      <c r="P240" s="95">
        <v>-0.04237018158649246</v>
      </c>
      <c r="Q240" s="88">
        <v>-0.12273291925465833</v>
      </c>
      <c r="R240" s="88">
        <v>-0.05127071823204426</v>
      </c>
      <c r="S240" s="88">
        <v>-0.4728913663813126</v>
      </c>
      <c r="T240" s="59"/>
      <c r="U240" s="59"/>
      <c r="V240" s="91"/>
      <c r="W240" s="91"/>
      <c r="X240" s="91"/>
      <c r="Y240" s="91"/>
      <c r="Z240" s="91"/>
      <c r="AA240" s="96"/>
      <c r="AB240" s="97"/>
      <c r="AC240" s="91"/>
      <c r="AD240" s="91"/>
      <c r="AE240" s="91"/>
      <c r="AF240" s="91"/>
    </row>
    <row r="241">
      <c r="A241" s="59" t="s">
        <v>197</v>
      </c>
      <c r="B241" s="59" t="s">
        <v>671</v>
      </c>
      <c r="C241" s="70">
        <v>5.5575004317E10</v>
      </c>
      <c r="D241" s="86">
        <v>-0.13886754225814513</v>
      </c>
      <c r="E241" s="94" t="e">
        <v>#N/A</v>
      </c>
      <c r="F241" s="94" t="e">
        <v>#N/A</v>
      </c>
      <c r="G241" s="94">
        <v>39.5</v>
      </c>
      <c r="H241" s="59">
        <v>37.85</v>
      </c>
      <c r="I241" s="94">
        <v>46.06</v>
      </c>
      <c r="J241" s="59">
        <v>42.06</v>
      </c>
      <c r="K241" s="94">
        <v>177.53</v>
      </c>
      <c r="L241" s="94">
        <v>171.5</v>
      </c>
      <c r="M241" s="94">
        <v>537.6</v>
      </c>
      <c r="N241" s="59">
        <v>389.11</v>
      </c>
      <c r="O241" s="88" t="e">
        <v>#N/A</v>
      </c>
      <c r="P241" s="95">
        <v>-0.0435931307793923</v>
      </c>
      <c r="Q241" s="88">
        <v>-0.0951022349025202</v>
      </c>
      <c r="R241" s="88">
        <v>-0.03516034985422741</v>
      </c>
      <c r="S241" s="88">
        <v>-0.38161445349644063</v>
      </c>
      <c r="T241" s="59"/>
      <c r="U241" s="59"/>
      <c r="V241" s="91"/>
      <c r="W241" s="91"/>
      <c r="X241" s="91"/>
      <c r="Y241" s="91"/>
      <c r="Z241" s="91"/>
      <c r="AA241" s="96"/>
      <c r="AB241" s="97"/>
      <c r="AC241" s="91"/>
      <c r="AD241" s="91"/>
      <c r="AE241" s="91"/>
      <c r="AF241" s="91"/>
    </row>
    <row r="242">
      <c r="A242" s="59" t="s">
        <v>672</v>
      </c>
      <c r="B242" s="59" t="s">
        <v>673</v>
      </c>
      <c r="C242" s="70">
        <v>1.5062209387E10</v>
      </c>
      <c r="D242" s="86">
        <v>-0.13887941442228338</v>
      </c>
      <c r="E242" s="94">
        <v>29.3</v>
      </c>
      <c r="F242" s="94">
        <v>28.14</v>
      </c>
      <c r="G242" s="94">
        <v>27.86</v>
      </c>
      <c r="H242" s="59">
        <v>27.21</v>
      </c>
      <c r="I242" s="94">
        <v>33.65</v>
      </c>
      <c r="J242" s="59">
        <v>30.46</v>
      </c>
      <c r="K242" s="94">
        <v>38.69</v>
      </c>
      <c r="L242" s="94">
        <v>37.39</v>
      </c>
      <c r="M242" s="94">
        <v>105.79</v>
      </c>
      <c r="N242" s="59">
        <v>71.01</v>
      </c>
      <c r="O242" s="88">
        <v>-0.0412224591329069</v>
      </c>
      <c r="P242" s="95">
        <v>-0.02388827636898194</v>
      </c>
      <c r="Q242" s="88">
        <v>-0.10472751149047924</v>
      </c>
      <c r="R242" s="88">
        <v>-0.03476865472051343</v>
      </c>
      <c r="S242" s="88">
        <v>-0.4897901703985354</v>
      </c>
      <c r="T242" s="59"/>
      <c r="U242" s="59"/>
      <c r="V242" s="91"/>
      <c r="W242" s="91"/>
      <c r="X242" s="91"/>
      <c r="Y242" s="91"/>
      <c r="Z242" s="91"/>
      <c r="AA242" s="96"/>
      <c r="AB242" s="97"/>
      <c r="AC242" s="91"/>
      <c r="AD242" s="91"/>
      <c r="AE242" s="91"/>
      <c r="AF242" s="91"/>
    </row>
    <row r="243">
      <c r="A243" s="59" t="s">
        <v>674</v>
      </c>
      <c r="B243" s="59" t="s">
        <v>675</v>
      </c>
      <c r="C243" s="70">
        <v>8.155544947E9</v>
      </c>
      <c r="D243" s="86">
        <v>-0.13965737820523122</v>
      </c>
      <c r="E243" s="94">
        <v>75.46</v>
      </c>
      <c r="F243" s="94">
        <v>74.95</v>
      </c>
      <c r="G243" s="94">
        <v>79.52</v>
      </c>
      <c r="H243" s="59">
        <v>73.53</v>
      </c>
      <c r="I243" s="94">
        <v>80.54</v>
      </c>
      <c r="J243" s="59">
        <v>75.31</v>
      </c>
      <c r="K243" s="94">
        <v>134.0</v>
      </c>
      <c r="L243" s="94">
        <v>127.58</v>
      </c>
      <c r="M243" s="94">
        <v>126.88</v>
      </c>
      <c r="N243" s="59">
        <v>85.14</v>
      </c>
      <c r="O243" s="88">
        <v>-0.006804536357571593</v>
      </c>
      <c r="P243" s="95">
        <v>-0.08146334829321358</v>
      </c>
      <c r="Q243" s="88">
        <v>-0.06944628867348299</v>
      </c>
      <c r="R243" s="88">
        <v>-0.050321366985420925</v>
      </c>
      <c r="S243" s="88">
        <v>-0.4902513507164669</v>
      </c>
      <c r="T243" s="59"/>
      <c r="U243" s="59"/>
      <c r="V243" s="91"/>
      <c r="W243" s="91"/>
      <c r="X243" s="91"/>
      <c r="Y243" s="91"/>
      <c r="Z243" s="91"/>
      <c r="AA243" s="96"/>
      <c r="AB243" s="97"/>
      <c r="AC243" s="91"/>
      <c r="AD243" s="91"/>
      <c r="AE243" s="91"/>
      <c r="AF243" s="91"/>
    </row>
    <row r="244">
      <c r="A244" s="59" t="s">
        <v>676</v>
      </c>
      <c r="B244" s="59" t="s">
        <v>677</v>
      </c>
      <c r="C244" s="70">
        <v>1.0297659756E10</v>
      </c>
      <c r="D244" s="86">
        <v>-0.13983882765025712</v>
      </c>
      <c r="E244" s="94">
        <v>16.87</v>
      </c>
      <c r="F244" s="94">
        <v>16.52</v>
      </c>
      <c r="G244" s="94">
        <v>14.76</v>
      </c>
      <c r="H244" s="59">
        <v>12.12</v>
      </c>
      <c r="I244" s="94">
        <v>8.15</v>
      </c>
      <c r="J244" s="59">
        <v>7.31</v>
      </c>
      <c r="K244" s="94">
        <v>26.53</v>
      </c>
      <c r="L244" s="94">
        <v>25.29</v>
      </c>
      <c r="M244" s="94">
        <v>45.55</v>
      </c>
      <c r="N244" s="59">
        <v>35.14</v>
      </c>
      <c r="O244" s="88">
        <v>-0.021186440677966187</v>
      </c>
      <c r="P244" s="95">
        <v>-0.21782178217821788</v>
      </c>
      <c r="Q244" s="88">
        <v>-0.11491108071135442</v>
      </c>
      <c r="R244" s="88">
        <v>-0.04903123764333737</v>
      </c>
      <c r="S244" s="88">
        <v>-0.2962435970404097</v>
      </c>
      <c r="T244" s="59"/>
      <c r="U244" s="59"/>
      <c r="V244" s="91"/>
      <c r="W244" s="91"/>
      <c r="X244" s="91"/>
      <c r="Y244" s="91"/>
      <c r="Z244" s="91"/>
      <c r="AA244" s="96"/>
      <c r="AB244" s="97"/>
      <c r="AC244" s="91"/>
      <c r="AD244" s="91"/>
      <c r="AE244" s="91"/>
      <c r="AF244" s="91"/>
    </row>
    <row r="245">
      <c r="A245" s="59" t="s">
        <v>678</v>
      </c>
      <c r="B245" s="59" t="s">
        <v>679</v>
      </c>
      <c r="C245" s="70">
        <v>2.0631312E10</v>
      </c>
      <c r="D245" s="86">
        <v>-0.13991541835617924</v>
      </c>
      <c r="E245" s="94">
        <v>73.06</v>
      </c>
      <c r="F245" s="94">
        <v>74.19</v>
      </c>
      <c r="G245" s="94">
        <v>78.56</v>
      </c>
      <c r="H245" s="59">
        <v>75.23</v>
      </c>
      <c r="I245" s="94">
        <v>86.03</v>
      </c>
      <c r="J245" s="59">
        <v>81.04</v>
      </c>
      <c r="K245" s="94">
        <v>120.3</v>
      </c>
      <c r="L245" s="94">
        <v>115.37</v>
      </c>
      <c r="M245" s="94">
        <v>190.94</v>
      </c>
      <c r="N245" s="59">
        <v>121.91</v>
      </c>
      <c r="O245" s="88">
        <v>0.0152311632295457</v>
      </c>
      <c r="P245" s="95">
        <v>-0.044264256280739045</v>
      </c>
      <c r="Q245" s="88">
        <v>-0.061574531095755114</v>
      </c>
      <c r="R245" s="88">
        <v>-0.04273207939672352</v>
      </c>
      <c r="S245" s="88">
        <v>-0.5662373882372242</v>
      </c>
      <c r="T245" s="59"/>
      <c r="U245" s="59"/>
      <c r="V245" s="91"/>
      <c r="W245" s="91"/>
      <c r="X245" s="91"/>
      <c r="Y245" s="91"/>
      <c r="Z245" s="91"/>
      <c r="AA245" s="96"/>
      <c r="AB245" s="97"/>
      <c r="AC245" s="91"/>
      <c r="AD245" s="91"/>
      <c r="AE245" s="91"/>
      <c r="AF245" s="91"/>
    </row>
    <row r="246">
      <c r="A246" s="59" t="s">
        <v>680</v>
      </c>
      <c r="B246" s="59" t="s">
        <v>681</v>
      </c>
      <c r="C246" s="70">
        <v>1.18492709272E11</v>
      </c>
      <c r="D246" s="86">
        <v>-0.14080074212770577</v>
      </c>
      <c r="E246" s="94">
        <v>14.94</v>
      </c>
      <c r="F246" s="94">
        <v>15.13</v>
      </c>
      <c r="G246" s="94">
        <v>19.44</v>
      </c>
      <c r="H246" s="59">
        <v>17.65</v>
      </c>
      <c r="I246" s="94">
        <v>20.97</v>
      </c>
      <c r="J246" s="59">
        <v>19.8</v>
      </c>
      <c r="K246" s="94">
        <v>53.44</v>
      </c>
      <c r="L246" s="94">
        <v>51.94</v>
      </c>
      <c r="M246" s="94">
        <v>102.0</v>
      </c>
      <c r="N246" s="59">
        <v>66.79</v>
      </c>
      <c r="O246" s="88">
        <v>0.012557832121612773</v>
      </c>
      <c r="P246" s="95">
        <v>-0.101416430594901</v>
      </c>
      <c r="Q246" s="88">
        <v>-0.05909090909090899</v>
      </c>
      <c r="R246" s="88">
        <v>-0.02887947631882942</v>
      </c>
      <c r="S246" s="88">
        <v>-0.5271747267555021</v>
      </c>
      <c r="T246" s="59"/>
      <c r="U246" s="59"/>
      <c r="V246" s="91"/>
      <c r="W246" s="91"/>
      <c r="X246" s="91"/>
      <c r="Y246" s="91"/>
      <c r="Z246" s="91"/>
      <c r="AA246" s="96"/>
      <c r="AB246" s="97"/>
      <c r="AC246" s="91"/>
      <c r="AD246" s="91"/>
      <c r="AE246" s="91"/>
      <c r="AF246" s="91"/>
    </row>
    <row r="247">
      <c r="A247" s="59" t="s">
        <v>682</v>
      </c>
      <c r="B247" s="59" t="s">
        <v>683</v>
      </c>
      <c r="C247" s="70">
        <v>2.4478849407E10</v>
      </c>
      <c r="D247" s="86">
        <v>-0.14101627680452294</v>
      </c>
      <c r="E247" s="94">
        <v>11.26</v>
      </c>
      <c r="F247" s="94">
        <v>10.68</v>
      </c>
      <c r="G247" s="94">
        <v>16.98</v>
      </c>
      <c r="H247" s="59">
        <v>15.77</v>
      </c>
      <c r="I247" s="94">
        <v>29.45</v>
      </c>
      <c r="J247" s="59">
        <v>26.83</v>
      </c>
      <c r="K247" s="94">
        <v>85.59</v>
      </c>
      <c r="L247" s="94">
        <v>83.58</v>
      </c>
      <c r="M247" s="94">
        <v>97.83</v>
      </c>
      <c r="N247" s="59">
        <v>67.36</v>
      </c>
      <c r="O247" s="88">
        <v>-0.05430711610486892</v>
      </c>
      <c r="P247" s="95">
        <v>-0.07672796448953716</v>
      </c>
      <c r="Q247" s="88">
        <v>-0.09765188222139401</v>
      </c>
      <c r="R247" s="88">
        <v>-0.024048815506102</v>
      </c>
      <c r="S247" s="88">
        <v>-0.4523456057007126</v>
      </c>
      <c r="T247" s="59"/>
      <c r="U247" s="59"/>
      <c r="V247" s="91"/>
      <c r="W247" s="91"/>
      <c r="X247" s="91"/>
      <c r="Y247" s="91"/>
      <c r="Z247" s="91"/>
      <c r="AA247" s="96"/>
      <c r="AB247" s="97"/>
      <c r="AC247" s="91"/>
      <c r="AD247" s="91"/>
      <c r="AE247" s="91"/>
      <c r="AF247" s="91"/>
    </row>
    <row r="248">
      <c r="A248" s="59" t="s">
        <v>684</v>
      </c>
      <c r="B248" s="59" t="s">
        <v>685</v>
      </c>
      <c r="C248" s="70">
        <v>1.1122597879E10</v>
      </c>
      <c r="D248" s="86">
        <v>-0.14169120354846973</v>
      </c>
      <c r="E248" s="94">
        <v>20.8</v>
      </c>
      <c r="F248" s="94">
        <v>20.34</v>
      </c>
      <c r="G248" s="94">
        <v>21.52</v>
      </c>
      <c r="H248" s="59">
        <v>19.72</v>
      </c>
      <c r="I248" s="94">
        <v>27.84</v>
      </c>
      <c r="J248" s="59">
        <v>25.97</v>
      </c>
      <c r="K248" s="94">
        <v>72.13</v>
      </c>
      <c r="L248" s="94">
        <v>69.43</v>
      </c>
      <c r="M248" s="94">
        <v>82.67</v>
      </c>
      <c r="N248" s="59">
        <v>55.72</v>
      </c>
      <c r="O248" s="88">
        <v>-0.022615535889872217</v>
      </c>
      <c r="P248" s="95">
        <v>-0.09127789046653148</v>
      </c>
      <c r="Q248" s="88">
        <v>-0.07200616095494806</v>
      </c>
      <c r="R248" s="88">
        <v>-0.038888088722454105</v>
      </c>
      <c r="S248" s="88">
        <v>-0.4836683417085428</v>
      </c>
      <c r="T248" s="59"/>
      <c r="U248" s="59"/>
      <c r="V248" s="91"/>
      <c r="W248" s="91"/>
      <c r="X248" s="91"/>
      <c r="Y248" s="91"/>
      <c r="Z248" s="91"/>
      <c r="AA248" s="96"/>
      <c r="AB248" s="97"/>
      <c r="AC248" s="91"/>
      <c r="AD248" s="91"/>
      <c r="AE248" s="91"/>
      <c r="AF248" s="91"/>
    </row>
    <row r="249">
      <c r="A249" s="59" t="s">
        <v>686</v>
      </c>
      <c r="B249" s="59" t="s">
        <v>687</v>
      </c>
      <c r="C249" s="70">
        <v>1.4335846439E10</v>
      </c>
      <c r="D249" s="86">
        <v>-0.14208317440220553</v>
      </c>
      <c r="E249" s="94">
        <v>115.61</v>
      </c>
      <c r="F249" s="94">
        <v>107.0</v>
      </c>
      <c r="G249" s="94">
        <v>110.24</v>
      </c>
      <c r="H249" s="59">
        <v>102.55</v>
      </c>
      <c r="I249" s="94">
        <v>127.32</v>
      </c>
      <c r="J249" s="59">
        <v>120.75</v>
      </c>
      <c r="K249" s="94">
        <v>222.95</v>
      </c>
      <c r="L249" s="94">
        <v>211.86</v>
      </c>
      <c r="M249" s="94">
        <v>323.92</v>
      </c>
      <c r="N249" s="59">
        <v>223.67</v>
      </c>
      <c r="O249" s="88">
        <v>-0.08046728971962616</v>
      </c>
      <c r="P249" s="95">
        <v>-0.07498781082398828</v>
      </c>
      <c r="Q249" s="88">
        <v>-0.0544099378881987</v>
      </c>
      <c r="R249" s="88">
        <v>-0.0523458887944868</v>
      </c>
      <c r="S249" s="88">
        <v>-0.44820494478472767</v>
      </c>
      <c r="T249" s="59"/>
      <c r="U249" s="59"/>
      <c r="V249" s="91"/>
      <c r="W249" s="91"/>
      <c r="X249" s="91"/>
      <c r="Y249" s="91"/>
      <c r="Z249" s="91"/>
      <c r="AA249" s="96"/>
      <c r="AB249" s="97"/>
      <c r="AC249" s="91"/>
      <c r="AD249" s="91"/>
      <c r="AE249" s="91"/>
      <c r="AF249" s="91"/>
    </row>
    <row r="250">
      <c r="A250" s="59" t="s">
        <v>688</v>
      </c>
      <c r="B250" s="59" t="s">
        <v>689</v>
      </c>
      <c r="C250" s="70">
        <v>2.3841460792E10</v>
      </c>
      <c r="D250" s="86">
        <v>-0.1422164549304751</v>
      </c>
      <c r="E250" s="94">
        <v>57.08</v>
      </c>
      <c r="F250" s="94">
        <v>53.98</v>
      </c>
      <c r="G250" s="94">
        <v>58.58</v>
      </c>
      <c r="H250" s="59">
        <v>52.51</v>
      </c>
      <c r="I250" s="94">
        <v>51.51</v>
      </c>
      <c r="J250" s="59">
        <v>47.23</v>
      </c>
      <c r="K250" s="94">
        <v>72.09</v>
      </c>
      <c r="L250" s="94">
        <v>69.65</v>
      </c>
      <c r="M250" s="94">
        <v>137.78</v>
      </c>
      <c r="N250" s="59">
        <v>97.55</v>
      </c>
      <c r="O250" s="88">
        <v>-0.05742867728788443</v>
      </c>
      <c r="P250" s="95">
        <v>-0.11559702913730718</v>
      </c>
      <c r="Q250" s="88">
        <v>-0.09062036840990899</v>
      </c>
      <c r="R250" s="88">
        <v>-0.03503230437903801</v>
      </c>
      <c r="S250" s="88">
        <v>-0.41240389543823686</v>
      </c>
      <c r="T250" s="59"/>
      <c r="U250" s="59"/>
      <c r="V250" s="91"/>
      <c r="W250" s="91"/>
      <c r="X250" s="91"/>
      <c r="Y250" s="91"/>
      <c r="Z250" s="91"/>
      <c r="AA250" s="96"/>
      <c r="AB250" s="97"/>
      <c r="AC250" s="91"/>
      <c r="AD250" s="91"/>
      <c r="AE250" s="91"/>
      <c r="AF250" s="91"/>
    </row>
    <row r="251">
      <c r="A251" s="59" t="s">
        <v>690</v>
      </c>
      <c r="B251" s="59" t="s">
        <v>691</v>
      </c>
      <c r="C251" s="70">
        <v>1.559582704E10</v>
      </c>
      <c r="D251" s="86">
        <v>-0.14239918097681373</v>
      </c>
      <c r="E251" s="94">
        <v>29.98</v>
      </c>
      <c r="F251" s="94">
        <v>28.51</v>
      </c>
      <c r="G251" s="94">
        <v>28.71</v>
      </c>
      <c r="H251" s="59">
        <v>26.58</v>
      </c>
      <c r="I251" s="94">
        <v>25.97</v>
      </c>
      <c r="J251" s="59">
        <v>24.05</v>
      </c>
      <c r="K251" s="94">
        <v>53.86</v>
      </c>
      <c r="L251" s="94">
        <v>51.27</v>
      </c>
      <c r="M251" s="94">
        <v>113.85</v>
      </c>
      <c r="N251" s="59">
        <v>78.52</v>
      </c>
      <c r="O251" s="88">
        <v>-0.051560855840056076</v>
      </c>
      <c r="P251" s="95">
        <v>-0.080135440180587</v>
      </c>
      <c r="Q251" s="88">
        <v>-0.07983367983367975</v>
      </c>
      <c r="R251" s="88">
        <v>-0.05051687146479415</v>
      </c>
      <c r="S251" s="88">
        <v>-0.4499490575649516</v>
      </c>
      <c r="T251" s="59"/>
      <c r="U251" s="59"/>
      <c r="V251" s="91"/>
      <c r="W251" s="91"/>
      <c r="X251" s="91"/>
      <c r="Y251" s="91"/>
      <c r="Z251" s="91"/>
      <c r="AA251" s="96"/>
      <c r="AB251" s="97"/>
      <c r="AC251" s="91"/>
      <c r="AD251" s="91"/>
      <c r="AE251" s="91"/>
      <c r="AF251" s="91"/>
    </row>
    <row r="252">
      <c r="A252" s="59" t="s">
        <v>692</v>
      </c>
      <c r="B252" s="59" t="s">
        <v>693</v>
      </c>
      <c r="C252" s="70">
        <v>4.5685407836E10</v>
      </c>
      <c r="D252" s="86">
        <v>-0.14300031847191716</v>
      </c>
      <c r="E252" s="94">
        <v>11.1</v>
      </c>
      <c r="F252" s="94">
        <v>10.98</v>
      </c>
      <c r="G252" s="94">
        <v>11.78</v>
      </c>
      <c r="H252" s="59">
        <v>10.62</v>
      </c>
      <c r="I252" s="94">
        <v>10.85</v>
      </c>
      <c r="J252" s="59">
        <v>10.29</v>
      </c>
      <c r="K252" s="94">
        <v>25.92</v>
      </c>
      <c r="L252" s="94">
        <v>24.53</v>
      </c>
      <c r="M252" s="94">
        <v>50.7</v>
      </c>
      <c r="N252" s="59">
        <v>34.17</v>
      </c>
      <c r="O252" s="88">
        <v>-0.010928961748633809</v>
      </c>
      <c r="P252" s="95">
        <v>-0.10922787193973636</v>
      </c>
      <c r="Q252" s="88">
        <v>-0.05442176870748305</v>
      </c>
      <c r="R252" s="88">
        <v>-0.05666530778638404</v>
      </c>
      <c r="S252" s="88">
        <v>-0.48375768217734855</v>
      </c>
      <c r="T252" s="59"/>
      <c r="U252" s="59"/>
      <c r="V252" s="91"/>
      <c r="W252" s="91"/>
      <c r="X252" s="91"/>
      <c r="Y252" s="91"/>
      <c r="Z252" s="91"/>
      <c r="AA252" s="96"/>
      <c r="AB252" s="97"/>
      <c r="AC252" s="91"/>
      <c r="AD252" s="91"/>
      <c r="AE252" s="91"/>
      <c r="AF252" s="91"/>
    </row>
    <row r="253">
      <c r="A253" s="59" t="s">
        <v>694</v>
      </c>
      <c r="B253" s="59" t="s">
        <v>695</v>
      </c>
      <c r="C253" s="70">
        <v>3.06281905E10</v>
      </c>
      <c r="D253" s="86">
        <v>-0.14359670338867303</v>
      </c>
      <c r="E253" s="94">
        <v>10.55</v>
      </c>
      <c r="F253" s="94">
        <v>9.58</v>
      </c>
      <c r="G253" s="94">
        <v>7.04</v>
      </c>
      <c r="H253" s="59">
        <v>6.37</v>
      </c>
      <c r="I253" s="94">
        <v>7.6</v>
      </c>
      <c r="J253" s="59">
        <v>6.8</v>
      </c>
      <c r="K253" s="94">
        <v>17.18</v>
      </c>
      <c r="L253" s="94">
        <v>16.55</v>
      </c>
      <c r="M253" s="94">
        <v>38.56</v>
      </c>
      <c r="N253" s="59">
        <v>28.44</v>
      </c>
      <c r="O253" s="88">
        <v>-0.10125260960334036</v>
      </c>
      <c r="P253" s="95">
        <v>-0.1051805337519623</v>
      </c>
      <c r="Q253" s="88">
        <v>-0.11764705882352938</v>
      </c>
      <c r="R253" s="88">
        <v>-0.03806646525679752</v>
      </c>
      <c r="S253" s="88">
        <v>-0.3558368495077356</v>
      </c>
      <c r="T253" s="59"/>
      <c r="U253" s="59"/>
      <c r="V253" s="91"/>
      <c r="W253" s="91"/>
      <c r="X253" s="91"/>
      <c r="Y253" s="91"/>
      <c r="Z253" s="91"/>
      <c r="AA253" s="96"/>
      <c r="AB253" s="97"/>
      <c r="AC253" s="91"/>
      <c r="AD253" s="91"/>
      <c r="AE253" s="91"/>
      <c r="AF253" s="91"/>
    </row>
    <row r="254">
      <c r="A254" s="59" t="s">
        <v>199</v>
      </c>
      <c r="B254" s="59" t="s">
        <v>696</v>
      </c>
      <c r="C254" s="70">
        <v>9.993854E10</v>
      </c>
      <c r="D254" s="86">
        <v>-0.1437812578287009</v>
      </c>
      <c r="E254" s="94">
        <v>7.54</v>
      </c>
      <c r="F254" s="94">
        <v>7.54</v>
      </c>
      <c r="G254" s="94">
        <v>13.59</v>
      </c>
      <c r="H254" s="59">
        <v>12.73</v>
      </c>
      <c r="I254" s="94">
        <v>18.36</v>
      </c>
      <c r="J254" s="59">
        <v>17.02</v>
      </c>
      <c r="K254" s="94">
        <v>52.84</v>
      </c>
      <c r="L254" s="94">
        <v>50.34</v>
      </c>
      <c r="M254" s="94">
        <v>89.23</v>
      </c>
      <c r="N254" s="59">
        <v>58.59</v>
      </c>
      <c r="O254" s="88">
        <v>0.0</v>
      </c>
      <c r="P254" s="95">
        <v>-0.06755695208169674</v>
      </c>
      <c r="Q254" s="88">
        <v>-0.07873090481786134</v>
      </c>
      <c r="R254" s="88">
        <v>-0.04966229638458482</v>
      </c>
      <c r="S254" s="88">
        <v>-0.5229561358593616</v>
      </c>
      <c r="T254" s="59"/>
      <c r="U254" s="59"/>
      <c r="V254" s="91"/>
      <c r="W254" s="91"/>
      <c r="X254" s="91"/>
      <c r="Y254" s="91"/>
      <c r="Z254" s="91"/>
      <c r="AA254" s="96"/>
      <c r="AB254" s="97"/>
      <c r="AC254" s="91"/>
      <c r="AD254" s="91"/>
      <c r="AE254" s="91"/>
      <c r="AF254" s="91"/>
    </row>
    <row r="255">
      <c r="A255" s="59" t="s">
        <v>697</v>
      </c>
      <c r="B255" s="59" t="s">
        <v>698</v>
      </c>
      <c r="C255" s="70">
        <v>8.3317160481E10</v>
      </c>
      <c r="D255" s="86">
        <v>-0.14400074662156437</v>
      </c>
      <c r="E255" s="94">
        <v>8.52</v>
      </c>
      <c r="F255" s="94">
        <v>8.31</v>
      </c>
      <c r="G255" s="94">
        <v>11.79</v>
      </c>
      <c r="H255" s="59">
        <v>10.92</v>
      </c>
      <c r="I255" s="94">
        <v>13.18</v>
      </c>
      <c r="J255" s="59">
        <v>12.69</v>
      </c>
      <c r="K255" s="94">
        <v>35.78</v>
      </c>
      <c r="L255" s="94">
        <v>34.72</v>
      </c>
      <c r="M255" s="94">
        <v>63.46</v>
      </c>
      <c r="N255" s="59">
        <v>41.05</v>
      </c>
      <c r="O255" s="88">
        <v>-0.02527075812274357</v>
      </c>
      <c r="P255" s="95">
        <v>-0.0796703296703296</v>
      </c>
      <c r="Q255" s="88">
        <v>-0.03861308116627268</v>
      </c>
      <c r="R255" s="88">
        <v>-0.030529953917050757</v>
      </c>
      <c r="S255" s="88">
        <v>-0.5459196102314252</v>
      </c>
      <c r="T255" s="59"/>
      <c r="U255" s="59"/>
      <c r="V255" s="91"/>
      <c r="W255" s="91"/>
      <c r="X255" s="91"/>
      <c r="Y255" s="91"/>
      <c r="Z255" s="91"/>
      <c r="AA255" s="96"/>
      <c r="AB255" s="97"/>
      <c r="AC255" s="91"/>
      <c r="AD255" s="91"/>
      <c r="AE255" s="91"/>
      <c r="AF255" s="91"/>
    </row>
    <row r="256">
      <c r="A256" s="59" t="s">
        <v>699</v>
      </c>
      <c r="B256" s="59" t="s">
        <v>700</v>
      </c>
      <c r="C256" s="70">
        <v>1.3714456373E10</v>
      </c>
      <c r="D256" s="86">
        <v>-0.14436453501810279</v>
      </c>
      <c r="E256" s="94">
        <v>48.21</v>
      </c>
      <c r="F256" s="94">
        <v>45.41</v>
      </c>
      <c r="G256" s="94">
        <v>39.16</v>
      </c>
      <c r="H256" s="59">
        <v>35.65</v>
      </c>
      <c r="I256" s="94">
        <v>29.12</v>
      </c>
      <c r="J256" s="59">
        <v>26.3</v>
      </c>
      <c r="K256" s="94">
        <v>60.25</v>
      </c>
      <c r="L256" s="94">
        <v>57.23</v>
      </c>
      <c r="M256" s="94">
        <v>135.98</v>
      </c>
      <c r="N256" s="59">
        <v>97.01</v>
      </c>
      <c r="O256" s="88">
        <v>-0.0616604272186744</v>
      </c>
      <c r="P256" s="95">
        <v>-0.09845722300140247</v>
      </c>
      <c r="Q256" s="88">
        <v>-0.10722433460076046</v>
      </c>
      <c r="R256" s="88">
        <v>-0.05276952647213006</v>
      </c>
      <c r="S256" s="88">
        <v>-0.40171116379754646</v>
      </c>
      <c r="T256" s="59"/>
      <c r="U256" s="59"/>
      <c r="V256" s="91"/>
      <c r="W256" s="91"/>
      <c r="X256" s="91"/>
      <c r="Y256" s="91"/>
      <c r="Z256" s="91"/>
      <c r="AA256" s="96"/>
      <c r="AB256" s="97"/>
      <c r="AC256" s="91"/>
      <c r="AD256" s="91"/>
      <c r="AE256" s="91"/>
      <c r="AF256" s="91"/>
    </row>
    <row r="257">
      <c r="A257" s="59" t="s">
        <v>701</v>
      </c>
      <c r="B257" s="59" t="s">
        <v>702</v>
      </c>
      <c r="C257" s="70">
        <v>2.1966757752E10</v>
      </c>
      <c r="D257" s="86">
        <v>-0.14444960568700332</v>
      </c>
      <c r="E257" s="94">
        <v>68.72</v>
      </c>
      <c r="F257" s="94">
        <v>67.03</v>
      </c>
      <c r="G257" s="94">
        <v>37.85</v>
      </c>
      <c r="H257" s="59">
        <v>35.06</v>
      </c>
      <c r="I257" s="94">
        <v>41.36</v>
      </c>
      <c r="J257" s="59">
        <v>39.19</v>
      </c>
      <c r="K257" s="94">
        <v>33.99</v>
      </c>
      <c r="L257" s="94">
        <v>32.74</v>
      </c>
      <c r="M257" s="94">
        <v>52.27</v>
      </c>
      <c r="N257" s="59">
        <v>34.3</v>
      </c>
      <c r="O257" s="88">
        <v>-0.02521259137699534</v>
      </c>
      <c r="P257" s="95">
        <v>-0.07957786651454646</v>
      </c>
      <c r="Q257" s="88">
        <v>-0.05537126818065838</v>
      </c>
      <c r="R257" s="88">
        <v>-0.03817959682345754</v>
      </c>
      <c r="S257" s="88">
        <v>-0.5239067055393588</v>
      </c>
      <c r="T257" s="59"/>
      <c r="U257" s="59"/>
      <c r="V257" s="91"/>
      <c r="W257" s="91"/>
      <c r="X257" s="91"/>
      <c r="Y257" s="91"/>
      <c r="Z257" s="91"/>
      <c r="AA257" s="96"/>
      <c r="AB257" s="97"/>
      <c r="AC257" s="91"/>
      <c r="AD257" s="91"/>
      <c r="AE257" s="91"/>
      <c r="AF257" s="91"/>
    </row>
    <row r="258">
      <c r="A258" s="59" t="s">
        <v>703</v>
      </c>
      <c r="B258" s="59" t="s">
        <v>704</v>
      </c>
      <c r="C258" s="70">
        <v>1.9387795201E10</v>
      </c>
      <c r="D258" s="86">
        <v>-0.14456316762491678</v>
      </c>
      <c r="E258" s="94">
        <v>23.23</v>
      </c>
      <c r="F258" s="94">
        <v>16.57</v>
      </c>
      <c r="G258" s="94">
        <v>11.17</v>
      </c>
      <c r="H258" s="59">
        <v>9.83</v>
      </c>
      <c r="I258" s="94">
        <v>12.14</v>
      </c>
      <c r="J258" s="59">
        <v>11.07</v>
      </c>
      <c r="K258" s="94">
        <v>28.88</v>
      </c>
      <c r="L258" s="94">
        <v>27.83</v>
      </c>
      <c r="M258" s="94">
        <v>113.43</v>
      </c>
      <c r="N258" s="59">
        <v>108.01</v>
      </c>
      <c r="O258" s="88">
        <v>-0.4019312009656005</v>
      </c>
      <c r="P258" s="95">
        <v>-0.1363173957273652</v>
      </c>
      <c r="Q258" s="88">
        <v>-0.09665763324299911</v>
      </c>
      <c r="R258" s="88">
        <v>-0.03772906934962274</v>
      </c>
      <c r="S258" s="88">
        <v>-0.050180538838996404</v>
      </c>
      <c r="T258" s="59"/>
      <c r="U258" s="59"/>
      <c r="V258" s="91"/>
      <c r="W258" s="91"/>
      <c r="X258" s="91"/>
      <c r="Y258" s="91"/>
      <c r="Z258" s="91"/>
      <c r="AA258" s="96"/>
      <c r="AB258" s="97"/>
      <c r="AC258" s="91"/>
      <c r="AD258" s="91"/>
      <c r="AE258" s="91"/>
      <c r="AF258" s="91"/>
    </row>
    <row r="259">
      <c r="A259" s="59" t="s">
        <v>705</v>
      </c>
      <c r="B259" s="59" t="s">
        <v>706</v>
      </c>
      <c r="C259" s="70">
        <v>3.4126199107E10</v>
      </c>
      <c r="D259" s="86">
        <v>-0.1446580389651575</v>
      </c>
      <c r="E259" s="94">
        <v>34.67</v>
      </c>
      <c r="F259" s="94">
        <v>36.56</v>
      </c>
      <c r="G259" s="94">
        <v>31.33</v>
      </c>
      <c r="H259" s="59">
        <v>30.06</v>
      </c>
      <c r="I259" s="94">
        <v>22.79</v>
      </c>
      <c r="J259" s="59">
        <v>20.57</v>
      </c>
      <c r="K259" s="94">
        <v>41.45</v>
      </c>
      <c r="L259" s="94">
        <v>38.64</v>
      </c>
      <c r="M259" s="94">
        <v>45.29</v>
      </c>
      <c r="N259" s="59">
        <v>29.18</v>
      </c>
      <c r="O259" s="88">
        <v>0.051695842450765875</v>
      </c>
      <c r="P259" s="95">
        <v>-0.0422488356620093</v>
      </c>
      <c r="Q259" s="88">
        <v>-0.10792416140009717</v>
      </c>
      <c r="R259" s="88">
        <v>-0.07272256728778474</v>
      </c>
      <c r="S259" s="88">
        <v>-0.5520904729266621</v>
      </c>
      <c r="T259" s="59"/>
      <c r="U259" s="59"/>
      <c r="V259" s="91"/>
      <c r="W259" s="91"/>
      <c r="X259" s="91"/>
      <c r="Y259" s="91"/>
      <c r="Z259" s="91"/>
      <c r="AA259" s="96"/>
      <c r="AB259" s="97"/>
      <c r="AC259" s="91"/>
      <c r="AD259" s="91"/>
      <c r="AE259" s="91"/>
      <c r="AF259" s="91"/>
    </row>
    <row r="260">
      <c r="A260" s="59" t="s">
        <v>707</v>
      </c>
      <c r="B260" s="59" t="s">
        <v>708</v>
      </c>
      <c r="C260" s="70">
        <v>1.15348147746E11</v>
      </c>
      <c r="D260" s="86">
        <v>-0.1462927118356883</v>
      </c>
      <c r="E260" s="94">
        <v>63.94</v>
      </c>
      <c r="F260" s="94">
        <v>63.21</v>
      </c>
      <c r="G260" s="94">
        <v>69.94</v>
      </c>
      <c r="H260" s="59">
        <v>62.1</v>
      </c>
      <c r="I260" s="94">
        <v>90.99</v>
      </c>
      <c r="J260" s="59">
        <v>82.6</v>
      </c>
      <c r="K260" s="94">
        <v>75.0</v>
      </c>
      <c r="L260" s="94">
        <v>72.82</v>
      </c>
      <c r="M260" s="94">
        <v>136.58</v>
      </c>
      <c r="N260" s="59">
        <v>93.41</v>
      </c>
      <c r="O260" s="88">
        <v>-0.011548805568739074</v>
      </c>
      <c r="P260" s="95">
        <v>-0.12624798711755228</v>
      </c>
      <c r="Q260" s="88">
        <v>-0.10157384987893464</v>
      </c>
      <c r="R260" s="88">
        <v>-0.029936830541060246</v>
      </c>
      <c r="S260" s="88">
        <v>-0.4621560860721552</v>
      </c>
      <c r="T260" s="59"/>
      <c r="U260" s="59"/>
      <c r="V260" s="91"/>
      <c r="W260" s="91"/>
      <c r="X260" s="91"/>
      <c r="Y260" s="91"/>
      <c r="Z260" s="91"/>
      <c r="AA260" s="96"/>
      <c r="AB260" s="97"/>
      <c r="AC260" s="91"/>
      <c r="AD260" s="91"/>
      <c r="AE260" s="91"/>
      <c r="AF260" s="91"/>
    </row>
    <row r="261">
      <c r="A261" s="59" t="s">
        <v>709</v>
      </c>
      <c r="B261" s="59" t="s">
        <v>710</v>
      </c>
      <c r="C261" s="70">
        <v>1.4138782961E10</v>
      </c>
      <c r="D261" s="86">
        <v>-0.14636469491890933</v>
      </c>
      <c r="E261" s="94">
        <v>57.01</v>
      </c>
      <c r="F261" s="94">
        <v>54.51</v>
      </c>
      <c r="G261" s="94">
        <v>47.85</v>
      </c>
      <c r="H261" s="59">
        <v>48.12</v>
      </c>
      <c r="I261" s="94">
        <v>40.99</v>
      </c>
      <c r="J261" s="59">
        <v>38.71</v>
      </c>
      <c r="K261" s="94">
        <v>42.97</v>
      </c>
      <c r="L261" s="94">
        <v>40.81</v>
      </c>
      <c r="M261" s="94">
        <v>123.22</v>
      </c>
      <c r="N261" s="59">
        <v>78.0</v>
      </c>
      <c r="O261" s="88">
        <v>-0.0458631443771785</v>
      </c>
      <c r="P261" s="95">
        <v>0.005610972568578471</v>
      </c>
      <c r="Q261" s="88">
        <v>-0.05889950917075694</v>
      </c>
      <c r="R261" s="88">
        <v>-0.052928203871600014</v>
      </c>
      <c r="S261" s="88">
        <v>-0.5797435897435897</v>
      </c>
      <c r="T261" s="59"/>
      <c r="U261" s="59"/>
      <c r="V261" s="91"/>
      <c r="W261" s="91"/>
      <c r="X261" s="91"/>
      <c r="Y261" s="91"/>
      <c r="Z261" s="91"/>
      <c r="AA261" s="96"/>
      <c r="AB261" s="97"/>
      <c r="AC261" s="91"/>
      <c r="AD261" s="91"/>
      <c r="AE261" s="91"/>
      <c r="AF261" s="91"/>
    </row>
    <row r="262">
      <c r="A262" s="59" t="s">
        <v>711</v>
      </c>
      <c r="B262" s="59" t="s">
        <v>712</v>
      </c>
      <c r="C262" s="70">
        <v>3.7425430616E10</v>
      </c>
      <c r="D262" s="86">
        <v>-0.14639967043054478</v>
      </c>
      <c r="E262" s="94">
        <v>24.78</v>
      </c>
      <c r="F262" s="94">
        <v>23.72</v>
      </c>
      <c r="G262" s="94">
        <v>31.87</v>
      </c>
      <c r="H262" s="59">
        <v>29.28</v>
      </c>
      <c r="I262" s="94">
        <v>29.06</v>
      </c>
      <c r="J262" s="59">
        <v>27.15</v>
      </c>
      <c r="K262" s="94">
        <v>46.11</v>
      </c>
      <c r="L262" s="94">
        <v>44.37</v>
      </c>
      <c r="M262" s="94">
        <v>77.86</v>
      </c>
      <c r="N262" s="59">
        <v>52.28</v>
      </c>
      <c r="O262" s="88">
        <v>-0.04468802698145035</v>
      </c>
      <c r="P262" s="95">
        <v>-0.08845628415300545</v>
      </c>
      <c r="Q262" s="88">
        <v>-0.0703499079189687</v>
      </c>
      <c r="R262" s="88">
        <v>-0.03921568627450985</v>
      </c>
      <c r="S262" s="88">
        <v>-0.48928844682478956</v>
      </c>
      <c r="T262" s="59"/>
      <c r="U262" s="59"/>
      <c r="V262" s="91"/>
      <c r="W262" s="91"/>
      <c r="X262" s="91"/>
      <c r="Y262" s="91"/>
      <c r="Z262" s="91"/>
      <c r="AA262" s="96"/>
      <c r="AB262" s="97"/>
      <c r="AC262" s="91"/>
      <c r="AD262" s="91"/>
      <c r="AE262" s="91"/>
      <c r="AF262" s="91"/>
    </row>
    <row r="263">
      <c r="A263" s="59" t="s">
        <v>201</v>
      </c>
      <c r="B263" s="59" t="s">
        <v>713</v>
      </c>
      <c r="C263" s="70">
        <v>4.254889519E10</v>
      </c>
      <c r="D263" s="86">
        <v>-0.1471698117332782</v>
      </c>
      <c r="E263" s="94">
        <v>33.99</v>
      </c>
      <c r="F263" s="94">
        <v>33.18</v>
      </c>
      <c r="G263" s="94">
        <v>30.95</v>
      </c>
      <c r="H263" s="59">
        <v>28.95</v>
      </c>
      <c r="I263" s="94">
        <v>27.09</v>
      </c>
      <c r="J263" s="59">
        <v>25.73</v>
      </c>
      <c r="K263" s="94">
        <v>45.69</v>
      </c>
      <c r="L263" s="94">
        <v>43.99</v>
      </c>
      <c r="M263" s="94">
        <v>89.36</v>
      </c>
      <c r="N263" s="59">
        <v>57.62</v>
      </c>
      <c r="O263" s="88">
        <v>-0.024412296564195368</v>
      </c>
      <c r="P263" s="95">
        <v>-0.0690846286701209</v>
      </c>
      <c r="Q263" s="88">
        <v>-0.052856587640886105</v>
      </c>
      <c r="R263" s="88">
        <v>-0.038645146624232685</v>
      </c>
      <c r="S263" s="88">
        <v>-0.550850399166956</v>
      </c>
      <c r="T263" s="59"/>
      <c r="U263" s="59"/>
      <c r="V263" s="91"/>
      <c r="W263" s="91"/>
      <c r="X263" s="91"/>
      <c r="Y263" s="91"/>
      <c r="Z263" s="91"/>
      <c r="AA263" s="96"/>
      <c r="AB263" s="97"/>
      <c r="AC263" s="91"/>
      <c r="AD263" s="91"/>
      <c r="AE263" s="91"/>
      <c r="AF263" s="91"/>
    </row>
    <row r="264">
      <c r="A264" s="59" t="s">
        <v>714</v>
      </c>
      <c r="B264" s="59" t="s">
        <v>715</v>
      </c>
      <c r="C264" s="70">
        <v>6.97473021E9</v>
      </c>
      <c r="D264" s="86">
        <v>-0.14745669248027996</v>
      </c>
      <c r="E264" s="94">
        <v>23.61</v>
      </c>
      <c r="F264" s="94">
        <v>23.73</v>
      </c>
      <c r="G264" s="94">
        <v>24.82</v>
      </c>
      <c r="H264" s="59">
        <v>21.52</v>
      </c>
      <c r="I264" s="94">
        <v>22.52</v>
      </c>
      <c r="J264" s="59">
        <v>20.2</v>
      </c>
      <c r="K264" s="94">
        <v>38.3</v>
      </c>
      <c r="L264" s="94">
        <v>36.7</v>
      </c>
      <c r="M264" s="94">
        <v>43.46</v>
      </c>
      <c r="N264" s="59">
        <v>30.38</v>
      </c>
      <c r="O264" s="88">
        <v>0.005056890012642267</v>
      </c>
      <c r="P264" s="95">
        <v>-0.15334572490706325</v>
      </c>
      <c r="Q264" s="88">
        <v>-0.11485148514851487</v>
      </c>
      <c r="R264" s="88">
        <v>-0.043596730245231446</v>
      </c>
      <c r="S264" s="88">
        <v>-0.43054641211323247</v>
      </c>
      <c r="T264" s="59"/>
      <c r="U264" s="59"/>
      <c r="V264" s="91"/>
      <c r="W264" s="91"/>
      <c r="X264" s="91"/>
      <c r="Y264" s="91"/>
      <c r="Z264" s="91"/>
      <c r="AA264" s="96"/>
      <c r="AB264" s="97"/>
      <c r="AC264" s="91"/>
      <c r="AD264" s="91"/>
      <c r="AE264" s="91"/>
      <c r="AF264" s="91"/>
    </row>
    <row r="265">
      <c r="A265" s="59" t="s">
        <v>203</v>
      </c>
      <c r="B265" s="59" t="s">
        <v>716</v>
      </c>
      <c r="C265" s="70">
        <v>4.6204629224E10</v>
      </c>
      <c r="D265" s="86">
        <v>-0.14746256436346977</v>
      </c>
      <c r="E265" s="94">
        <v>34.37</v>
      </c>
      <c r="F265" s="94">
        <v>33.42</v>
      </c>
      <c r="G265" s="94">
        <v>34.89</v>
      </c>
      <c r="H265" s="59">
        <v>30.06</v>
      </c>
      <c r="I265" s="94">
        <v>30.92</v>
      </c>
      <c r="J265" s="59">
        <v>28.06</v>
      </c>
      <c r="K265" s="94">
        <v>51.76</v>
      </c>
      <c r="L265" s="94">
        <v>49.39</v>
      </c>
      <c r="M265" s="94">
        <v>207.06</v>
      </c>
      <c r="N265" s="59">
        <v>148.08</v>
      </c>
      <c r="O265" s="88">
        <v>-0.028426092160382874</v>
      </c>
      <c r="P265" s="95">
        <v>-0.1606786427145709</v>
      </c>
      <c r="Q265" s="88">
        <v>-0.10192444761225955</v>
      </c>
      <c r="R265" s="88">
        <v>-0.04798542215023279</v>
      </c>
      <c r="S265" s="88">
        <v>-0.39829821717990266</v>
      </c>
      <c r="T265" s="59"/>
      <c r="U265" s="59"/>
      <c r="V265" s="91"/>
      <c r="W265" s="91"/>
      <c r="X265" s="91"/>
      <c r="Y265" s="91"/>
      <c r="Z265" s="91"/>
      <c r="AA265" s="96"/>
      <c r="AB265" s="97"/>
      <c r="AC265" s="91"/>
      <c r="AD265" s="91"/>
      <c r="AE265" s="91"/>
      <c r="AF265" s="91"/>
    </row>
    <row r="266">
      <c r="A266" s="59" t="s">
        <v>717</v>
      </c>
      <c r="B266" s="59" t="s">
        <v>718</v>
      </c>
      <c r="C266" s="70">
        <v>4.283404062E10</v>
      </c>
      <c r="D266" s="86">
        <v>-0.14746572279282164</v>
      </c>
      <c r="E266" s="94">
        <v>42.69</v>
      </c>
      <c r="F266" s="94">
        <v>43.7</v>
      </c>
      <c r="G266" s="94">
        <v>51.21</v>
      </c>
      <c r="H266" s="59">
        <v>49.26</v>
      </c>
      <c r="I266" s="94">
        <v>52.57</v>
      </c>
      <c r="J266" s="59">
        <v>48.58</v>
      </c>
      <c r="K266" s="94">
        <v>102.93</v>
      </c>
      <c r="L266" s="94">
        <v>98.78</v>
      </c>
      <c r="M266" s="94">
        <v>135.88</v>
      </c>
      <c r="N266" s="59">
        <v>85.1</v>
      </c>
      <c r="O266" s="88">
        <v>0.023112128146453206</v>
      </c>
      <c r="P266" s="95">
        <v>-0.03958587088915962</v>
      </c>
      <c r="Q266" s="88">
        <v>-0.0821325648414986</v>
      </c>
      <c r="R266" s="88">
        <v>-0.04201255314841067</v>
      </c>
      <c r="S266" s="88">
        <v>-0.5967097532314924</v>
      </c>
      <c r="T266" s="59"/>
      <c r="U266" s="59"/>
      <c r="V266" s="91"/>
      <c r="W266" s="91"/>
      <c r="X266" s="91"/>
      <c r="Y266" s="91"/>
      <c r="Z266" s="91"/>
      <c r="AA266" s="96"/>
      <c r="AB266" s="97"/>
      <c r="AC266" s="91"/>
      <c r="AD266" s="91"/>
      <c r="AE266" s="91"/>
      <c r="AF266" s="91"/>
    </row>
    <row r="267">
      <c r="A267" s="59" t="s">
        <v>719</v>
      </c>
      <c r="B267" s="59" t="s">
        <v>720</v>
      </c>
      <c r="C267" s="70">
        <v>2.8015396388E10</v>
      </c>
      <c r="D267" s="86">
        <v>-0.14753865904005714</v>
      </c>
      <c r="E267" s="94">
        <v>20.19</v>
      </c>
      <c r="F267" s="94">
        <v>20.58</v>
      </c>
      <c r="G267" s="94">
        <v>23.93</v>
      </c>
      <c r="H267" s="59">
        <v>21.22</v>
      </c>
      <c r="I267" s="94">
        <v>14.81</v>
      </c>
      <c r="J267" s="59">
        <v>13.99</v>
      </c>
      <c r="K267" s="94">
        <v>12.47</v>
      </c>
      <c r="L267" s="94">
        <v>12.08</v>
      </c>
      <c r="M267" s="94">
        <v>22.24</v>
      </c>
      <c r="N267" s="59">
        <v>14.46</v>
      </c>
      <c r="O267" s="88">
        <v>0.018950437317784112</v>
      </c>
      <c r="P267" s="95">
        <v>-0.12770970782280872</v>
      </c>
      <c r="Q267" s="88">
        <v>-0.058613295210864925</v>
      </c>
      <c r="R267" s="88">
        <v>-0.03228476821192058</v>
      </c>
      <c r="S267" s="88">
        <v>-0.5380359612724755</v>
      </c>
      <c r="T267" s="59"/>
      <c r="U267" s="59"/>
      <c r="V267" s="91"/>
      <c r="W267" s="91"/>
      <c r="X267" s="91"/>
      <c r="Y267" s="91"/>
      <c r="Z267" s="91"/>
      <c r="AA267" s="96"/>
      <c r="AB267" s="97"/>
      <c r="AC267" s="91"/>
      <c r="AD267" s="91"/>
      <c r="AE267" s="91"/>
      <c r="AF267" s="91"/>
    </row>
    <row r="268">
      <c r="A268" s="59" t="s">
        <v>721</v>
      </c>
      <c r="B268" s="59" t="s">
        <v>722</v>
      </c>
      <c r="C268" s="70">
        <v>3.0736498266E10</v>
      </c>
      <c r="D268" s="86">
        <v>-0.1479708695033036</v>
      </c>
      <c r="E268" s="94">
        <v>23.87</v>
      </c>
      <c r="F268" s="94">
        <v>22.57</v>
      </c>
      <c r="G268" s="94">
        <v>21.61</v>
      </c>
      <c r="H268" s="59">
        <v>20.24</v>
      </c>
      <c r="I268" s="94">
        <v>22.33</v>
      </c>
      <c r="J268" s="59">
        <v>20.74</v>
      </c>
      <c r="K268" s="94">
        <v>55.97</v>
      </c>
      <c r="L268" s="94">
        <v>52.95</v>
      </c>
      <c r="M268" s="94">
        <v>207.07</v>
      </c>
      <c r="N268" s="59">
        <v>139.83</v>
      </c>
      <c r="O268" s="88">
        <v>-0.05759858218874615</v>
      </c>
      <c r="P268" s="95">
        <v>-0.06768774703557318</v>
      </c>
      <c r="Q268" s="88">
        <v>-0.07666345226615236</v>
      </c>
      <c r="R268" s="88">
        <v>-0.05703493862134081</v>
      </c>
      <c r="S268" s="88">
        <v>-0.4808696274047055</v>
      </c>
      <c r="T268" s="59"/>
      <c r="U268" s="59"/>
      <c r="V268" s="91"/>
      <c r="W268" s="91"/>
      <c r="X268" s="91"/>
      <c r="Y268" s="91"/>
      <c r="Z268" s="91"/>
      <c r="AA268" s="96"/>
      <c r="AB268" s="97"/>
      <c r="AC268" s="91"/>
      <c r="AD268" s="91"/>
      <c r="AE268" s="91"/>
      <c r="AF268" s="91"/>
    </row>
    <row r="269">
      <c r="A269" s="59" t="s">
        <v>723</v>
      </c>
      <c r="B269" s="59" t="s">
        <v>724</v>
      </c>
      <c r="C269" s="70">
        <v>3.17797635231E11</v>
      </c>
      <c r="D269" s="86">
        <v>-0.14844417641996918</v>
      </c>
      <c r="E269" s="94">
        <v>21.6</v>
      </c>
      <c r="F269" s="94">
        <v>21.18</v>
      </c>
      <c r="G269" s="94">
        <v>25.07</v>
      </c>
      <c r="H269" s="59">
        <v>22.31</v>
      </c>
      <c r="I269" s="94">
        <v>32.65</v>
      </c>
      <c r="J269" s="59">
        <v>29.2</v>
      </c>
      <c r="K269" s="94">
        <v>90.68</v>
      </c>
      <c r="L269" s="94">
        <v>87.83</v>
      </c>
      <c r="M269" s="94">
        <v>341.24</v>
      </c>
      <c r="N269" s="59">
        <v>235.65</v>
      </c>
      <c r="O269" s="88">
        <v>-0.019830028328611977</v>
      </c>
      <c r="P269" s="95">
        <v>-0.12371134020618564</v>
      </c>
      <c r="Q269" s="88">
        <v>-0.11815068493150682</v>
      </c>
      <c r="R269" s="88">
        <v>-0.03244904929978377</v>
      </c>
      <c r="S269" s="88">
        <v>-0.4480797793337577</v>
      </c>
      <c r="T269" s="59"/>
      <c r="U269" s="59"/>
      <c r="V269" s="91"/>
      <c r="W269" s="91"/>
      <c r="X269" s="91"/>
      <c r="Y269" s="91"/>
      <c r="Z269" s="91"/>
      <c r="AA269" s="96"/>
      <c r="AB269" s="97"/>
      <c r="AC269" s="91"/>
      <c r="AD269" s="91"/>
      <c r="AE269" s="91"/>
      <c r="AF269" s="91"/>
    </row>
    <row r="270">
      <c r="A270" s="59" t="s">
        <v>725</v>
      </c>
      <c r="B270" s="59" t="s">
        <v>726</v>
      </c>
      <c r="C270" s="70">
        <v>8.8604932494E10</v>
      </c>
      <c r="D270" s="86">
        <v>-0.14870049932979607</v>
      </c>
      <c r="E270" s="94">
        <v>51.56</v>
      </c>
      <c r="F270" s="94">
        <v>52.77</v>
      </c>
      <c r="G270" s="94">
        <v>52.87</v>
      </c>
      <c r="H270" s="59">
        <v>50.54</v>
      </c>
      <c r="I270" s="94">
        <v>63.18</v>
      </c>
      <c r="J270" s="59">
        <v>58.98</v>
      </c>
      <c r="K270" s="94">
        <v>105.07</v>
      </c>
      <c r="L270" s="94">
        <v>101.32</v>
      </c>
      <c r="M270" s="94">
        <v>163.5</v>
      </c>
      <c r="N270" s="59">
        <v>101.42</v>
      </c>
      <c r="O270" s="88">
        <v>0.022929694902406685</v>
      </c>
      <c r="P270" s="95">
        <v>-0.04610209734863471</v>
      </c>
      <c r="Q270" s="88">
        <v>-0.07121057985757889</v>
      </c>
      <c r="R270" s="88">
        <v>-0.03701144887485196</v>
      </c>
      <c r="S270" s="88">
        <v>-0.6121080654703214</v>
      </c>
      <c r="T270" s="59"/>
      <c r="U270" s="59"/>
      <c r="V270" s="91"/>
      <c r="W270" s="91"/>
      <c r="X270" s="91"/>
      <c r="Y270" s="91"/>
      <c r="Z270" s="91"/>
      <c r="AA270" s="96"/>
      <c r="AB270" s="97"/>
      <c r="AC270" s="91"/>
      <c r="AD270" s="91"/>
      <c r="AE270" s="91"/>
      <c r="AF270" s="91"/>
    </row>
    <row r="271">
      <c r="A271" s="59" t="s">
        <v>727</v>
      </c>
      <c r="B271" s="59" t="s">
        <v>728</v>
      </c>
      <c r="C271" s="70">
        <v>1.289058973E10</v>
      </c>
      <c r="D271" s="86">
        <v>-0.14892953927585836</v>
      </c>
      <c r="E271" s="94">
        <v>8.9</v>
      </c>
      <c r="F271" s="94">
        <v>8.26</v>
      </c>
      <c r="G271" s="94">
        <v>12.98</v>
      </c>
      <c r="H271" s="59">
        <v>11.01</v>
      </c>
      <c r="I271" s="94">
        <v>11.89</v>
      </c>
      <c r="J271" s="59">
        <v>11.21</v>
      </c>
      <c r="K271" s="94">
        <v>17.26</v>
      </c>
      <c r="L271" s="94">
        <v>16.79</v>
      </c>
      <c r="M271" s="94">
        <v>67.39</v>
      </c>
      <c r="N271" s="59">
        <v>48.15</v>
      </c>
      <c r="O271" s="88">
        <v>-0.07748184019370467</v>
      </c>
      <c r="P271" s="95">
        <v>-0.17892824704813812</v>
      </c>
      <c r="Q271" s="88">
        <v>-0.06066012488849239</v>
      </c>
      <c r="R271" s="88">
        <v>-0.027992852888624326</v>
      </c>
      <c r="S271" s="88">
        <v>-0.39958463136033234</v>
      </c>
      <c r="T271" s="59"/>
      <c r="U271" s="59"/>
      <c r="V271" s="91"/>
      <c r="W271" s="91"/>
      <c r="X271" s="91"/>
      <c r="Y271" s="91"/>
      <c r="Z271" s="91"/>
      <c r="AA271" s="96"/>
      <c r="AB271" s="97"/>
      <c r="AC271" s="91"/>
      <c r="AD271" s="91"/>
      <c r="AE271" s="91"/>
      <c r="AF271" s="91"/>
    </row>
    <row r="272">
      <c r="A272" s="59" t="s">
        <v>729</v>
      </c>
      <c r="B272" s="59" t="s">
        <v>730</v>
      </c>
      <c r="C272" s="70">
        <v>2.5975105608E11</v>
      </c>
      <c r="D272" s="86">
        <v>-0.14950715994492444</v>
      </c>
      <c r="E272" s="94" t="e">
        <v>#N/A</v>
      </c>
      <c r="F272" s="94" t="e">
        <v>#N/A</v>
      </c>
      <c r="G272" s="94" t="e">
        <v>#N/A</v>
      </c>
      <c r="H272" s="59" t="e">
        <v>#N/A</v>
      </c>
      <c r="I272" s="94" t="e">
        <v>#N/A</v>
      </c>
      <c r="J272" s="59" t="e">
        <v>#N/A</v>
      </c>
      <c r="K272" s="94">
        <v>65.9</v>
      </c>
      <c r="L272" s="94">
        <v>63.45</v>
      </c>
      <c r="M272" s="94">
        <v>93.61</v>
      </c>
      <c r="N272" s="59">
        <v>74.27</v>
      </c>
      <c r="O272" s="88" t="e">
        <v>#N/A</v>
      </c>
      <c r="P272" s="95" t="e">
        <v>#N/A</v>
      </c>
      <c r="Q272" s="88" t="e">
        <v>#N/A</v>
      </c>
      <c r="R272" s="88">
        <v>-0.0386130811662727</v>
      </c>
      <c r="S272" s="88">
        <v>-0.2604012387235762</v>
      </c>
      <c r="T272" s="59"/>
      <c r="U272" s="59"/>
      <c r="V272" s="91"/>
      <c r="W272" s="91"/>
      <c r="X272" s="91"/>
      <c r="Y272" s="91"/>
      <c r="Z272" s="91"/>
      <c r="AA272" s="96"/>
      <c r="AB272" s="97"/>
      <c r="AC272" s="91"/>
      <c r="AD272" s="91"/>
      <c r="AE272" s="91"/>
      <c r="AF272" s="91"/>
    </row>
    <row r="273">
      <c r="A273" s="59" t="s">
        <v>731</v>
      </c>
      <c r="B273" s="59" t="s">
        <v>732</v>
      </c>
      <c r="C273" s="70">
        <v>8.3227931467E10</v>
      </c>
      <c r="D273" s="86">
        <v>-0.1505853890293703</v>
      </c>
      <c r="E273" s="94">
        <v>65.76</v>
      </c>
      <c r="F273" s="94">
        <v>63.13</v>
      </c>
      <c r="G273" s="94">
        <v>58.12</v>
      </c>
      <c r="H273" s="59">
        <v>54.12</v>
      </c>
      <c r="I273" s="94">
        <v>50.04</v>
      </c>
      <c r="J273" s="59">
        <v>47.43</v>
      </c>
      <c r="K273" s="94">
        <v>99.37</v>
      </c>
      <c r="L273" s="94">
        <v>95.61</v>
      </c>
      <c r="M273" s="94">
        <v>221.93</v>
      </c>
      <c r="N273" s="59">
        <v>143.83</v>
      </c>
      <c r="O273" s="88">
        <v>-0.04166006652938385</v>
      </c>
      <c r="P273" s="95">
        <v>-0.07390983000739099</v>
      </c>
      <c r="Q273" s="88">
        <v>-0.055028462998102455</v>
      </c>
      <c r="R273" s="88">
        <v>-0.0393264302897187</v>
      </c>
      <c r="S273" s="88">
        <v>-0.5430021553222554</v>
      </c>
      <c r="T273" s="59"/>
      <c r="U273" s="59"/>
      <c r="V273" s="91"/>
      <c r="W273" s="91"/>
      <c r="X273" s="91"/>
      <c r="Y273" s="91"/>
      <c r="Z273" s="91"/>
      <c r="AA273" s="96"/>
      <c r="AB273" s="97"/>
      <c r="AC273" s="91"/>
      <c r="AD273" s="91"/>
      <c r="AE273" s="91"/>
      <c r="AF273" s="91"/>
    </row>
    <row r="274">
      <c r="A274" s="59" t="s">
        <v>733</v>
      </c>
      <c r="B274" s="59" t="s">
        <v>734</v>
      </c>
      <c r="C274" s="70">
        <v>1.2475985946E10</v>
      </c>
      <c r="D274" s="86">
        <v>-0.1510674195480164</v>
      </c>
      <c r="E274" s="94" t="e">
        <v>#N/A</v>
      </c>
      <c r="F274" s="94" t="e">
        <v>#N/A</v>
      </c>
      <c r="G274" s="94" t="e">
        <v>#N/A</v>
      </c>
      <c r="H274" s="59" t="e">
        <v>#N/A</v>
      </c>
      <c r="I274" s="94" t="e">
        <v>#N/A</v>
      </c>
      <c r="J274" s="59" t="e">
        <v>#N/A</v>
      </c>
      <c r="K274" s="94">
        <v>22.44</v>
      </c>
      <c r="L274" s="94">
        <v>23.2</v>
      </c>
      <c r="M274" s="94">
        <v>108.38</v>
      </c>
      <c r="N274" s="59">
        <v>81.19</v>
      </c>
      <c r="O274" s="88" t="e">
        <v>#N/A</v>
      </c>
      <c r="P274" s="95" t="e">
        <v>#N/A</v>
      </c>
      <c r="Q274" s="88" t="e">
        <v>#N/A</v>
      </c>
      <c r="R274" s="88">
        <v>0.032758620689655085</v>
      </c>
      <c r="S274" s="88">
        <v>-0.33489345978568785</v>
      </c>
      <c r="T274" s="59"/>
      <c r="U274" s="59"/>
      <c r="V274" s="91"/>
      <c r="W274" s="91"/>
      <c r="X274" s="91"/>
      <c r="Y274" s="91"/>
      <c r="Z274" s="91"/>
      <c r="AA274" s="96"/>
      <c r="AB274" s="97"/>
      <c r="AC274" s="91"/>
      <c r="AD274" s="91"/>
      <c r="AE274" s="91"/>
      <c r="AF274" s="91"/>
    </row>
    <row r="275">
      <c r="A275" s="59" t="s">
        <v>735</v>
      </c>
      <c r="B275" s="59" t="s">
        <v>736</v>
      </c>
      <c r="C275" s="70">
        <v>2.2034237218E10</v>
      </c>
      <c r="D275" s="86">
        <v>-0.15197385196978913</v>
      </c>
      <c r="E275" s="94">
        <v>98.86</v>
      </c>
      <c r="F275" s="94">
        <v>96.74</v>
      </c>
      <c r="G275" s="94">
        <v>81.57</v>
      </c>
      <c r="H275" s="59">
        <v>75.79</v>
      </c>
      <c r="I275" s="94">
        <v>62.84</v>
      </c>
      <c r="J275" s="59">
        <v>59.57</v>
      </c>
      <c r="K275" s="94">
        <v>69.39</v>
      </c>
      <c r="L275" s="94">
        <v>65.9</v>
      </c>
      <c r="M275" s="94">
        <v>134.78</v>
      </c>
      <c r="N275" s="59">
        <v>86.74</v>
      </c>
      <c r="O275" s="88">
        <v>-0.02191440975811458</v>
      </c>
      <c r="P275" s="95">
        <v>-0.07626335928222702</v>
      </c>
      <c r="Q275" s="88">
        <v>-0.054893402719489726</v>
      </c>
      <c r="R275" s="88">
        <v>-0.05295902883156289</v>
      </c>
      <c r="S275" s="88">
        <v>-0.5538390592575514</v>
      </c>
      <c r="T275" s="59"/>
      <c r="U275" s="59"/>
      <c r="V275" s="91"/>
      <c r="W275" s="91"/>
      <c r="X275" s="91"/>
      <c r="Y275" s="91"/>
      <c r="Z275" s="91"/>
      <c r="AA275" s="96"/>
      <c r="AB275" s="97"/>
      <c r="AC275" s="91"/>
      <c r="AD275" s="91"/>
      <c r="AE275" s="91"/>
      <c r="AF275" s="91"/>
    </row>
    <row r="276">
      <c r="A276" s="59" t="s">
        <v>737</v>
      </c>
      <c r="B276" s="59" t="s">
        <v>738</v>
      </c>
      <c r="C276" s="70">
        <v>2.3753274074E10</v>
      </c>
      <c r="D276" s="86">
        <v>-0.1527007965779243</v>
      </c>
      <c r="E276" s="94">
        <v>107.8</v>
      </c>
      <c r="F276" s="94">
        <v>102.82</v>
      </c>
      <c r="G276" s="94">
        <v>73.02</v>
      </c>
      <c r="H276" s="59">
        <v>65.01</v>
      </c>
      <c r="I276" s="94">
        <v>70.43</v>
      </c>
      <c r="J276" s="59">
        <v>62.63</v>
      </c>
      <c r="K276" s="94">
        <v>92.23</v>
      </c>
      <c r="L276" s="94">
        <v>88.18</v>
      </c>
      <c r="M276" s="94">
        <v>173.85</v>
      </c>
      <c r="N276" s="59">
        <v>122.31</v>
      </c>
      <c r="O276" s="88">
        <v>-0.04843415677883684</v>
      </c>
      <c r="P276" s="95">
        <v>-0.12321181356714336</v>
      </c>
      <c r="Q276" s="88">
        <v>-0.12454095481398697</v>
      </c>
      <c r="R276" s="88">
        <v>-0.04592878203674299</v>
      </c>
      <c r="S276" s="88">
        <v>-0.4213882756929114</v>
      </c>
      <c r="T276" s="59"/>
      <c r="U276" s="59"/>
      <c r="V276" s="91"/>
      <c r="W276" s="91"/>
      <c r="X276" s="91"/>
      <c r="Y276" s="91"/>
      <c r="Z276" s="91"/>
      <c r="AA276" s="96"/>
      <c r="AB276" s="97"/>
      <c r="AC276" s="91"/>
      <c r="AD276" s="91"/>
      <c r="AE276" s="91"/>
      <c r="AF276" s="91"/>
    </row>
    <row r="277">
      <c r="A277" s="59" t="s">
        <v>739</v>
      </c>
      <c r="B277" s="59" t="s">
        <v>740</v>
      </c>
      <c r="C277" s="70">
        <v>1.8790847257E10</v>
      </c>
      <c r="D277" s="86">
        <v>-0.1531828542211234</v>
      </c>
      <c r="E277" s="94">
        <v>58.79</v>
      </c>
      <c r="F277" s="94">
        <v>58.26</v>
      </c>
      <c r="G277" s="94">
        <v>44.1</v>
      </c>
      <c r="H277" s="59">
        <v>39.77</v>
      </c>
      <c r="I277" s="94">
        <v>52.02</v>
      </c>
      <c r="J277" s="59">
        <v>48.08</v>
      </c>
      <c r="K277" s="94">
        <v>99.35</v>
      </c>
      <c r="L277" s="94">
        <v>95.41</v>
      </c>
      <c r="M277" s="94">
        <v>388.6</v>
      </c>
      <c r="N277" s="59">
        <v>254.87</v>
      </c>
      <c r="O277" s="88">
        <v>-0.009097150703741867</v>
      </c>
      <c r="P277" s="95">
        <v>-0.10887603721398034</v>
      </c>
      <c r="Q277" s="88">
        <v>-0.08194675540765402</v>
      </c>
      <c r="R277" s="88">
        <v>-0.04129546169164656</v>
      </c>
      <c r="S277" s="88">
        <v>-0.5246988660885943</v>
      </c>
      <c r="T277" s="59"/>
      <c r="U277" s="59"/>
      <c r="V277" s="91"/>
      <c r="W277" s="91"/>
      <c r="X277" s="91"/>
      <c r="Y277" s="91"/>
      <c r="Z277" s="91"/>
      <c r="AA277" s="96"/>
      <c r="AB277" s="97"/>
      <c r="AC277" s="91"/>
      <c r="AD277" s="91"/>
      <c r="AE277" s="91"/>
      <c r="AF277" s="91"/>
    </row>
    <row r="278">
      <c r="A278" s="59" t="s">
        <v>741</v>
      </c>
      <c r="B278" s="59" t="s">
        <v>742</v>
      </c>
      <c r="C278" s="70">
        <v>2.0850651931E10</v>
      </c>
      <c r="D278" s="86">
        <v>-0.1532118467387535</v>
      </c>
      <c r="E278" s="94">
        <v>111.44</v>
      </c>
      <c r="F278" s="94">
        <v>103.36</v>
      </c>
      <c r="G278" s="94">
        <v>99.81</v>
      </c>
      <c r="H278" s="59">
        <v>88.14</v>
      </c>
      <c r="I278" s="94">
        <v>67.63</v>
      </c>
      <c r="J278" s="59">
        <v>66.91</v>
      </c>
      <c r="K278" s="94">
        <v>161.64</v>
      </c>
      <c r="L278" s="94">
        <v>154.82</v>
      </c>
      <c r="M278" s="94">
        <v>257.2</v>
      </c>
      <c r="N278" s="59">
        <v>171.39</v>
      </c>
      <c r="O278" s="88">
        <v>-0.07817337461300308</v>
      </c>
      <c r="P278" s="95">
        <v>-0.13240299523485366</v>
      </c>
      <c r="Q278" s="88">
        <v>-0.010760723359736943</v>
      </c>
      <c r="R278" s="88">
        <v>-0.04405115618137188</v>
      </c>
      <c r="S278" s="88">
        <v>-0.500670984304802</v>
      </c>
      <c r="T278" s="59"/>
      <c r="U278" s="59"/>
      <c r="V278" s="91"/>
      <c r="W278" s="91"/>
      <c r="X278" s="91"/>
      <c r="Y278" s="91"/>
      <c r="Z278" s="91"/>
      <c r="AA278" s="96"/>
      <c r="AB278" s="97"/>
      <c r="AC278" s="91"/>
      <c r="AD278" s="91"/>
      <c r="AE278" s="91"/>
      <c r="AF278" s="91"/>
    </row>
    <row r="279">
      <c r="A279" s="59" t="s">
        <v>209</v>
      </c>
      <c r="B279" s="59" t="s">
        <v>743</v>
      </c>
      <c r="C279" s="70">
        <v>5.6285115761E10</v>
      </c>
      <c r="D279" s="86">
        <v>-0.1532796340831603</v>
      </c>
      <c r="E279" s="94">
        <v>32.05</v>
      </c>
      <c r="F279" s="94">
        <v>31.14</v>
      </c>
      <c r="G279" s="94">
        <v>41.62</v>
      </c>
      <c r="H279" s="59">
        <v>36.96</v>
      </c>
      <c r="I279" s="94">
        <v>37.2</v>
      </c>
      <c r="J279" s="59">
        <v>35.38</v>
      </c>
      <c r="K279" s="94">
        <v>69.75</v>
      </c>
      <c r="L279" s="94">
        <v>67.32</v>
      </c>
      <c r="M279" s="94">
        <v>325.34</v>
      </c>
      <c r="N279" s="59">
        <v>213.54</v>
      </c>
      <c r="O279" s="88">
        <v>-0.02922286448297998</v>
      </c>
      <c r="P279" s="95">
        <v>-0.126082251082251</v>
      </c>
      <c r="Q279" s="88">
        <v>-0.05144149236856982</v>
      </c>
      <c r="R279" s="88">
        <v>-0.03609625668449208</v>
      </c>
      <c r="S279" s="88">
        <v>-0.5235553057975086</v>
      </c>
      <c r="T279" s="59"/>
      <c r="U279" s="59"/>
      <c r="V279" s="91"/>
      <c r="W279" s="91"/>
      <c r="X279" s="91"/>
      <c r="Y279" s="91"/>
      <c r="Z279" s="91"/>
      <c r="AA279" s="96"/>
      <c r="AB279" s="97"/>
      <c r="AC279" s="91"/>
      <c r="AD279" s="91"/>
      <c r="AE279" s="91"/>
      <c r="AF279" s="91"/>
    </row>
    <row r="280">
      <c r="A280" s="59" t="s">
        <v>744</v>
      </c>
      <c r="B280" s="59" t="s">
        <v>745</v>
      </c>
      <c r="C280" s="70">
        <v>2.5426342425E10</v>
      </c>
      <c r="D280" s="86">
        <v>-0.15363399321568977</v>
      </c>
      <c r="E280" s="94">
        <v>19.88</v>
      </c>
      <c r="F280" s="94">
        <v>19.47</v>
      </c>
      <c r="G280" s="94">
        <v>20.64</v>
      </c>
      <c r="H280" s="59">
        <v>18.83</v>
      </c>
      <c r="I280" s="94">
        <v>19.08</v>
      </c>
      <c r="J280" s="59">
        <v>17.43</v>
      </c>
      <c r="K280" s="94">
        <v>35.44</v>
      </c>
      <c r="L280" s="94">
        <v>33.33</v>
      </c>
      <c r="M280" s="94">
        <v>66.29</v>
      </c>
      <c r="N280" s="59">
        <v>44.4</v>
      </c>
      <c r="O280" s="88">
        <v>-0.02105803800719056</v>
      </c>
      <c r="P280" s="95">
        <v>-0.09612320764737134</v>
      </c>
      <c r="Q280" s="88">
        <v>-0.09466437177280543</v>
      </c>
      <c r="R280" s="88">
        <v>-0.06330633063306329</v>
      </c>
      <c r="S280" s="88">
        <v>-0.4930180180180182</v>
      </c>
      <c r="T280" s="59"/>
      <c r="U280" s="59"/>
      <c r="V280" s="91"/>
      <c r="W280" s="91"/>
      <c r="X280" s="91"/>
      <c r="Y280" s="91"/>
      <c r="Z280" s="91"/>
      <c r="AA280" s="96"/>
      <c r="AB280" s="97"/>
      <c r="AC280" s="91"/>
      <c r="AD280" s="91"/>
      <c r="AE280" s="91"/>
      <c r="AF280" s="91"/>
    </row>
    <row r="281">
      <c r="A281" s="59" t="s">
        <v>746</v>
      </c>
      <c r="B281" s="59" t="s">
        <v>747</v>
      </c>
      <c r="C281" s="70">
        <v>5.0763105E10</v>
      </c>
      <c r="D281" s="86">
        <v>-0.15390970006994334</v>
      </c>
      <c r="E281" s="94">
        <v>44.46</v>
      </c>
      <c r="F281" s="94">
        <v>42.74</v>
      </c>
      <c r="G281" s="94">
        <v>53.62</v>
      </c>
      <c r="H281" s="59">
        <v>48.47</v>
      </c>
      <c r="I281" s="94">
        <v>45.39</v>
      </c>
      <c r="J281" s="59">
        <v>42.53</v>
      </c>
      <c r="K281" s="94">
        <v>47.96</v>
      </c>
      <c r="L281" s="94">
        <v>46.36</v>
      </c>
      <c r="M281" s="94">
        <v>71.44</v>
      </c>
      <c r="N281" s="59">
        <v>46.96</v>
      </c>
      <c r="O281" s="88">
        <v>-0.040243331773514246</v>
      </c>
      <c r="P281" s="95">
        <v>-0.1062512894573963</v>
      </c>
      <c r="Q281" s="88">
        <v>-0.06724664942393603</v>
      </c>
      <c r="R281" s="88">
        <v>-0.03451251078515965</v>
      </c>
      <c r="S281" s="88">
        <v>-0.5212947189097104</v>
      </c>
      <c r="T281" s="59"/>
      <c r="U281" s="59"/>
      <c r="V281" s="91"/>
      <c r="W281" s="91"/>
      <c r="X281" s="91"/>
      <c r="Y281" s="91"/>
      <c r="Z281" s="91"/>
      <c r="AA281" s="96"/>
      <c r="AB281" s="97"/>
      <c r="AC281" s="91"/>
      <c r="AD281" s="91"/>
      <c r="AE281" s="91"/>
      <c r="AF281" s="91"/>
    </row>
    <row r="282">
      <c r="A282" s="59" t="s">
        <v>211</v>
      </c>
      <c r="B282" s="59" t="s">
        <v>748</v>
      </c>
      <c r="C282" s="70">
        <v>4.140251388E10</v>
      </c>
      <c r="D282" s="86">
        <v>-0.15416244956495598</v>
      </c>
      <c r="E282" s="94">
        <v>7.8</v>
      </c>
      <c r="F282" s="94">
        <v>7.6</v>
      </c>
      <c r="G282" s="94">
        <v>7.64</v>
      </c>
      <c r="H282" s="59">
        <v>6.59</v>
      </c>
      <c r="I282" s="94">
        <v>9.14</v>
      </c>
      <c r="J282" s="59">
        <v>8.28</v>
      </c>
      <c r="K282" s="94">
        <v>19.8</v>
      </c>
      <c r="L282" s="94">
        <v>19.0</v>
      </c>
      <c r="M282" s="94">
        <v>78.58</v>
      </c>
      <c r="N282" s="59">
        <v>54.6</v>
      </c>
      <c r="O282" s="88">
        <v>-0.026315789473684237</v>
      </c>
      <c r="P282" s="95">
        <v>-0.15933232169954475</v>
      </c>
      <c r="Q282" s="88">
        <v>-0.10386473429951706</v>
      </c>
      <c r="R282" s="88">
        <v>-0.04210526315789478</v>
      </c>
      <c r="S282" s="88">
        <v>-0.43919413919413913</v>
      </c>
      <c r="T282" s="59"/>
      <c r="U282" s="59"/>
      <c r="V282" s="91"/>
      <c r="W282" s="91"/>
      <c r="X282" s="91"/>
      <c r="Y282" s="91"/>
      <c r="Z282" s="91"/>
      <c r="AA282" s="96"/>
      <c r="AB282" s="97"/>
      <c r="AC282" s="91"/>
      <c r="AD282" s="91"/>
      <c r="AE282" s="91"/>
      <c r="AF282" s="91"/>
    </row>
    <row r="283">
      <c r="A283" s="59" t="s">
        <v>213</v>
      </c>
      <c r="B283" s="59" t="s">
        <v>749</v>
      </c>
      <c r="C283" s="70">
        <v>8.723651495E10</v>
      </c>
      <c r="D283" s="86">
        <v>-0.15426693961128987</v>
      </c>
      <c r="E283" s="94">
        <v>30.39</v>
      </c>
      <c r="F283" s="94">
        <v>29.96</v>
      </c>
      <c r="G283" s="94">
        <v>41.36</v>
      </c>
      <c r="H283" s="59">
        <v>36.04</v>
      </c>
      <c r="I283" s="94">
        <v>39.84</v>
      </c>
      <c r="J283" s="59">
        <v>36.86</v>
      </c>
      <c r="K283" s="94">
        <v>56.32</v>
      </c>
      <c r="L283" s="94">
        <v>54.53</v>
      </c>
      <c r="M283" s="94">
        <v>201.56</v>
      </c>
      <c r="N283" s="59">
        <v>134.76</v>
      </c>
      <c r="O283" s="88">
        <v>-0.014352469959946585</v>
      </c>
      <c r="P283" s="95">
        <v>-0.14761376248612654</v>
      </c>
      <c r="Q283" s="88">
        <v>-0.08084644601193716</v>
      </c>
      <c r="R283" s="88">
        <v>-0.03282596735741792</v>
      </c>
      <c r="S283" s="88">
        <v>-0.4956960522410212</v>
      </c>
      <c r="T283" s="59"/>
      <c r="U283" s="59"/>
      <c r="V283" s="91"/>
      <c r="W283" s="91"/>
      <c r="X283" s="91"/>
      <c r="Y283" s="91"/>
      <c r="Z283" s="91"/>
      <c r="AA283" s="96"/>
      <c r="AB283" s="97"/>
      <c r="AC283" s="91"/>
      <c r="AD283" s="91"/>
      <c r="AE283" s="91"/>
      <c r="AF283" s="91"/>
    </row>
    <row r="284">
      <c r="A284" s="59" t="s">
        <v>750</v>
      </c>
      <c r="B284" s="59" t="s">
        <v>751</v>
      </c>
      <c r="C284" s="70">
        <v>1.7656975817E10</v>
      </c>
      <c r="D284" s="86">
        <v>-0.15554036879790684</v>
      </c>
      <c r="E284" s="94">
        <v>77.41</v>
      </c>
      <c r="F284" s="94">
        <v>84.09</v>
      </c>
      <c r="G284" s="94">
        <v>54.9</v>
      </c>
      <c r="H284" s="59">
        <v>51.8</v>
      </c>
      <c r="I284" s="94">
        <v>41.3</v>
      </c>
      <c r="J284" s="59">
        <v>37.65</v>
      </c>
      <c r="K284" s="94">
        <v>72.52</v>
      </c>
      <c r="L284" s="94">
        <v>67.16</v>
      </c>
      <c r="M284" s="94">
        <v>100.83</v>
      </c>
      <c r="N284" s="59">
        <v>62.22</v>
      </c>
      <c r="O284" s="88">
        <v>0.07943869663455828</v>
      </c>
      <c r="P284" s="95">
        <v>-0.05984555984555988</v>
      </c>
      <c r="Q284" s="88">
        <v>-0.09694555112881803</v>
      </c>
      <c r="R284" s="88">
        <v>-0.07980941036331149</v>
      </c>
      <c r="S284" s="88">
        <v>-0.6205400192864031</v>
      </c>
      <c r="T284" s="59"/>
      <c r="U284" s="59"/>
      <c r="V284" s="91"/>
      <c r="W284" s="91"/>
      <c r="X284" s="91"/>
      <c r="Y284" s="91"/>
      <c r="Z284" s="91"/>
      <c r="AA284" s="96"/>
      <c r="AB284" s="97"/>
      <c r="AC284" s="91"/>
      <c r="AD284" s="91"/>
      <c r="AE284" s="91"/>
      <c r="AF284" s="91"/>
    </row>
    <row r="285">
      <c r="A285" s="59" t="s">
        <v>752</v>
      </c>
      <c r="B285" s="59" t="s">
        <v>753</v>
      </c>
      <c r="C285" s="70">
        <v>1.245488641E10</v>
      </c>
      <c r="D285" s="86">
        <v>-0.1555453272292222</v>
      </c>
      <c r="E285" s="94">
        <v>80.85</v>
      </c>
      <c r="F285" s="94">
        <v>78.12</v>
      </c>
      <c r="G285" s="94">
        <v>76.98</v>
      </c>
      <c r="H285" s="59">
        <v>74.35</v>
      </c>
      <c r="I285" s="94">
        <v>78.1</v>
      </c>
      <c r="J285" s="59">
        <v>73.5</v>
      </c>
      <c r="K285" s="94">
        <v>179.64</v>
      </c>
      <c r="L285" s="94">
        <v>169.81</v>
      </c>
      <c r="M285" s="94">
        <v>289.79</v>
      </c>
      <c r="N285" s="59">
        <v>182.61</v>
      </c>
      <c r="O285" s="88">
        <v>-0.03494623655913965</v>
      </c>
      <c r="P285" s="95">
        <v>-0.03537323470073988</v>
      </c>
      <c r="Q285" s="88">
        <v>-0.06258503401360536</v>
      </c>
      <c r="R285" s="88">
        <v>-0.057888228019551166</v>
      </c>
      <c r="S285" s="88">
        <v>-0.5869339028530749</v>
      </c>
      <c r="T285" s="59"/>
      <c r="U285" s="59"/>
      <c r="V285" s="91"/>
      <c r="W285" s="91"/>
      <c r="X285" s="91"/>
      <c r="Y285" s="91"/>
      <c r="Z285" s="91"/>
      <c r="AA285" s="96"/>
      <c r="AB285" s="97"/>
      <c r="AC285" s="91"/>
      <c r="AD285" s="91"/>
      <c r="AE285" s="91"/>
      <c r="AF285" s="91"/>
    </row>
    <row r="286">
      <c r="A286" s="59" t="s">
        <v>754</v>
      </c>
      <c r="B286" s="59" t="s">
        <v>755</v>
      </c>
      <c r="C286" s="70">
        <v>3.5210140201E10</v>
      </c>
      <c r="D286" s="86">
        <v>-0.15564599537816265</v>
      </c>
      <c r="E286" s="94">
        <v>47.38</v>
      </c>
      <c r="F286" s="94">
        <v>44.2</v>
      </c>
      <c r="G286" s="94">
        <v>45.93</v>
      </c>
      <c r="H286" s="59">
        <v>44.9</v>
      </c>
      <c r="I286" s="94">
        <v>34.95</v>
      </c>
      <c r="J286" s="59">
        <v>32.04</v>
      </c>
      <c r="K286" s="94">
        <v>43.34</v>
      </c>
      <c r="L286" s="94">
        <v>41.44</v>
      </c>
      <c r="M286" s="94">
        <v>47.39</v>
      </c>
      <c r="N286" s="59">
        <v>30.64</v>
      </c>
      <c r="O286" s="88">
        <v>-0.07194570135746606</v>
      </c>
      <c r="P286" s="95">
        <v>-0.022939866369710495</v>
      </c>
      <c r="Q286" s="88">
        <v>-0.0908239700374533</v>
      </c>
      <c r="R286" s="88">
        <v>-0.04584942084942099</v>
      </c>
      <c r="S286" s="88">
        <v>-0.5466710182767623</v>
      </c>
      <c r="T286" s="59"/>
      <c r="U286" s="59"/>
      <c r="V286" s="91"/>
      <c r="W286" s="91"/>
      <c r="X286" s="91"/>
      <c r="Y286" s="91"/>
      <c r="Z286" s="91"/>
      <c r="AA286" s="96"/>
      <c r="AB286" s="97"/>
      <c r="AC286" s="91"/>
      <c r="AD286" s="91"/>
      <c r="AE286" s="91"/>
      <c r="AF286" s="91"/>
    </row>
    <row r="287">
      <c r="A287" s="59" t="s">
        <v>756</v>
      </c>
      <c r="B287" s="59" t="s">
        <v>757</v>
      </c>
      <c r="C287" s="70">
        <v>2.7539618403E10</v>
      </c>
      <c r="D287" s="86">
        <v>-0.15597644129865768</v>
      </c>
      <c r="E287" s="94">
        <v>16.6</v>
      </c>
      <c r="F287" s="94">
        <v>15.33</v>
      </c>
      <c r="G287" s="94">
        <v>19.81</v>
      </c>
      <c r="H287" s="59">
        <v>17.54</v>
      </c>
      <c r="I287" s="94">
        <v>14.32</v>
      </c>
      <c r="J287" s="59">
        <v>13.39</v>
      </c>
      <c r="K287" s="94">
        <v>16.79</v>
      </c>
      <c r="L287" s="94">
        <v>16.29</v>
      </c>
      <c r="M287" s="94">
        <v>27.97</v>
      </c>
      <c r="N287" s="59">
        <v>19.06</v>
      </c>
      <c r="O287" s="88">
        <v>-0.08284409654272677</v>
      </c>
      <c r="P287" s="95">
        <v>-0.12941847206385404</v>
      </c>
      <c r="Q287" s="88">
        <v>-0.06945481702763254</v>
      </c>
      <c r="R287" s="88">
        <v>-0.030693677102516883</v>
      </c>
      <c r="S287" s="88">
        <v>-0.4674711437565583</v>
      </c>
      <c r="T287" s="59"/>
      <c r="U287" s="59"/>
      <c r="V287" s="91"/>
      <c r="W287" s="91"/>
      <c r="X287" s="91"/>
      <c r="Y287" s="91"/>
      <c r="Z287" s="91"/>
      <c r="AA287" s="96"/>
      <c r="AB287" s="97"/>
      <c r="AC287" s="91"/>
      <c r="AD287" s="91"/>
      <c r="AE287" s="91"/>
      <c r="AF287" s="91"/>
    </row>
    <row r="288">
      <c r="A288" s="59" t="s">
        <v>758</v>
      </c>
      <c r="B288" s="59" t="s">
        <v>759</v>
      </c>
      <c r="C288" s="70">
        <v>2.1801786247E10</v>
      </c>
      <c r="D288" s="86">
        <v>-0.15606635797691176</v>
      </c>
      <c r="E288" s="94">
        <v>35.42</v>
      </c>
      <c r="F288" s="94">
        <v>36.59</v>
      </c>
      <c r="G288" s="94">
        <v>41.62</v>
      </c>
      <c r="H288" s="59">
        <v>38.88</v>
      </c>
      <c r="I288" s="94">
        <v>40.1</v>
      </c>
      <c r="J288" s="59">
        <v>37.46</v>
      </c>
      <c r="K288" s="94">
        <v>70.75</v>
      </c>
      <c r="L288" s="94">
        <v>67.4</v>
      </c>
      <c r="M288" s="94">
        <v>114.57</v>
      </c>
      <c r="N288" s="59">
        <v>70.65</v>
      </c>
      <c r="O288" s="88">
        <v>0.03197594971303639</v>
      </c>
      <c r="P288" s="95">
        <v>-0.07047325102880644</v>
      </c>
      <c r="Q288" s="88">
        <v>-0.07047517351841966</v>
      </c>
      <c r="R288" s="88">
        <v>-0.0497032640949554</v>
      </c>
      <c r="S288" s="88">
        <v>-0.6216560509554138</v>
      </c>
      <c r="T288" s="59"/>
      <c r="U288" s="59"/>
      <c r="V288" s="91"/>
      <c r="W288" s="91"/>
      <c r="X288" s="91"/>
      <c r="Y288" s="91"/>
      <c r="Z288" s="91"/>
      <c r="AA288" s="96"/>
      <c r="AB288" s="97"/>
      <c r="AC288" s="91"/>
      <c r="AD288" s="91"/>
      <c r="AE288" s="91"/>
      <c r="AF288" s="91"/>
    </row>
    <row r="289">
      <c r="A289" s="59" t="s">
        <v>215</v>
      </c>
      <c r="B289" s="59" t="s">
        <v>760</v>
      </c>
      <c r="C289" s="70">
        <v>4.59801672E10</v>
      </c>
      <c r="D289" s="86">
        <v>-0.15730180447170822</v>
      </c>
      <c r="E289" s="94">
        <v>1.57</v>
      </c>
      <c r="F289" s="94">
        <v>1.64</v>
      </c>
      <c r="G289" s="94">
        <v>2.84</v>
      </c>
      <c r="H289" s="59">
        <v>2.32</v>
      </c>
      <c r="I289" s="94">
        <v>2.81</v>
      </c>
      <c r="J289" s="59">
        <v>2.58</v>
      </c>
      <c r="K289" s="94">
        <v>22.5</v>
      </c>
      <c r="L289" s="94">
        <v>21.37</v>
      </c>
      <c r="M289" s="94">
        <v>74.0</v>
      </c>
      <c r="N289" s="59">
        <v>50.58</v>
      </c>
      <c r="O289" s="88">
        <v>0.0426829268292682</v>
      </c>
      <c r="P289" s="95">
        <v>-0.2241379310344828</v>
      </c>
      <c r="Q289" s="88">
        <v>-0.08914728682170542</v>
      </c>
      <c r="R289" s="88">
        <v>-0.05287786616752452</v>
      </c>
      <c r="S289" s="88">
        <v>-0.4630288651640965</v>
      </c>
      <c r="T289" s="59"/>
      <c r="U289" s="59"/>
      <c r="V289" s="91"/>
      <c r="W289" s="91"/>
      <c r="X289" s="91"/>
      <c r="Y289" s="91"/>
      <c r="Z289" s="91"/>
      <c r="AA289" s="96"/>
      <c r="AB289" s="97"/>
      <c r="AC289" s="91"/>
      <c r="AD289" s="91"/>
      <c r="AE289" s="91"/>
      <c r="AF289" s="91"/>
    </row>
    <row r="290">
      <c r="A290" s="59" t="s">
        <v>761</v>
      </c>
      <c r="B290" s="59" t="s">
        <v>762</v>
      </c>
      <c r="C290" s="70">
        <v>3.75809151779E11</v>
      </c>
      <c r="D290" s="86">
        <v>-0.15743460389479275</v>
      </c>
      <c r="E290" s="94">
        <v>37.91</v>
      </c>
      <c r="F290" s="94">
        <v>37.0</v>
      </c>
      <c r="G290" s="94">
        <v>43.53</v>
      </c>
      <c r="H290" s="59">
        <v>40.76</v>
      </c>
      <c r="I290" s="94">
        <v>37.6</v>
      </c>
      <c r="J290" s="59">
        <v>34.06</v>
      </c>
      <c r="K290" s="94">
        <v>63.6</v>
      </c>
      <c r="L290" s="94">
        <v>60.25</v>
      </c>
      <c r="M290" s="94">
        <v>135.64</v>
      </c>
      <c r="N290" s="59">
        <v>88.36</v>
      </c>
      <c r="O290" s="88">
        <v>-0.024594594594594503</v>
      </c>
      <c r="P290" s="95">
        <v>-0.06795878312070666</v>
      </c>
      <c r="Q290" s="88">
        <v>-0.10393423370522605</v>
      </c>
      <c r="R290" s="88">
        <v>-0.05560165975103737</v>
      </c>
      <c r="S290" s="88">
        <v>-0.5350837483023991</v>
      </c>
      <c r="T290" s="59"/>
      <c r="U290" s="59"/>
      <c r="V290" s="91"/>
      <c r="W290" s="91"/>
      <c r="X290" s="91"/>
      <c r="Y290" s="91"/>
      <c r="Z290" s="91"/>
      <c r="AA290" s="96"/>
      <c r="AB290" s="97"/>
      <c r="AC290" s="91"/>
      <c r="AD290" s="91"/>
      <c r="AE290" s="91"/>
      <c r="AF290" s="91"/>
    </row>
    <row r="291">
      <c r="A291" s="59" t="s">
        <v>763</v>
      </c>
      <c r="B291" s="59" t="s">
        <v>764</v>
      </c>
      <c r="C291" s="70">
        <v>1.5982E11</v>
      </c>
      <c r="D291" s="86">
        <v>-0.1600111534573799</v>
      </c>
      <c r="E291" s="94">
        <v>13.48</v>
      </c>
      <c r="F291" s="94">
        <v>13.7</v>
      </c>
      <c r="G291" s="94">
        <v>21.93</v>
      </c>
      <c r="H291" s="59">
        <v>19.38</v>
      </c>
      <c r="I291" s="94">
        <v>33.92</v>
      </c>
      <c r="J291" s="59">
        <v>31.23</v>
      </c>
      <c r="K291" s="94">
        <v>69.15</v>
      </c>
      <c r="L291" s="94">
        <v>65.17</v>
      </c>
      <c r="M291" s="94">
        <v>191.09</v>
      </c>
      <c r="N291" s="59">
        <v>124.3</v>
      </c>
      <c r="O291" s="88">
        <v>0.01605839416058386</v>
      </c>
      <c r="P291" s="95">
        <v>-0.1315789473684211</v>
      </c>
      <c r="Q291" s="88">
        <v>-0.08613512648094784</v>
      </c>
      <c r="R291" s="88">
        <v>-0.06107104495933718</v>
      </c>
      <c r="S291" s="88">
        <v>-0.5373290426387772</v>
      </c>
      <c r="T291" s="59"/>
      <c r="U291" s="59"/>
      <c r="V291" s="91"/>
      <c r="W291" s="91"/>
      <c r="X291" s="91"/>
      <c r="Y291" s="91"/>
      <c r="Z291" s="91"/>
      <c r="AA291" s="96"/>
      <c r="AB291" s="97"/>
      <c r="AC291" s="91"/>
      <c r="AD291" s="91"/>
      <c r="AE291" s="91"/>
      <c r="AF291" s="91"/>
    </row>
    <row r="292">
      <c r="A292" s="59" t="s">
        <v>765</v>
      </c>
      <c r="B292" s="59" t="s">
        <v>766</v>
      </c>
      <c r="C292" s="70">
        <v>3.58028307952E11</v>
      </c>
      <c r="D292" s="86">
        <v>-0.16041729149470882</v>
      </c>
      <c r="E292" s="94">
        <v>81.22</v>
      </c>
      <c r="F292" s="94">
        <v>80.09</v>
      </c>
      <c r="G292" s="94">
        <v>82.83</v>
      </c>
      <c r="H292" s="59">
        <v>77.1</v>
      </c>
      <c r="I292" s="94">
        <v>97.61</v>
      </c>
      <c r="J292" s="59">
        <v>90.25</v>
      </c>
      <c r="K292" s="94">
        <v>75.76</v>
      </c>
      <c r="L292" s="94">
        <v>72.12</v>
      </c>
      <c r="M292" s="94">
        <v>110.24</v>
      </c>
      <c r="N292" s="59">
        <v>69.7</v>
      </c>
      <c r="O292" s="88">
        <v>-0.014109127231864095</v>
      </c>
      <c r="P292" s="95">
        <v>-0.07431906614785998</v>
      </c>
      <c r="Q292" s="88">
        <v>-0.08155124653739612</v>
      </c>
      <c r="R292" s="88">
        <v>-0.05047143649473101</v>
      </c>
      <c r="S292" s="88">
        <v>-0.5816355810616929</v>
      </c>
      <c r="T292" s="59"/>
      <c r="U292" s="59"/>
      <c r="V292" s="91"/>
      <c r="W292" s="91"/>
      <c r="X292" s="91"/>
      <c r="Y292" s="91"/>
      <c r="Z292" s="91"/>
      <c r="AA292" s="96"/>
      <c r="AB292" s="97"/>
      <c r="AC292" s="91"/>
      <c r="AD292" s="91"/>
      <c r="AE292" s="91"/>
      <c r="AF292" s="91"/>
    </row>
    <row r="293">
      <c r="A293" s="59" t="s">
        <v>767</v>
      </c>
      <c r="B293" s="59" t="s">
        <v>768</v>
      </c>
      <c r="C293" s="70">
        <v>1.1575851453E10</v>
      </c>
      <c r="D293" s="86">
        <v>-0.16059101134653403</v>
      </c>
      <c r="E293" s="94" t="e">
        <v>#N/A</v>
      </c>
      <c r="F293" s="94" t="e">
        <v>#N/A</v>
      </c>
      <c r="G293" s="94" t="e">
        <v>#N/A</v>
      </c>
      <c r="H293" s="59" t="e">
        <v>#N/A</v>
      </c>
      <c r="I293" s="94" t="e">
        <v>#N/A</v>
      </c>
      <c r="J293" s="59" t="e">
        <v>#N/A</v>
      </c>
      <c r="K293" s="94">
        <v>13.46</v>
      </c>
      <c r="L293" s="94">
        <v>12.93</v>
      </c>
      <c r="M293" s="94">
        <v>53.32</v>
      </c>
      <c r="N293" s="59">
        <v>41.65</v>
      </c>
      <c r="O293" s="88" t="e">
        <v>#N/A</v>
      </c>
      <c r="P293" s="95" t="e">
        <v>#N/A</v>
      </c>
      <c r="Q293" s="88" t="e">
        <v>#N/A</v>
      </c>
      <c r="R293" s="88">
        <v>-0.040989945862335744</v>
      </c>
      <c r="S293" s="88">
        <v>-0.28019207683073233</v>
      </c>
      <c r="T293" s="59"/>
      <c r="U293" s="59"/>
      <c r="V293" s="91"/>
      <c r="W293" s="91"/>
      <c r="X293" s="91"/>
      <c r="Y293" s="91"/>
      <c r="Z293" s="91"/>
      <c r="AA293" s="96"/>
      <c r="AB293" s="97"/>
      <c r="AC293" s="91"/>
      <c r="AD293" s="91"/>
      <c r="AE293" s="91"/>
      <c r="AF293" s="91"/>
    </row>
    <row r="294">
      <c r="A294" s="59" t="s">
        <v>769</v>
      </c>
      <c r="B294" s="59" t="s">
        <v>770</v>
      </c>
      <c r="C294" s="70">
        <v>2.7300346937E10</v>
      </c>
      <c r="D294" s="86">
        <v>-0.16078139236924655</v>
      </c>
      <c r="E294" s="94">
        <v>66.61</v>
      </c>
      <c r="F294" s="94">
        <v>69.53</v>
      </c>
      <c r="G294" s="94">
        <v>43.79</v>
      </c>
      <c r="H294" s="59">
        <v>41.34</v>
      </c>
      <c r="I294" s="94">
        <v>38.74</v>
      </c>
      <c r="J294" s="59">
        <v>34.84</v>
      </c>
      <c r="K294" s="94">
        <v>73.88</v>
      </c>
      <c r="L294" s="94">
        <v>69.46</v>
      </c>
      <c r="M294" s="94">
        <v>76.88</v>
      </c>
      <c r="N294" s="59">
        <v>47.72</v>
      </c>
      <c r="O294" s="88">
        <v>0.04199626060693228</v>
      </c>
      <c r="P294" s="95">
        <v>-0.05926463473633274</v>
      </c>
      <c r="Q294" s="88">
        <v>-0.11194029850746263</v>
      </c>
      <c r="R294" s="88">
        <v>-0.06363374604088687</v>
      </c>
      <c r="S294" s="88">
        <v>-0.6110645431684828</v>
      </c>
      <c r="T294" s="59"/>
      <c r="U294" s="59"/>
      <c r="V294" s="91"/>
      <c r="W294" s="91"/>
      <c r="X294" s="91"/>
      <c r="Y294" s="91"/>
      <c r="Z294" s="91"/>
      <c r="AA294" s="96"/>
      <c r="AB294" s="97"/>
      <c r="AC294" s="91"/>
      <c r="AD294" s="91"/>
      <c r="AE294" s="91"/>
      <c r="AF294" s="91"/>
    </row>
    <row r="295">
      <c r="A295" s="59" t="s">
        <v>771</v>
      </c>
      <c r="B295" s="59" t="s">
        <v>772</v>
      </c>
      <c r="C295" s="70">
        <v>4.5915634014E10</v>
      </c>
      <c r="D295" s="86">
        <v>-0.16130401312550752</v>
      </c>
      <c r="E295" s="94">
        <v>46.38</v>
      </c>
      <c r="F295" s="94">
        <v>43.17</v>
      </c>
      <c r="G295" s="94">
        <v>52.03</v>
      </c>
      <c r="H295" s="59">
        <v>46.8</v>
      </c>
      <c r="I295" s="94">
        <v>37.51</v>
      </c>
      <c r="J295" s="59">
        <v>34.9</v>
      </c>
      <c r="K295" s="94">
        <v>78.42</v>
      </c>
      <c r="L295" s="94">
        <v>75.18</v>
      </c>
      <c r="M295" s="94">
        <v>228.73</v>
      </c>
      <c r="N295" s="59">
        <v>152.23</v>
      </c>
      <c r="O295" s="88">
        <v>-0.07435719249478806</v>
      </c>
      <c r="P295" s="95">
        <v>-0.11175213675213684</v>
      </c>
      <c r="Q295" s="88">
        <v>-0.07478510028653294</v>
      </c>
      <c r="R295" s="88">
        <v>-0.043096568236232966</v>
      </c>
      <c r="S295" s="88">
        <v>-0.5025290678578467</v>
      </c>
      <c r="T295" s="59"/>
      <c r="U295" s="59"/>
      <c r="V295" s="91"/>
      <c r="W295" s="91"/>
      <c r="X295" s="91"/>
      <c r="Y295" s="91"/>
      <c r="Z295" s="91"/>
      <c r="AA295" s="96"/>
      <c r="AB295" s="97"/>
      <c r="AC295" s="91"/>
      <c r="AD295" s="91"/>
      <c r="AE295" s="91"/>
      <c r="AF295" s="91"/>
    </row>
    <row r="296">
      <c r="A296" s="59" t="s">
        <v>773</v>
      </c>
      <c r="B296" s="59" t="s">
        <v>774</v>
      </c>
      <c r="C296" s="70">
        <v>7.765827664E9</v>
      </c>
      <c r="D296" s="86">
        <v>-0.16181971209033935</v>
      </c>
      <c r="E296" s="94">
        <v>30.53</v>
      </c>
      <c r="F296" s="94">
        <v>36.85</v>
      </c>
      <c r="G296" s="94">
        <v>29.0</v>
      </c>
      <c r="H296" s="59">
        <v>25.57</v>
      </c>
      <c r="I296" s="94">
        <v>19.13</v>
      </c>
      <c r="J296" s="59">
        <v>17.33</v>
      </c>
      <c r="K296" s="94">
        <v>28.14</v>
      </c>
      <c r="L296" s="94">
        <v>26.93</v>
      </c>
      <c r="M296" s="94">
        <v>45.09</v>
      </c>
      <c r="N296" s="59">
        <v>26.56</v>
      </c>
      <c r="O296" s="88">
        <v>0.17150610583446405</v>
      </c>
      <c r="P296" s="95">
        <v>-0.13414157215486897</v>
      </c>
      <c r="Q296" s="88">
        <v>-0.10386612810155804</v>
      </c>
      <c r="R296" s="88">
        <v>-0.044931303379131114</v>
      </c>
      <c r="S296" s="88">
        <v>-0.6976656626506026</v>
      </c>
      <c r="T296" s="59"/>
      <c r="U296" s="59"/>
      <c r="V296" s="91"/>
      <c r="W296" s="91"/>
      <c r="X296" s="91"/>
      <c r="Y296" s="91"/>
      <c r="Z296" s="91"/>
      <c r="AA296" s="96"/>
      <c r="AB296" s="97"/>
      <c r="AC296" s="91"/>
      <c r="AD296" s="91"/>
      <c r="AE296" s="91"/>
      <c r="AF296" s="91"/>
    </row>
    <row r="297">
      <c r="A297" s="59" t="s">
        <v>219</v>
      </c>
      <c r="B297" s="59" t="s">
        <v>775</v>
      </c>
      <c r="C297" s="70">
        <v>7.7247178961E10</v>
      </c>
      <c r="D297" s="86">
        <v>-0.16190306551827355</v>
      </c>
      <c r="E297" s="94">
        <v>16.75</v>
      </c>
      <c r="F297" s="94">
        <v>16.34</v>
      </c>
      <c r="G297" s="94">
        <v>14.0</v>
      </c>
      <c r="H297" s="59">
        <v>12.5</v>
      </c>
      <c r="I297" s="94">
        <v>11.44</v>
      </c>
      <c r="J297" s="59">
        <v>11.09</v>
      </c>
      <c r="K297" s="94">
        <v>15.48</v>
      </c>
      <c r="L297" s="94">
        <v>15.1</v>
      </c>
      <c r="M297" s="94">
        <v>65.16</v>
      </c>
      <c r="N297" s="59">
        <v>40.53</v>
      </c>
      <c r="O297" s="88">
        <v>-0.025091799265605882</v>
      </c>
      <c r="P297" s="95">
        <v>-0.12</v>
      </c>
      <c r="Q297" s="88">
        <v>-0.03155996393146976</v>
      </c>
      <c r="R297" s="88">
        <v>-0.025165562913907338</v>
      </c>
      <c r="S297" s="88">
        <v>-0.6076980014803848</v>
      </c>
      <c r="T297" s="59"/>
      <c r="U297" s="59"/>
      <c r="V297" s="91"/>
      <c r="W297" s="91"/>
      <c r="X297" s="91"/>
      <c r="Y297" s="91"/>
      <c r="Z297" s="91"/>
      <c r="AA297" s="96"/>
      <c r="AB297" s="97"/>
      <c r="AC297" s="91"/>
      <c r="AD297" s="91"/>
      <c r="AE297" s="91"/>
      <c r="AF297" s="91"/>
    </row>
    <row r="298">
      <c r="A298" s="59" t="s">
        <v>776</v>
      </c>
      <c r="B298" s="59" t="s">
        <v>777</v>
      </c>
      <c r="C298" s="70">
        <v>1.2293335239E10</v>
      </c>
      <c r="D298" s="86">
        <v>-0.16292419744160708</v>
      </c>
      <c r="E298" s="94">
        <v>48.28</v>
      </c>
      <c r="F298" s="94">
        <v>45.83</v>
      </c>
      <c r="G298" s="94">
        <v>51.0</v>
      </c>
      <c r="H298" s="59">
        <v>45.84</v>
      </c>
      <c r="I298" s="94">
        <v>60.18</v>
      </c>
      <c r="J298" s="59">
        <v>55.85</v>
      </c>
      <c r="K298" s="94">
        <v>77.46</v>
      </c>
      <c r="L298" s="94">
        <v>72.76</v>
      </c>
      <c r="M298" s="94">
        <v>118.71</v>
      </c>
      <c r="N298" s="59">
        <v>78.8</v>
      </c>
      <c r="O298" s="88">
        <v>-0.053458433340606654</v>
      </c>
      <c r="P298" s="95">
        <v>-0.11256544502617792</v>
      </c>
      <c r="Q298" s="88">
        <v>-0.07752909579230077</v>
      </c>
      <c r="R298" s="88">
        <v>-0.06459593183067604</v>
      </c>
      <c r="S298" s="88">
        <v>-0.5064720812182741</v>
      </c>
      <c r="T298" s="59"/>
      <c r="U298" s="59"/>
      <c r="V298" s="91"/>
      <c r="W298" s="91"/>
      <c r="X298" s="91"/>
      <c r="Y298" s="91"/>
      <c r="Z298" s="91"/>
      <c r="AA298" s="96"/>
      <c r="AB298" s="97"/>
      <c r="AC298" s="91"/>
      <c r="AD298" s="91"/>
      <c r="AE298" s="91"/>
      <c r="AF298" s="91"/>
    </row>
    <row r="299">
      <c r="A299" s="59" t="s">
        <v>778</v>
      </c>
      <c r="B299" s="59" t="s">
        <v>779</v>
      </c>
      <c r="C299" s="70">
        <v>4.6320485247E10</v>
      </c>
      <c r="D299" s="86">
        <v>-0.16310579198057887</v>
      </c>
      <c r="E299" s="94">
        <v>20.97</v>
      </c>
      <c r="F299" s="94">
        <v>22.46</v>
      </c>
      <c r="G299" s="94">
        <v>18.6</v>
      </c>
      <c r="H299" s="59">
        <v>16.71</v>
      </c>
      <c r="I299" s="94">
        <v>18.34</v>
      </c>
      <c r="J299" s="59">
        <v>16.63</v>
      </c>
      <c r="K299" s="94">
        <v>123.11</v>
      </c>
      <c r="L299" s="94">
        <v>119.28</v>
      </c>
      <c r="M299" s="94">
        <v>203.82</v>
      </c>
      <c r="N299" s="59">
        <v>124.75</v>
      </c>
      <c r="O299" s="88">
        <v>0.06634016028495111</v>
      </c>
      <c r="P299" s="95">
        <v>-0.1131059245960503</v>
      </c>
      <c r="Q299" s="88">
        <v>-0.10282621767889362</v>
      </c>
      <c r="R299" s="88">
        <v>-0.03210932260228033</v>
      </c>
      <c r="S299" s="88">
        <v>-0.6338276553106212</v>
      </c>
      <c r="T299" s="59"/>
      <c r="U299" s="59"/>
      <c r="V299" s="91"/>
      <c r="W299" s="91"/>
      <c r="X299" s="91"/>
      <c r="Y299" s="91"/>
      <c r="Z299" s="91"/>
      <c r="AA299" s="96"/>
      <c r="AB299" s="97"/>
      <c r="AC299" s="91"/>
      <c r="AD299" s="91"/>
      <c r="AE299" s="91"/>
      <c r="AF299" s="91"/>
    </row>
    <row r="300">
      <c r="A300" s="59" t="s">
        <v>221</v>
      </c>
      <c r="B300" s="59" t="s">
        <v>780</v>
      </c>
      <c r="C300" s="70">
        <v>6.1117021752E10</v>
      </c>
      <c r="D300" s="86">
        <v>-0.16342796785820116</v>
      </c>
      <c r="E300" s="94">
        <v>6.44</v>
      </c>
      <c r="F300" s="94">
        <v>6.5</v>
      </c>
      <c r="G300" s="94">
        <v>6.39</v>
      </c>
      <c r="H300" s="59">
        <v>5.85</v>
      </c>
      <c r="I300" s="94">
        <v>7.32</v>
      </c>
      <c r="J300" s="59">
        <v>6.86</v>
      </c>
      <c r="K300" s="94">
        <v>9.13</v>
      </c>
      <c r="L300" s="94">
        <v>8.76</v>
      </c>
      <c r="M300" s="94">
        <v>26.5</v>
      </c>
      <c r="N300" s="59">
        <v>16.31</v>
      </c>
      <c r="O300" s="88">
        <v>0.009230769230769171</v>
      </c>
      <c r="P300" s="95">
        <v>-0.09230769230769231</v>
      </c>
      <c r="Q300" s="88">
        <v>-0.06705539358600582</v>
      </c>
      <c r="R300" s="88">
        <v>-0.042237442922374545</v>
      </c>
      <c r="S300" s="88">
        <v>-0.6247700797057022</v>
      </c>
      <c r="T300" s="59"/>
      <c r="U300" s="59"/>
      <c r="V300" s="91"/>
      <c r="W300" s="91"/>
      <c r="X300" s="91"/>
      <c r="Y300" s="91"/>
      <c r="Z300" s="91"/>
      <c r="AA300" s="96"/>
      <c r="AB300" s="97"/>
      <c r="AC300" s="91"/>
      <c r="AD300" s="91"/>
      <c r="AE300" s="91"/>
      <c r="AF300" s="91"/>
    </row>
    <row r="301">
      <c r="A301" s="59" t="s">
        <v>781</v>
      </c>
      <c r="B301" s="59" t="s">
        <v>782</v>
      </c>
      <c r="C301" s="70">
        <v>1.632374632E10</v>
      </c>
      <c r="D301" s="86">
        <v>-0.1635392133619984</v>
      </c>
      <c r="E301" s="94">
        <v>21.49</v>
      </c>
      <c r="F301" s="94">
        <v>18.5</v>
      </c>
      <c r="G301" s="94">
        <v>24.15</v>
      </c>
      <c r="H301" s="59">
        <v>20.63</v>
      </c>
      <c r="I301" s="94">
        <v>12.8</v>
      </c>
      <c r="J301" s="59">
        <v>11.73</v>
      </c>
      <c r="K301" s="94">
        <v>46.92</v>
      </c>
      <c r="L301" s="94">
        <v>45.5</v>
      </c>
      <c r="M301" s="94">
        <v>185.33</v>
      </c>
      <c r="N301" s="59">
        <v>135.97</v>
      </c>
      <c r="O301" s="88">
        <v>-0.16162162162162153</v>
      </c>
      <c r="P301" s="95">
        <v>-0.17062530295685893</v>
      </c>
      <c r="Q301" s="88">
        <v>-0.09121909633418587</v>
      </c>
      <c r="R301" s="88">
        <v>-0.031208791208791248</v>
      </c>
      <c r="S301" s="88">
        <v>-0.36302125468853436</v>
      </c>
      <c r="T301" s="59"/>
      <c r="U301" s="59"/>
      <c r="V301" s="91"/>
      <c r="W301" s="91"/>
      <c r="X301" s="91"/>
      <c r="Y301" s="91"/>
      <c r="Z301" s="91"/>
      <c r="AA301" s="96"/>
      <c r="AB301" s="97"/>
      <c r="AC301" s="91"/>
      <c r="AD301" s="91"/>
      <c r="AE301" s="91"/>
      <c r="AF301" s="91"/>
    </row>
    <row r="302">
      <c r="A302" s="59" t="s">
        <v>783</v>
      </c>
      <c r="B302" s="59" t="s">
        <v>784</v>
      </c>
      <c r="C302" s="70">
        <v>1.5507009986E10</v>
      </c>
      <c r="D302" s="86">
        <v>-0.1646437002459329</v>
      </c>
      <c r="E302" s="94">
        <v>44.98</v>
      </c>
      <c r="F302" s="94">
        <v>43.7</v>
      </c>
      <c r="G302" s="94">
        <v>46.11</v>
      </c>
      <c r="H302" s="59">
        <v>41.03</v>
      </c>
      <c r="I302" s="94">
        <v>25.52</v>
      </c>
      <c r="J302" s="59">
        <v>23.95</v>
      </c>
      <c r="K302" s="94">
        <v>30.18</v>
      </c>
      <c r="L302" s="94">
        <v>29.27</v>
      </c>
      <c r="M302" s="94">
        <v>90.16</v>
      </c>
      <c r="N302" s="59">
        <v>57.3</v>
      </c>
      <c r="O302" s="88">
        <v>-0.029290617848970114</v>
      </c>
      <c r="P302" s="95">
        <v>-0.1238118449914696</v>
      </c>
      <c r="Q302" s="88">
        <v>-0.06555323590814198</v>
      </c>
      <c r="R302" s="88">
        <v>-0.03108985309190298</v>
      </c>
      <c r="S302" s="88">
        <v>-0.5734729493891798</v>
      </c>
      <c r="T302" s="59"/>
      <c r="U302" s="59"/>
      <c r="V302" s="91"/>
      <c r="W302" s="91"/>
      <c r="X302" s="91"/>
      <c r="Y302" s="91"/>
      <c r="Z302" s="91"/>
      <c r="AA302" s="96"/>
      <c r="AB302" s="97"/>
      <c r="AC302" s="91"/>
      <c r="AD302" s="91"/>
      <c r="AE302" s="91"/>
      <c r="AF302" s="91"/>
    </row>
    <row r="303">
      <c r="A303" s="59" t="s">
        <v>785</v>
      </c>
      <c r="B303" s="59" t="s">
        <v>786</v>
      </c>
      <c r="C303" s="70">
        <v>6.450988937E9</v>
      </c>
      <c r="D303" s="86">
        <v>-0.16490176265667184</v>
      </c>
      <c r="E303" s="94">
        <v>23.94</v>
      </c>
      <c r="F303" s="94">
        <v>24.07</v>
      </c>
      <c r="G303" s="94">
        <v>21.68</v>
      </c>
      <c r="H303" s="59">
        <v>20.58</v>
      </c>
      <c r="I303" s="94">
        <v>19.62</v>
      </c>
      <c r="J303" s="59">
        <v>17.96</v>
      </c>
      <c r="K303" s="94">
        <v>52.17</v>
      </c>
      <c r="L303" s="94">
        <v>50.81</v>
      </c>
      <c r="M303" s="94">
        <v>34.67</v>
      </c>
      <c r="N303" s="59">
        <v>20.92</v>
      </c>
      <c r="O303" s="88">
        <v>0.005400914000830868</v>
      </c>
      <c r="P303" s="95">
        <v>-0.05344995140913516</v>
      </c>
      <c r="Q303" s="88">
        <v>-0.09242761692650335</v>
      </c>
      <c r="R303" s="88">
        <v>-0.02676638456996653</v>
      </c>
      <c r="S303" s="88">
        <v>-0.657265774378585</v>
      </c>
      <c r="T303" s="59"/>
      <c r="U303" s="59"/>
      <c r="V303" s="91"/>
      <c r="W303" s="91"/>
      <c r="X303" s="91"/>
      <c r="Y303" s="91"/>
      <c r="Z303" s="91"/>
      <c r="AA303" s="96"/>
      <c r="AB303" s="97"/>
      <c r="AC303" s="91"/>
      <c r="AD303" s="91"/>
      <c r="AE303" s="91"/>
      <c r="AF303" s="91"/>
    </row>
    <row r="304">
      <c r="A304" s="59" t="s">
        <v>787</v>
      </c>
      <c r="B304" s="59" t="s">
        <v>788</v>
      </c>
      <c r="C304" s="70">
        <v>6.678998236E9</v>
      </c>
      <c r="D304" s="86">
        <v>-0.16523102838606527</v>
      </c>
      <c r="E304" s="94">
        <v>38.48</v>
      </c>
      <c r="F304" s="94">
        <v>39.06</v>
      </c>
      <c r="G304" s="94">
        <v>36.69</v>
      </c>
      <c r="H304" s="59">
        <v>33.81</v>
      </c>
      <c r="I304" s="94">
        <v>34.51</v>
      </c>
      <c r="J304" s="59">
        <v>32.28</v>
      </c>
      <c r="K304" s="94">
        <v>53.63</v>
      </c>
      <c r="L304" s="94">
        <v>51.55</v>
      </c>
      <c r="M304" s="94">
        <v>57.92</v>
      </c>
      <c r="N304" s="59">
        <v>35.18</v>
      </c>
      <c r="O304" s="88">
        <v>0.014848950332821438</v>
      </c>
      <c r="P304" s="95">
        <v>-0.08518189884649498</v>
      </c>
      <c r="Q304" s="88">
        <v>-0.06908302354398999</v>
      </c>
      <c r="R304" s="88">
        <v>-0.040349175557711066</v>
      </c>
      <c r="S304" s="88">
        <v>-0.6463899943149517</v>
      </c>
      <c r="T304" s="59"/>
      <c r="U304" s="59"/>
      <c r="V304" s="91"/>
      <c r="W304" s="91"/>
      <c r="X304" s="91"/>
      <c r="Y304" s="91"/>
      <c r="Z304" s="91"/>
      <c r="AA304" s="96"/>
      <c r="AB304" s="97"/>
      <c r="AC304" s="91"/>
      <c r="AD304" s="91"/>
      <c r="AE304" s="91"/>
      <c r="AF304" s="91"/>
    </row>
    <row r="305">
      <c r="A305" s="59" t="s">
        <v>223</v>
      </c>
      <c r="B305" s="59" t="s">
        <v>789</v>
      </c>
      <c r="C305" s="70">
        <v>9.6310384894E10</v>
      </c>
      <c r="D305" s="86">
        <v>-0.1654342121314461</v>
      </c>
      <c r="E305" s="94">
        <v>5.84</v>
      </c>
      <c r="F305" s="94">
        <v>5.18</v>
      </c>
      <c r="G305" s="94">
        <v>9.29</v>
      </c>
      <c r="H305" s="59">
        <v>8.38</v>
      </c>
      <c r="I305" s="94">
        <v>6.56</v>
      </c>
      <c r="J305" s="59">
        <v>5.94</v>
      </c>
      <c r="K305" s="94">
        <v>1.78</v>
      </c>
      <c r="L305" s="94">
        <v>1.75</v>
      </c>
      <c r="M305" s="94">
        <v>56.89</v>
      </c>
      <c r="N305" s="59">
        <v>38.71</v>
      </c>
      <c r="O305" s="88">
        <v>-0.12741312741312744</v>
      </c>
      <c r="P305" s="95">
        <v>-0.10859188544152724</v>
      </c>
      <c r="Q305" s="88">
        <v>-0.10437710437710424</v>
      </c>
      <c r="R305" s="88">
        <v>-0.017142857142857158</v>
      </c>
      <c r="S305" s="88">
        <v>-0.4696460862826143</v>
      </c>
      <c r="T305" s="59"/>
      <c r="U305" s="59"/>
      <c r="V305" s="91"/>
      <c r="W305" s="91"/>
      <c r="X305" s="91"/>
      <c r="Y305" s="91"/>
      <c r="Z305" s="91"/>
      <c r="AA305" s="96"/>
      <c r="AB305" s="97"/>
      <c r="AC305" s="91"/>
      <c r="AD305" s="91"/>
      <c r="AE305" s="91"/>
      <c r="AF305" s="91"/>
    </row>
    <row r="306">
      <c r="A306" s="59" t="s">
        <v>790</v>
      </c>
      <c r="B306" s="59" t="s">
        <v>791</v>
      </c>
      <c r="C306" s="70">
        <v>3.0160073345E10</v>
      </c>
      <c r="D306" s="86">
        <v>-0.16617262135471306</v>
      </c>
      <c r="E306" s="94">
        <v>72.6</v>
      </c>
      <c r="F306" s="94">
        <v>75.83</v>
      </c>
      <c r="G306" s="94">
        <v>89.15</v>
      </c>
      <c r="H306" s="59">
        <v>84.07</v>
      </c>
      <c r="I306" s="94">
        <v>78.65</v>
      </c>
      <c r="J306" s="59">
        <v>72.56</v>
      </c>
      <c r="K306" s="94">
        <v>122.29</v>
      </c>
      <c r="L306" s="94">
        <v>116.11</v>
      </c>
      <c r="M306" s="94">
        <v>166.8</v>
      </c>
      <c r="N306" s="59">
        <v>99.53</v>
      </c>
      <c r="O306" s="88">
        <v>0.04259527891335888</v>
      </c>
      <c r="P306" s="95">
        <v>-0.06042583561317965</v>
      </c>
      <c r="Q306" s="88">
        <v>-0.08393054024255793</v>
      </c>
      <c r="R306" s="88">
        <v>-0.053225389716648065</v>
      </c>
      <c r="S306" s="88">
        <v>-0.6758766201145384</v>
      </c>
      <c r="T306" s="59"/>
      <c r="U306" s="59"/>
      <c r="V306" s="91"/>
      <c r="W306" s="91"/>
      <c r="X306" s="91"/>
      <c r="Y306" s="91"/>
      <c r="Z306" s="91"/>
      <c r="AA306" s="96"/>
      <c r="AB306" s="97"/>
      <c r="AC306" s="91"/>
      <c r="AD306" s="91"/>
      <c r="AE306" s="91"/>
      <c r="AF306" s="91"/>
    </row>
    <row r="307">
      <c r="A307" s="59" t="s">
        <v>792</v>
      </c>
      <c r="B307" s="59" t="s">
        <v>793</v>
      </c>
      <c r="C307" s="70">
        <v>5.2925203108E10</v>
      </c>
      <c r="D307" s="86">
        <v>-0.16657945250493425</v>
      </c>
      <c r="E307" s="94">
        <v>4.39</v>
      </c>
      <c r="F307" s="94">
        <v>4.74</v>
      </c>
      <c r="G307" s="94">
        <v>13.3</v>
      </c>
      <c r="H307" s="59">
        <v>11.51</v>
      </c>
      <c r="I307" s="94">
        <v>10.84</v>
      </c>
      <c r="J307" s="59">
        <v>9.93</v>
      </c>
      <c r="K307" s="94">
        <v>13.86</v>
      </c>
      <c r="L307" s="94">
        <v>13.19</v>
      </c>
      <c r="M307" s="94">
        <v>8.06</v>
      </c>
      <c r="N307" s="59">
        <v>5.01</v>
      </c>
      <c r="O307" s="88">
        <v>0.0738396624472575</v>
      </c>
      <c r="P307" s="95">
        <v>-0.15551694178974812</v>
      </c>
      <c r="Q307" s="88">
        <v>-0.09164149043303124</v>
      </c>
      <c r="R307" s="88">
        <v>-0.05079605761940864</v>
      </c>
      <c r="S307" s="88">
        <v>-0.6087824351297407</v>
      </c>
      <c r="T307" s="59"/>
      <c r="U307" s="59"/>
      <c r="V307" s="91"/>
      <c r="W307" s="91"/>
      <c r="X307" s="91"/>
      <c r="Y307" s="91"/>
      <c r="Z307" s="91"/>
      <c r="AA307" s="96"/>
      <c r="AB307" s="97"/>
      <c r="AC307" s="91"/>
      <c r="AD307" s="91"/>
      <c r="AE307" s="91"/>
      <c r="AF307" s="91"/>
    </row>
    <row r="308">
      <c r="A308" s="59" t="s">
        <v>225</v>
      </c>
      <c r="B308" s="59" t="s">
        <v>794</v>
      </c>
      <c r="C308" s="70">
        <v>9.6114709888E10</v>
      </c>
      <c r="D308" s="86">
        <v>-0.1667581407982616</v>
      </c>
      <c r="E308" s="94" t="e">
        <v>#N/A</v>
      </c>
      <c r="F308" s="94" t="e">
        <v>#N/A</v>
      </c>
      <c r="G308" s="94" t="e">
        <v>#N/A</v>
      </c>
      <c r="H308" s="59" t="e">
        <v>#N/A</v>
      </c>
      <c r="I308" s="94" t="e">
        <v>#N/A</v>
      </c>
      <c r="J308" s="59" t="e">
        <v>#N/A</v>
      </c>
      <c r="K308" s="94">
        <v>34.25</v>
      </c>
      <c r="L308" s="94">
        <v>33.75</v>
      </c>
      <c r="M308" s="94">
        <v>122.27</v>
      </c>
      <c r="N308" s="59">
        <v>92.72</v>
      </c>
      <c r="O308" s="88" t="e">
        <v>#N/A</v>
      </c>
      <c r="P308" s="95" t="e">
        <v>#N/A</v>
      </c>
      <c r="Q308" s="88" t="e">
        <v>#N/A</v>
      </c>
      <c r="R308" s="88">
        <v>-0.014814814814814815</v>
      </c>
      <c r="S308" s="88">
        <v>-0.31870146678170835</v>
      </c>
      <c r="T308" s="59"/>
      <c r="U308" s="59"/>
      <c r="V308" s="91"/>
      <c r="W308" s="91"/>
      <c r="X308" s="91"/>
      <c r="Y308" s="91"/>
      <c r="Z308" s="91"/>
      <c r="AA308" s="96"/>
      <c r="AB308" s="97"/>
      <c r="AC308" s="91"/>
      <c r="AD308" s="91"/>
      <c r="AE308" s="91"/>
      <c r="AF308" s="91"/>
    </row>
    <row r="309">
      <c r="A309" s="59" t="s">
        <v>227</v>
      </c>
      <c r="B309" s="59" t="s">
        <v>795</v>
      </c>
      <c r="C309" s="70">
        <v>3.8003111619E10</v>
      </c>
      <c r="D309" s="86">
        <v>-0.16738278050376756</v>
      </c>
      <c r="E309" s="94">
        <v>50.38</v>
      </c>
      <c r="F309" s="94">
        <v>47.51</v>
      </c>
      <c r="G309" s="94">
        <v>31.48</v>
      </c>
      <c r="H309" s="59">
        <v>29.63</v>
      </c>
      <c r="I309" s="94">
        <v>29.95</v>
      </c>
      <c r="J309" s="59">
        <v>28.49</v>
      </c>
      <c r="K309" s="94">
        <v>23.54</v>
      </c>
      <c r="L309" s="94">
        <v>23.28</v>
      </c>
      <c r="M309" s="94">
        <v>35.94</v>
      </c>
      <c r="N309" s="59">
        <v>21.76</v>
      </c>
      <c r="O309" s="88">
        <v>-0.06040833508735013</v>
      </c>
      <c r="P309" s="95">
        <v>-0.06243671954100579</v>
      </c>
      <c r="Q309" s="88">
        <v>-0.05124605124605128</v>
      </c>
      <c r="R309" s="88">
        <v>-0.011168384879725</v>
      </c>
      <c r="S309" s="88">
        <v>-0.6516544117647056</v>
      </c>
      <c r="T309" s="59"/>
      <c r="U309" s="59"/>
      <c r="V309" s="91"/>
      <c r="W309" s="91"/>
      <c r="X309" s="91"/>
      <c r="Y309" s="91"/>
      <c r="Z309" s="91"/>
      <c r="AA309" s="96"/>
      <c r="AB309" s="97"/>
      <c r="AC309" s="91"/>
      <c r="AD309" s="91"/>
      <c r="AE309" s="91"/>
      <c r="AF309" s="91"/>
    </row>
    <row r="310">
      <c r="A310" s="59" t="s">
        <v>796</v>
      </c>
      <c r="B310" s="59" t="s">
        <v>797</v>
      </c>
      <c r="C310" s="70">
        <v>4.842892E10</v>
      </c>
      <c r="D310" s="86">
        <v>-0.16777366876850763</v>
      </c>
      <c r="E310" s="94">
        <v>39.81</v>
      </c>
      <c r="F310" s="94">
        <v>36.2</v>
      </c>
      <c r="G310" s="94">
        <v>25.23</v>
      </c>
      <c r="H310" s="59">
        <v>23.36</v>
      </c>
      <c r="I310" s="94">
        <v>32.88</v>
      </c>
      <c r="J310" s="59">
        <v>29.8</v>
      </c>
      <c r="K310" s="94">
        <v>103.63</v>
      </c>
      <c r="L310" s="94">
        <v>99.47</v>
      </c>
      <c r="M310" s="94">
        <v>280.68</v>
      </c>
      <c r="N310" s="59">
        <v>185.4</v>
      </c>
      <c r="O310" s="88">
        <v>-0.09972375690607732</v>
      </c>
      <c r="P310" s="95">
        <v>-0.08005136986301374</v>
      </c>
      <c r="Q310" s="88">
        <v>-0.10335570469798663</v>
      </c>
      <c r="R310" s="88">
        <v>-0.04182165477028246</v>
      </c>
      <c r="S310" s="88">
        <v>-0.513915857605178</v>
      </c>
      <c r="T310" s="59"/>
      <c r="U310" s="59"/>
      <c r="V310" s="91"/>
      <c r="W310" s="91"/>
      <c r="X310" s="91"/>
      <c r="Y310" s="91"/>
      <c r="Z310" s="91"/>
      <c r="AA310" s="96"/>
      <c r="AB310" s="97"/>
      <c r="AC310" s="91"/>
      <c r="AD310" s="91"/>
      <c r="AE310" s="91"/>
      <c r="AF310" s="91"/>
    </row>
    <row r="311">
      <c r="A311" s="59" t="s">
        <v>798</v>
      </c>
      <c r="B311" s="59" t="s">
        <v>799</v>
      </c>
      <c r="C311" s="70">
        <v>1.3948995558E10</v>
      </c>
      <c r="D311" s="86">
        <v>-0.16781349529829936</v>
      </c>
      <c r="E311" s="94">
        <v>554.0</v>
      </c>
      <c r="F311" s="94">
        <v>584.0</v>
      </c>
      <c r="G311" s="94">
        <v>730.92</v>
      </c>
      <c r="H311" s="59">
        <v>671.82</v>
      </c>
      <c r="I311" s="94">
        <v>629.29</v>
      </c>
      <c r="J311" s="59">
        <v>592.58</v>
      </c>
      <c r="K311" s="94">
        <v>1540.99</v>
      </c>
      <c r="L311" s="94">
        <v>1488.98</v>
      </c>
      <c r="M311" s="94">
        <v>3960.0</v>
      </c>
      <c r="N311" s="59">
        <v>2321.78</v>
      </c>
      <c r="O311" s="88">
        <v>0.05136986301369863</v>
      </c>
      <c r="P311" s="95">
        <v>-0.08796999196213257</v>
      </c>
      <c r="Q311" s="88">
        <v>-0.06194944142563016</v>
      </c>
      <c r="R311" s="88">
        <v>-0.03492995204771051</v>
      </c>
      <c r="S311" s="88">
        <v>-0.7055879540697222</v>
      </c>
      <c r="T311" s="59"/>
      <c r="U311" s="59"/>
      <c r="V311" s="91"/>
      <c r="W311" s="91"/>
      <c r="X311" s="91"/>
      <c r="Y311" s="91"/>
      <c r="Z311" s="91"/>
      <c r="AA311" s="96"/>
      <c r="AB311" s="97"/>
      <c r="AC311" s="91"/>
      <c r="AD311" s="91"/>
      <c r="AE311" s="91"/>
      <c r="AF311" s="91"/>
    </row>
    <row r="312">
      <c r="A312" s="59" t="s">
        <v>800</v>
      </c>
      <c r="B312" s="59" t="s">
        <v>801</v>
      </c>
      <c r="C312" s="70">
        <v>1.8624969165E10</v>
      </c>
      <c r="D312" s="86">
        <v>-0.16785924018262738</v>
      </c>
      <c r="E312" s="94">
        <v>30.97</v>
      </c>
      <c r="F312" s="94">
        <v>30.26</v>
      </c>
      <c r="G312" s="94">
        <v>35.76</v>
      </c>
      <c r="H312" s="59">
        <v>32.16</v>
      </c>
      <c r="I312" s="94">
        <v>37.03</v>
      </c>
      <c r="J312" s="59">
        <v>33.89</v>
      </c>
      <c r="K312" s="94">
        <v>48.25</v>
      </c>
      <c r="L312" s="94">
        <v>46.74</v>
      </c>
      <c r="M312" s="94">
        <v>119.92</v>
      </c>
      <c r="N312" s="59">
        <v>75.95</v>
      </c>
      <c r="O312" s="88">
        <v>-0.023463317911434148</v>
      </c>
      <c r="P312" s="95">
        <v>-0.11194029850746275</v>
      </c>
      <c r="Q312" s="88">
        <v>-0.09265269991147833</v>
      </c>
      <c r="R312" s="88">
        <v>-0.03230637569533586</v>
      </c>
      <c r="S312" s="88">
        <v>-0.5789335088874259</v>
      </c>
      <c r="T312" s="59"/>
      <c r="U312" s="59"/>
      <c r="V312" s="91"/>
      <c r="W312" s="91"/>
      <c r="X312" s="91"/>
      <c r="Y312" s="91"/>
      <c r="Z312" s="91"/>
      <c r="AA312" s="96"/>
      <c r="AB312" s="97"/>
      <c r="AC312" s="91"/>
      <c r="AD312" s="91"/>
      <c r="AE312" s="91"/>
      <c r="AF312" s="91"/>
    </row>
    <row r="313">
      <c r="A313" s="59" t="s">
        <v>802</v>
      </c>
      <c r="B313" s="59" t="s">
        <v>803</v>
      </c>
      <c r="C313" s="70">
        <v>8.736283128E9</v>
      </c>
      <c r="D313" s="86">
        <v>-0.16875371858498883</v>
      </c>
      <c r="E313" s="94">
        <v>19.76</v>
      </c>
      <c r="F313" s="94">
        <v>18.45</v>
      </c>
      <c r="G313" s="94">
        <v>21.68</v>
      </c>
      <c r="H313" s="59">
        <v>18.55</v>
      </c>
      <c r="I313" s="94">
        <v>34.24</v>
      </c>
      <c r="J313" s="59">
        <v>31.28</v>
      </c>
      <c r="K313" s="94">
        <v>44.22</v>
      </c>
      <c r="L313" s="94">
        <v>43.37</v>
      </c>
      <c r="M313" s="94">
        <v>34.34</v>
      </c>
      <c r="N313" s="59">
        <v>23.05</v>
      </c>
      <c r="O313" s="88">
        <v>-0.0710027100271004</v>
      </c>
      <c r="P313" s="95">
        <v>-0.16873315363881394</v>
      </c>
      <c r="Q313" s="88">
        <v>-0.0946291560102302</v>
      </c>
      <c r="R313" s="88">
        <v>-0.019598801014526206</v>
      </c>
      <c r="S313" s="88">
        <v>-0.48980477223427343</v>
      </c>
      <c r="T313" s="59"/>
      <c r="U313" s="59"/>
      <c r="V313" s="91"/>
      <c r="W313" s="91"/>
      <c r="X313" s="91"/>
      <c r="Y313" s="91"/>
      <c r="Z313" s="91"/>
      <c r="AA313" s="96"/>
      <c r="AB313" s="97"/>
      <c r="AC313" s="91"/>
      <c r="AD313" s="91"/>
      <c r="AE313" s="91"/>
      <c r="AF313" s="91"/>
    </row>
    <row r="314">
      <c r="A314" s="59" t="s">
        <v>804</v>
      </c>
      <c r="B314" s="59" t="s">
        <v>805</v>
      </c>
      <c r="C314" s="70">
        <v>9.8301217828E10</v>
      </c>
      <c r="D314" s="86">
        <v>-0.169782645287002</v>
      </c>
      <c r="E314" s="94">
        <v>210.91</v>
      </c>
      <c r="F314" s="94">
        <v>201.0</v>
      </c>
      <c r="G314" s="94">
        <v>185.76</v>
      </c>
      <c r="H314" s="59">
        <v>172.12</v>
      </c>
      <c r="I314" s="94">
        <v>161.58</v>
      </c>
      <c r="J314" s="59">
        <v>145.25</v>
      </c>
      <c r="K314" s="94">
        <v>307.27</v>
      </c>
      <c r="L314" s="94">
        <v>299.17</v>
      </c>
      <c r="M314" s="94">
        <v>564.81</v>
      </c>
      <c r="N314" s="59">
        <v>357.28</v>
      </c>
      <c r="O314" s="88">
        <v>-0.049303482587064656</v>
      </c>
      <c r="P314" s="95">
        <v>-0.07924703695096436</v>
      </c>
      <c r="Q314" s="88">
        <v>-0.11242685025817564</v>
      </c>
      <c r="R314" s="88">
        <v>-0.027074907243373216</v>
      </c>
      <c r="S314" s="88">
        <v>-0.5808609493954321</v>
      </c>
      <c r="T314" s="59"/>
      <c r="U314" s="59"/>
      <c r="V314" s="91"/>
      <c r="W314" s="91"/>
      <c r="X314" s="91"/>
      <c r="Y314" s="91"/>
      <c r="Z314" s="91"/>
      <c r="AA314" s="96"/>
      <c r="AB314" s="97"/>
      <c r="AC314" s="91"/>
      <c r="AD314" s="91"/>
      <c r="AE314" s="91"/>
      <c r="AF314" s="91"/>
    </row>
    <row r="315">
      <c r="A315" s="59" t="s">
        <v>806</v>
      </c>
      <c r="B315" s="59" t="s">
        <v>807</v>
      </c>
      <c r="C315" s="70">
        <v>1.45223573126E11</v>
      </c>
      <c r="D315" s="86">
        <v>-0.17006454603122834</v>
      </c>
      <c r="E315" s="94">
        <v>23.56</v>
      </c>
      <c r="F315" s="94">
        <v>22.7</v>
      </c>
      <c r="G315" s="94">
        <v>19.56</v>
      </c>
      <c r="H315" s="59">
        <v>17.22</v>
      </c>
      <c r="I315" s="94">
        <v>13.66</v>
      </c>
      <c r="J315" s="59">
        <v>12.41</v>
      </c>
      <c r="K315" s="94">
        <v>30.93</v>
      </c>
      <c r="L315" s="94">
        <v>29.55</v>
      </c>
      <c r="M315" s="94">
        <v>46.73</v>
      </c>
      <c r="N315" s="59">
        <v>30.56</v>
      </c>
      <c r="O315" s="88">
        <v>-0.03788546255506606</v>
      </c>
      <c r="P315" s="95">
        <v>-0.13588850174216027</v>
      </c>
      <c r="Q315" s="88">
        <v>-0.10072522159548751</v>
      </c>
      <c r="R315" s="88">
        <v>-0.04670050761421316</v>
      </c>
      <c r="S315" s="88">
        <v>-0.5291230366492147</v>
      </c>
      <c r="T315" s="59"/>
      <c r="U315" s="59"/>
      <c r="V315" s="91"/>
      <c r="W315" s="91"/>
      <c r="X315" s="91"/>
      <c r="Y315" s="91"/>
      <c r="Z315" s="91"/>
      <c r="AA315" s="96"/>
      <c r="AB315" s="97"/>
      <c r="AC315" s="91"/>
      <c r="AD315" s="91"/>
      <c r="AE315" s="91"/>
      <c r="AF315" s="91"/>
    </row>
    <row r="316">
      <c r="A316" s="59" t="s">
        <v>808</v>
      </c>
      <c r="B316" s="59" t="s">
        <v>809</v>
      </c>
      <c r="C316" s="70">
        <v>1.18989850079E11</v>
      </c>
      <c r="D316" s="86">
        <v>-0.1701842379361736</v>
      </c>
      <c r="E316" s="94">
        <v>160.9</v>
      </c>
      <c r="F316" s="94">
        <v>135.5</v>
      </c>
      <c r="G316" s="94">
        <v>149.5</v>
      </c>
      <c r="H316" s="59">
        <v>142.99</v>
      </c>
      <c r="I316" s="94">
        <v>125.18</v>
      </c>
      <c r="J316" s="59">
        <v>117.66</v>
      </c>
      <c r="K316" s="94">
        <v>187.74</v>
      </c>
      <c r="L316" s="94">
        <v>179.46</v>
      </c>
      <c r="M316" s="94">
        <v>233.21</v>
      </c>
      <c r="N316" s="59">
        <v>154.66</v>
      </c>
      <c r="O316" s="88">
        <v>-0.18745387453874543</v>
      </c>
      <c r="P316" s="95">
        <v>-0.04552765927687244</v>
      </c>
      <c r="Q316" s="88">
        <v>-0.06391296957334702</v>
      </c>
      <c r="R316" s="88">
        <v>-0.04613841524573722</v>
      </c>
      <c r="S316" s="88">
        <v>-0.5078882710461659</v>
      </c>
      <c r="T316" s="59"/>
      <c r="U316" s="59"/>
      <c r="V316" s="91"/>
      <c r="W316" s="91"/>
      <c r="X316" s="91"/>
      <c r="Y316" s="91"/>
      <c r="Z316" s="91"/>
      <c r="AA316" s="96"/>
      <c r="AB316" s="97"/>
      <c r="AC316" s="91"/>
      <c r="AD316" s="91"/>
      <c r="AE316" s="91"/>
      <c r="AF316" s="91"/>
    </row>
    <row r="317">
      <c r="A317" s="59" t="s">
        <v>810</v>
      </c>
      <c r="B317" s="59" t="s">
        <v>811</v>
      </c>
      <c r="C317" s="70">
        <v>1.9972402664E10</v>
      </c>
      <c r="D317" s="86">
        <v>-0.17023833340897418</v>
      </c>
      <c r="E317" s="94">
        <v>10.2</v>
      </c>
      <c r="F317" s="94">
        <v>9.9</v>
      </c>
      <c r="G317" s="94">
        <v>12.14</v>
      </c>
      <c r="H317" s="59">
        <v>11.76</v>
      </c>
      <c r="I317" s="94">
        <v>13.12</v>
      </c>
      <c r="J317" s="59">
        <v>12.27</v>
      </c>
      <c r="K317" s="94">
        <v>24.58</v>
      </c>
      <c r="L317" s="94">
        <v>23.44</v>
      </c>
      <c r="M317" s="94">
        <v>52.91</v>
      </c>
      <c r="N317" s="59">
        <v>31.67</v>
      </c>
      <c r="O317" s="88">
        <v>-0.030303030303030193</v>
      </c>
      <c r="P317" s="95">
        <v>-0.03231292517006809</v>
      </c>
      <c r="Q317" s="88">
        <v>-0.06927465362673184</v>
      </c>
      <c r="R317" s="88">
        <v>-0.04863481228668929</v>
      </c>
      <c r="S317" s="88">
        <v>-0.6706662456583515</v>
      </c>
      <c r="T317" s="59"/>
      <c r="U317" s="59"/>
      <c r="V317" s="91"/>
      <c r="W317" s="91"/>
      <c r="X317" s="91"/>
      <c r="Y317" s="91"/>
      <c r="Z317" s="91"/>
      <c r="AA317" s="96"/>
      <c r="AB317" s="97"/>
      <c r="AC317" s="91"/>
      <c r="AD317" s="91"/>
      <c r="AE317" s="91"/>
      <c r="AF317" s="91"/>
    </row>
    <row r="318">
      <c r="A318" s="59" t="s">
        <v>812</v>
      </c>
      <c r="B318" s="59" t="s">
        <v>813</v>
      </c>
      <c r="C318" s="70">
        <v>7.483691489E9</v>
      </c>
      <c r="D318" s="86">
        <v>-0.17052996769804968</v>
      </c>
      <c r="E318" s="94">
        <v>80.24</v>
      </c>
      <c r="F318" s="94">
        <v>86.13</v>
      </c>
      <c r="G318" s="94">
        <v>111.71</v>
      </c>
      <c r="H318" s="59">
        <v>98.14</v>
      </c>
      <c r="I318" s="94">
        <v>66.36</v>
      </c>
      <c r="J318" s="59">
        <v>58.84</v>
      </c>
      <c r="K318" s="94">
        <v>177.6</v>
      </c>
      <c r="L318" s="94">
        <v>167.69</v>
      </c>
      <c r="M318" s="94">
        <v>148.08</v>
      </c>
      <c r="N318" s="59">
        <v>92.79</v>
      </c>
      <c r="O318" s="88">
        <v>0.06838499941948219</v>
      </c>
      <c r="P318" s="95">
        <v>-0.13827185653148558</v>
      </c>
      <c r="Q318" s="88">
        <v>-0.12780421481985035</v>
      </c>
      <c r="R318" s="88">
        <v>-0.05909714353867253</v>
      </c>
      <c r="S318" s="88">
        <v>-0.595861623019722</v>
      </c>
      <c r="T318" s="59"/>
      <c r="U318" s="59"/>
      <c r="V318" s="91"/>
      <c r="W318" s="91"/>
      <c r="X318" s="91"/>
      <c r="Y318" s="91"/>
      <c r="Z318" s="91"/>
      <c r="AA318" s="96"/>
      <c r="AB318" s="97"/>
      <c r="AC318" s="91"/>
      <c r="AD318" s="91"/>
      <c r="AE318" s="91"/>
      <c r="AF318" s="91"/>
    </row>
    <row r="319">
      <c r="A319" s="59" t="s">
        <v>814</v>
      </c>
      <c r="B319" s="59" t="s">
        <v>815</v>
      </c>
      <c r="C319" s="70">
        <v>1.6846813117E10</v>
      </c>
      <c r="D319" s="86">
        <v>-0.17157832717071986</v>
      </c>
      <c r="E319" s="94">
        <v>34.97</v>
      </c>
      <c r="F319" s="94">
        <v>31.37</v>
      </c>
      <c r="G319" s="94">
        <v>34.41</v>
      </c>
      <c r="H319" s="59">
        <v>30.88</v>
      </c>
      <c r="I319" s="94">
        <v>37.74</v>
      </c>
      <c r="J319" s="59">
        <v>34.38</v>
      </c>
      <c r="K319" s="94">
        <v>70.84</v>
      </c>
      <c r="L319" s="94">
        <v>69.52</v>
      </c>
      <c r="M319" s="94">
        <v>174.95</v>
      </c>
      <c r="N319" s="59">
        <v>115.7</v>
      </c>
      <c r="O319" s="88">
        <v>-0.11475932419509077</v>
      </c>
      <c r="P319" s="95">
        <v>-0.1143134715025906</v>
      </c>
      <c r="Q319" s="88">
        <v>-0.09773123909249562</v>
      </c>
      <c r="R319" s="88">
        <v>-0.018987341772152007</v>
      </c>
      <c r="S319" s="88">
        <v>-0.5121002592912703</v>
      </c>
      <c r="T319" s="59"/>
      <c r="U319" s="59"/>
      <c r="V319" s="91"/>
      <c r="W319" s="91"/>
      <c r="X319" s="91"/>
      <c r="Y319" s="91"/>
      <c r="Z319" s="91"/>
      <c r="AA319" s="96"/>
      <c r="AB319" s="97"/>
      <c r="AC319" s="91"/>
      <c r="AD319" s="91"/>
      <c r="AE319" s="91"/>
      <c r="AF319" s="91"/>
    </row>
    <row r="320">
      <c r="A320" s="59" t="s">
        <v>816</v>
      </c>
      <c r="B320" s="59" t="s">
        <v>817</v>
      </c>
      <c r="C320" s="70">
        <v>6.3710419121E10</v>
      </c>
      <c r="D320" s="86">
        <v>-0.17203033011450303</v>
      </c>
      <c r="E320" s="94">
        <v>31.65</v>
      </c>
      <c r="F320" s="94">
        <v>33.02</v>
      </c>
      <c r="G320" s="94">
        <v>27.22</v>
      </c>
      <c r="H320" s="59">
        <v>25.15</v>
      </c>
      <c r="I320" s="94">
        <v>23.72</v>
      </c>
      <c r="J320" s="59">
        <v>21.59</v>
      </c>
      <c r="K320" s="94">
        <v>42.78</v>
      </c>
      <c r="L320" s="94">
        <v>40.75</v>
      </c>
      <c r="M320" s="94">
        <v>54.42</v>
      </c>
      <c r="N320" s="59">
        <v>32.57</v>
      </c>
      <c r="O320" s="88">
        <v>0.04149000605693533</v>
      </c>
      <c r="P320" s="95">
        <v>-0.0823061630218688</v>
      </c>
      <c r="Q320" s="88">
        <v>-0.09865678554886517</v>
      </c>
      <c r="R320" s="88">
        <v>-0.049815950920245426</v>
      </c>
      <c r="S320" s="88">
        <v>-0.670862757138471</v>
      </c>
      <c r="T320" s="59"/>
      <c r="U320" s="59"/>
      <c r="V320" s="91"/>
      <c r="W320" s="91"/>
      <c r="X320" s="91"/>
      <c r="Y320" s="91"/>
      <c r="Z320" s="91"/>
      <c r="AA320" s="96"/>
      <c r="AB320" s="97"/>
      <c r="AC320" s="91"/>
      <c r="AD320" s="91"/>
      <c r="AE320" s="91"/>
      <c r="AF320" s="91"/>
    </row>
    <row r="321">
      <c r="A321" s="59" t="s">
        <v>818</v>
      </c>
      <c r="B321" s="59" t="s">
        <v>819</v>
      </c>
      <c r="C321" s="70">
        <v>2.2044979416E10</v>
      </c>
      <c r="D321" s="86">
        <v>-0.17274308034197933</v>
      </c>
      <c r="E321" s="94">
        <v>7.56</v>
      </c>
      <c r="F321" s="94">
        <v>8.2</v>
      </c>
      <c r="G321" s="94">
        <v>6.88</v>
      </c>
      <c r="H321" s="59">
        <v>6.01</v>
      </c>
      <c r="I321" s="94">
        <v>5.39</v>
      </c>
      <c r="J321" s="59">
        <v>4.93</v>
      </c>
      <c r="K321" s="94">
        <v>11.0</v>
      </c>
      <c r="L321" s="94">
        <v>10.44</v>
      </c>
      <c r="M321" s="94">
        <v>13.91</v>
      </c>
      <c r="N321" s="59">
        <v>8.43</v>
      </c>
      <c r="O321" s="88">
        <v>0.07804878048780485</v>
      </c>
      <c r="P321" s="95">
        <v>-0.1447587354409318</v>
      </c>
      <c r="Q321" s="88">
        <v>-0.09330628803245436</v>
      </c>
      <c r="R321" s="88">
        <v>-0.05363984674329507</v>
      </c>
      <c r="S321" s="88">
        <v>-0.6500593119810203</v>
      </c>
      <c r="T321" s="59"/>
      <c r="U321" s="59"/>
      <c r="V321" s="91"/>
      <c r="W321" s="91"/>
      <c r="X321" s="91"/>
      <c r="Y321" s="91"/>
      <c r="Z321" s="91"/>
      <c r="AA321" s="96"/>
      <c r="AB321" s="97"/>
      <c r="AC321" s="91"/>
      <c r="AD321" s="91"/>
      <c r="AE321" s="91"/>
      <c r="AF321" s="91"/>
    </row>
    <row r="322">
      <c r="A322" s="59" t="s">
        <v>820</v>
      </c>
      <c r="B322" s="59" t="s">
        <v>821</v>
      </c>
      <c r="C322" s="70">
        <v>6.041451103E9</v>
      </c>
      <c r="D322" s="86">
        <v>-0.17301056757243086</v>
      </c>
      <c r="E322" s="94">
        <v>70.3</v>
      </c>
      <c r="F322" s="94">
        <v>68.29</v>
      </c>
      <c r="G322" s="94">
        <v>64.46</v>
      </c>
      <c r="H322" s="59">
        <v>55.02</v>
      </c>
      <c r="I322" s="94">
        <v>47.92</v>
      </c>
      <c r="J322" s="59">
        <v>44.62</v>
      </c>
      <c r="K322" s="94">
        <v>200.18</v>
      </c>
      <c r="L322" s="94">
        <v>190.33</v>
      </c>
      <c r="M322" s="94">
        <v>131.42</v>
      </c>
      <c r="N322" s="59">
        <v>85.43</v>
      </c>
      <c r="O322" s="88">
        <v>-0.029433299165324216</v>
      </c>
      <c r="P322" s="95">
        <v>-0.17157397310069047</v>
      </c>
      <c r="Q322" s="88">
        <v>-0.07395786642761104</v>
      </c>
      <c r="R322" s="88">
        <v>-0.051752219828718506</v>
      </c>
      <c r="S322" s="88">
        <v>-0.5383354793398101</v>
      </c>
      <c r="T322" s="59"/>
      <c r="U322" s="59"/>
      <c r="V322" s="91"/>
      <c r="W322" s="91"/>
      <c r="X322" s="91"/>
      <c r="Y322" s="91"/>
      <c r="Z322" s="91"/>
      <c r="AA322" s="96"/>
      <c r="AB322" s="97"/>
      <c r="AC322" s="91"/>
      <c r="AD322" s="91"/>
      <c r="AE322" s="91"/>
      <c r="AF322" s="91"/>
    </row>
    <row r="323">
      <c r="A323" s="59" t="s">
        <v>822</v>
      </c>
      <c r="B323" s="59" t="s">
        <v>823</v>
      </c>
      <c r="C323" s="70">
        <v>1.1262870709E10</v>
      </c>
      <c r="D323" s="86">
        <v>-0.17383982599068296</v>
      </c>
      <c r="E323" s="94">
        <v>33.85</v>
      </c>
      <c r="F323" s="94">
        <v>29.77</v>
      </c>
      <c r="G323" s="94">
        <v>39.09</v>
      </c>
      <c r="H323" s="59">
        <v>34.84</v>
      </c>
      <c r="I323" s="94">
        <v>39.22</v>
      </c>
      <c r="J323" s="59">
        <v>35.54</v>
      </c>
      <c r="K323" s="94">
        <v>40.98</v>
      </c>
      <c r="L323" s="94">
        <v>39.41</v>
      </c>
      <c r="M323" s="94">
        <v>26.05</v>
      </c>
      <c r="N323" s="59">
        <v>17.76</v>
      </c>
      <c r="O323" s="88">
        <v>-0.13705072220356068</v>
      </c>
      <c r="P323" s="95">
        <v>-0.12198622273249138</v>
      </c>
      <c r="Q323" s="88">
        <v>-0.10354530106921778</v>
      </c>
      <c r="R323" s="88">
        <v>-0.03983760466886578</v>
      </c>
      <c r="S323" s="88">
        <v>-0.4667792792792792</v>
      </c>
      <c r="T323" s="59"/>
      <c r="U323" s="59"/>
      <c r="V323" s="91"/>
      <c r="W323" s="91"/>
      <c r="X323" s="91"/>
      <c r="Y323" s="91"/>
      <c r="Z323" s="91"/>
      <c r="AA323" s="96"/>
      <c r="AB323" s="97"/>
      <c r="AC323" s="91"/>
      <c r="AD323" s="91"/>
      <c r="AE323" s="91"/>
      <c r="AF323" s="91"/>
    </row>
    <row r="324">
      <c r="A324" s="59" t="s">
        <v>824</v>
      </c>
      <c r="B324" s="59" t="s">
        <v>825</v>
      </c>
      <c r="C324" s="70">
        <v>1.1316243896E10</v>
      </c>
      <c r="D324" s="86">
        <v>-0.1743599770487131</v>
      </c>
      <c r="E324" s="94">
        <v>101.0</v>
      </c>
      <c r="F324" s="94">
        <v>89.0</v>
      </c>
      <c r="G324" s="94">
        <v>81.51</v>
      </c>
      <c r="H324" s="59">
        <v>76.09</v>
      </c>
      <c r="I324" s="94">
        <v>96.91</v>
      </c>
      <c r="J324" s="59">
        <v>89.1</v>
      </c>
      <c r="K324" s="94">
        <v>118.65</v>
      </c>
      <c r="L324" s="94">
        <v>112.33</v>
      </c>
      <c r="M324" s="94">
        <v>147.51</v>
      </c>
      <c r="N324" s="59">
        <v>96.93</v>
      </c>
      <c r="O324" s="88">
        <v>-0.1348314606741573</v>
      </c>
      <c r="P324" s="95">
        <v>-0.07123143645682746</v>
      </c>
      <c r="Q324" s="88">
        <v>-0.08765432098765435</v>
      </c>
      <c r="R324" s="88">
        <v>-0.05626279711564148</v>
      </c>
      <c r="S324" s="88">
        <v>-0.5218198700092849</v>
      </c>
      <c r="T324" s="59"/>
      <c r="U324" s="59"/>
      <c r="V324" s="91"/>
      <c r="W324" s="91"/>
      <c r="X324" s="91"/>
      <c r="Y324" s="91"/>
      <c r="Z324" s="91"/>
      <c r="AA324" s="96"/>
      <c r="AB324" s="97"/>
      <c r="AC324" s="91"/>
      <c r="AD324" s="91"/>
      <c r="AE324" s="91"/>
      <c r="AF324" s="91"/>
    </row>
    <row r="325">
      <c r="A325" s="59" t="s">
        <v>826</v>
      </c>
      <c r="B325" s="59" t="s">
        <v>827</v>
      </c>
      <c r="C325" s="70">
        <v>5.3245953848E10</v>
      </c>
      <c r="D325" s="86">
        <v>-0.1746235644651193</v>
      </c>
      <c r="E325" s="94">
        <v>66.61</v>
      </c>
      <c r="F325" s="94">
        <v>65.87</v>
      </c>
      <c r="G325" s="94">
        <v>61.15</v>
      </c>
      <c r="H325" s="59">
        <v>55.22</v>
      </c>
      <c r="I325" s="94">
        <v>69.19</v>
      </c>
      <c r="J325" s="59">
        <v>64.91</v>
      </c>
      <c r="K325" s="94">
        <v>77.98</v>
      </c>
      <c r="L325" s="94">
        <v>74.74</v>
      </c>
      <c r="M325" s="94">
        <v>208.02</v>
      </c>
      <c r="N325" s="59">
        <v>126.44</v>
      </c>
      <c r="O325" s="88">
        <v>-0.01123424927888257</v>
      </c>
      <c r="P325" s="95">
        <v>-0.10738862730894604</v>
      </c>
      <c r="Q325" s="88">
        <v>-0.0659374518564166</v>
      </c>
      <c r="R325" s="88">
        <v>-0.043350280974043476</v>
      </c>
      <c r="S325" s="88">
        <v>-0.6452072129073079</v>
      </c>
      <c r="T325" s="59"/>
      <c r="U325" s="59"/>
      <c r="V325" s="91"/>
      <c r="W325" s="91"/>
      <c r="X325" s="91"/>
      <c r="Y325" s="91"/>
      <c r="Z325" s="91"/>
      <c r="AA325" s="96"/>
      <c r="AB325" s="97"/>
      <c r="AC325" s="91"/>
      <c r="AD325" s="91"/>
      <c r="AE325" s="91"/>
      <c r="AF325" s="91"/>
    </row>
    <row r="326">
      <c r="A326" s="59" t="s">
        <v>828</v>
      </c>
      <c r="B326" s="59" t="s">
        <v>829</v>
      </c>
      <c r="C326" s="70">
        <v>1.3412254167E10</v>
      </c>
      <c r="D326" s="86">
        <v>-0.17474303313860629</v>
      </c>
      <c r="E326" s="94">
        <v>41.7</v>
      </c>
      <c r="F326" s="94">
        <v>39.23</v>
      </c>
      <c r="G326" s="94">
        <v>37.44</v>
      </c>
      <c r="H326" s="59">
        <v>33.6</v>
      </c>
      <c r="I326" s="94">
        <v>37.58</v>
      </c>
      <c r="J326" s="59">
        <v>35.36</v>
      </c>
      <c r="K326" s="94">
        <v>37.08</v>
      </c>
      <c r="L326" s="94">
        <v>36.11</v>
      </c>
      <c r="M326" s="94">
        <v>53.7</v>
      </c>
      <c r="N326" s="59">
        <v>33.42</v>
      </c>
      <c r="O326" s="88">
        <v>-0.06296201886311512</v>
      </c>
      <c r="P326" s="95">
        <v>-0.11428571428571417</v>
      </c>
      <c r="Q326" s="88">
        <v>-0.06278280542986422</v>
      </c>
      <c r="R326" s="88">
        <v>-0.026862364995845996</v>
      </c>
      <c r="S326" s="88">
        <v>-0.6068222621184919</v>
      </c>
      <c r="T326" s="59"/>
      <c r="U326" s="59"/>
      <c r="V326" s="91"/>
      <c r="W326" s="91"/>
      <c r="X326" s="91"/>
      <c r="Y326" s="91"/>
      <c r="Z326" s="91"/>
      <c r="AA326" s="96"/>
      <c r="AB326" s="97"/>
      <c r="AC326" s="91"/>
      <c r="AD326" s="91"/>
      <c r="AE326" s="91"/>
      <c r="AF326" s="91"/>
    </row>
    <row r="327">
      <c r="A327" s="59" t="s">
        <v>830</v>
      </c>
      <c r="B327" s="59" t="s">
        <v>831</v>
      </c>
      <c r="C327" s="70">
        <v>1.386338205E10</v>
      </c>
      <c r="D327" s="86">
        <v>-0.174839815487167</v>
      </c>
      <c r="E327" s="94">
        <v>18.89</v>
      </c>
      <c r="F327" s="94">
        <v>19.13</v>
      </c>
      <c r="G327" s="94">
        <v>18.73</v>
      </c>
      <c r="H327" s="59">
        <v>16.64</v>
      </c>
      <c r="I327" s="94">
        <v>18.65</v>
      </c>
      <c r="J327" s="59">
        <v>17.07</v>
      </c>
      <c r="K327" s="94">
        <v>34.44</v>
      </c>
      <c r="L327" s="94">
        <v>33.89</v>
      </c>
      <c r="M327" s="94">
        <v>87.36</v>
      </c>
      <c r="N327" s="59">
        <v>52.87</v>
      </c>
      <c r="O327" s="88">
        <v>0.012545739675901644</v>
      </c>
      <c r="P327" s="95">
        <v>-0.12560096153846154</v>
      </c>
      <c r="Q327" s="88">
        <v>-0.09256004686584642</v>
      </c>
      <c r="R327" s="88">
        <v>-0.016228976099144206</v>
      </c>
      <c r="S327" s="88">
        <v>-0.6523548326082845</v>
      </c>
      <c r="T327" s="59"/>
      <c r="U327" s="59"/>
      <c r="V327" s="91"/>
      <c r="W327" s="91"/>
      <c r="X327" s="91"/>
      <c r="Y327" s="91"/>
      <c r="Z327" s="91"/>
      <c r="AA327" s="96"/>
      <c r="AB327" s="97"/>
      <c r="AC327" s="91"/>
      <c r="AD327" s="91"/>
      <c r="AE327" s="91"/>
      <c r="AF327" s="91"/>
    </row>
    <row r="328">
      <c r="A328" s="59" t="s">
        <v>832</v>
      </c>
      <c r="B328" s="59" t="s">
        <v>833</v>
      </c>
      <c r="C328" s="70">
        <v>2.3080449412E10</v>
      </c>
      <c r="D328" s="86">
        <v>-0.17502544750944904</v>
      </c>
      <c r="E328" s="94">
        <v>43.66</v>
      </c>
      <c r="F328" s="94">
        <v>41.2</v>
      </c>
      <c r="G328" s="94">
        <v>34.69</v>
      </c>
      <c r="H328" s="59">
        <v>33.03</v>
      </c>
      <c r="I328" s="94">
        <v>35.05</v>
      </c>
      <c r="J328" s="59">
        <v>33.29</v>
      </c>
      <c r="K328" s="94">
        <v>62.14</v>
      </c>
      <c r="L328" s="94">
        <v>59.68</v>
      </c>
      <c r="M328" s="94">
        <v>77.12</v>
      </c>
      <c r="N328" s="59">
        <v>46.15</v>
      </c>
      <c r="O328" s="88">
        <v>-0.059708737864077516</v>
      </c>
      <c r="P328" s="95">
        <v>-0.05025734181047522</v>
      </c>
      <c r="Q328" s="88">
        <v>-0.05286872934815254</v>
      </c>
      <c r="R328" s="88">
        <v>-0.041219839142091166</v>
      </c>
      <c r="S328" s="88">
        <v>-0.6710725893824487</v>
      </c>
      <c r="T328" s="59"/>
      <c r="U328" s="59"/>
      <c r="V328" s="91"/>
      <c r="W328" s="91"/>
      <c r="X328" s="91"/>
      <c r="Y328" s="91"/>
      <c r="Z328" s="91"/>
      <c r="AA328" s="96"/>
      <c r="AB328" s="97"/>
      <c r="AC328" s="91"/>
      <c r="AD328" s="91"/>
      <c r="AE328" s="91"/>
      <c r="AF328" s="91"/>
    </row>
    <row r="329">
      <c r="A329" s="59" t="s">
        <v>834</v>
      </c>
      <c r="B329" s="59" t="s">
        <v>835</v>
      </c>
      <c r="C329" s="70">
        <v>1.40464307051E11</v>
      </c>
      <c r="D329" s="86">
        <v>-0.17526560867997243</v>
      </c>
      <c r="E329" s="94">
        <v>40.68</v>
      </c>
      <c r="F329" s="94">
        <v>39.58</v>
      </c>
      <c r="G329" s="94">
        <v>47.83</v>
      </c>
      <c r="H329" s="59">
        <v>43.55</v>
      </c>
      <c r="I329" s="94">
        <v>46.49</v>
      </c>
      <c r="J329" s="59">
        <v>43.73</v>
      </c>
      <c r="K329" s="94">
        <v>58.32</v>
      </c>
      <c r="L329" s="94">
        <v>56.98</v>
      </c>
      <c r="M329" s="94">
        <v>94.86</v>
      </c>
      <c r="N329" s="59">
        <v>57.02</v>
      </c>
      <c r="O329" s="88">
        <v>-0.027791814047498774</v>
      </c>
      <c r="P329" s="95">
        <v>-0.09827784156142369</v>
      </c>
      <c r="Q329" s="88">
        <v>-0.06311456665904426</v>
      </c>
      <c r="R329" s="88">
        <v>-0.023517023517023578</v>
      </c>
      <c r="S329" s="88">
        <v>-0.6636267976148719</v>
      </c>
      <c r="T329" s="59"/>
      <c r="U329" s="59"/>
      <c r="V329" s="91"/>
      <c r="W329" s="91"/>
      <c r="X329" s="91"/>
      <c r="Y329" s="91"/>
      <c r="Z329" s="91"/>
      <c r="AA329" s="96"/>
      <c r="AB329" s="97"/>
      <c r="AC329" s="91"/>
      <c r="AD329" s="91"/>
      <c r="AE329" s="91"/>
      <c r="AF329" s="91"/>
    </row>
    <row r="330">
      <c r="A330" s="59" t="s">
        <v>836</v>
      </c>
      <c r="B330" s="59" t="s">
        <v>837</v>
      </c>
      <c r="C330" s="70">
        <v>2.3466218248E10</v>
      </c>
      <c r="D330" s="86">
        <v>-0.17605811179012695</v>
      </c>
      <c r="E330" s="94">
        <v>66.36</v>
      </c>
      <c r="F330" s="94">
        <v>67.37</v>
      </c>
      <c r="G330" s="94">
        <v>59.49</v>
      </c>
      <c r="H330" s="59">
        <v>56.75</v>
      </c>
      <c r="I330" s="94">
        <v>55.83</v>
      </c>
      <c r="J330" s="59">
        <v>52.28</v>
      </c>
      <c r="K330" s="94">
        <v>101.23</v>
      </c>
      <c r="L330" s="94">
        <v>96.58</v>
      </c>
      <c r="M330" s="94">
        <v>154.47</v>
      </c>
      <c r="N330" s="59">
        <v>89.24</v>
      </c>
      <c r="O330" s="88">
        <v>0.014991836128840806</v>
      </c>
      <c r="P330" s="95">
        <v>-0.048281938325991224</v>
      </c>
      <c r="Q330" s="88">
        <v>-0.06790359602142305</v>
      </c>
      <c r="R330" s="88">
        <v>-0.04814661420583978</v>
      </c>
      <c r="S330" s="88">
        <v>-0.7309502465262215</v>
      </c>
      <c r="T330" s="59"/>
      <c r="U330" s="59"/>
      <c r="V330" s="91"/>
      <c r="W330" s="91"/>
      <c r="X330" s="91"/>
      <c r="Y330" s="91"/>
      <c r="Z330" s="91"/>
      <c r="AA330" s="96"/>
      <c r="AB330" s="97"/>
      <c r="AC330" s="91"/>
      <c r="AD330" s="91"/>
      <c r="AE330" s="91"/>
      <c r="AF330" s="91"/>
    </row>
    <row r="331">
      <c r="A331" s="59" t="s">
        <v>838</v>
      </c>
      <c r="B331" s="59" t="s">
        <v>839</v>
      </c>
      <c r="C331" s="70">
        <v>2.1620493704E10</v>
      </c>
      <c r="D331" s="86">
        <v>-0.17723717689054444</v>
      </c>
      <c r="E331" s="94" t="e">
        <v>#N/A</v>
      </c>
      <c r="F331" s="94" t="e">
        <v>#N/A</v>
      </c>
      <c r="G331" s="94" t="e">
        <v>#N/A</v>
      </c>
      <c r="H331" s="59" t="e">
        <v>#N/A</v>
      </c>
      <c r="I331" s="94">
        <v>27.01</v>
      </c>
      <c r="J331" s="59">
        <v>25.11</v>
      </c>
      <c r="K331" s="94">
        <v>60.18</v>
      </c>
      <c r="L331" s="94">
        <v>57.46</v>
      </c>
      <c r="M331" s="94">
        <v>116.81</v>
      </c>
      <c r="N331" s="59">
        <v>82.92</v>
      </c>
      <c r="O331" s="88" t="e">
        <v>#N/A</v>
      </c>
      <c r="P331" s="95" t="e">
        <v>#N/A</v>
      </c>
      <c r="Q331" s="88">
        <v>-0.07566706491437683</v>
      </c>
      <c r="R331" s="88">
        <v>-0.047337278106508854</v>
      </c>
      <c r="S331" s="88">
        <v>-0.4087071876507477</v>
      </c>
      <c r="T331" s="59"/>
      <c r="U331" s="59"/>
      <c r="V331" s="91"/>
      <c r="W331" s="91"/>
      <c r="X331" s="91"/>
      <c r="Y331" s="91"/>
      <c r="Z331" s="91"/>
      <c r="AA331" s="96"/>
      <c r="AB331" s="97"/>
      <c r="AC331" s="91"/>
      <c r="AD331" s="91"/>
      <c r="AE331" s="91"/>
      <c r="AF331" s="91"/>
    </row>
    <row r="332">
      <c r="A332" s="59" t="s">
        <v>840</v>
      </c>
      <c r="B332" s="59" t="s">
        <v>841</v>
      </c>
      <c r="C332" s="70">
        <v>3.0311225061E10</v>
      </c>
      <c r="D332" s="86">
        <v>-0.17774477380527157</v>
      </c>
      <c r="E332" s="94">
        <v>20.21</v>
      </c>
      <c r="F332" s="94">
        <v>18.96</v>
      </c>
      <c r="G332" s="94">
        <v>19.57</v>
      </c>
      <c r="H332" s="59">
        <v>17.88</v>
      </c>
      <c r="I332" s="94">
        <v>24.69</v>
      </c>
      <c r="J332" s="59">
        <v>22.49</v>
      </c>
      <c r="K332" s="94">
        <v>53.84</v>
      </c>
      <c r="L332" s="94">
        <v>52.58</v>
      </c>
      <c r="M332" s="94">
        <v>100.47</v>
      </c>
      <c r="N332" s="59">
        <v>62.54</v>
      </c>
      <c r="O332" s="88">
        <v>-0.06592827004219409</v>
      </c>
      <c r="P332" s="95">
        <v>-0.09451901565995534</v>
      </c>
      <c r="Q332" s="88">
        <v>-0.09782125389061819</v>
      </c>
      <c r="R332" s="88">
        <v>-0.023963484214530338</v>
      </c>
      <c r="S332" s="88">
        <v>-0.6064918452190599</v>
      </c>
      <c r="T332" s="59"/>
      <c r="U332" s="59"/>
      <c r="V332" s="91"/>
      <c r="W332" s="91"/>
      <c r="X332" s="91"/>
      <c r="Y332" s="91"/>
      <c r="Z332" s="91"/>
      <c r="AA332" s="96"/>
      <c r="AB332" s="97"/>
      <c r="AC332" s="91"/>
      <c r="AD332" s="91"/>
      <c r="AE332" s="91"/>
      <c r="AF332" s="91"/>
    </row>
    <row r="333">
      <c r="A333" s="59" t="s">
        <v>229</v>
      </c>
      <c r="B333" s="59" t="s">
        <v>842</v>
      </c>
      <c r="C333" s="70">
        <v>1.5079566196E10</v>
      </c>
      <c r="D333" s="86">
        <v>-0.17824013077447742</v>
      </c>
      <c r="E333" s="94">
        <v>13.14</v>
      </c>
      <c r="F333" s="94">
        <v>12.83</v>
      </c>
      <c r="G333" s="94">
        <v>17.4</v>
      </c>
      <c r="H333" s="59">
        <v>16.52</v>
      </c>
      <c r="I333" s="94">
        <v>19.1</v>
      </c>
      <c r="J333" s="59">
        <v>17.21</v>
      </c>
      <c r="K333" s="94">
        <v>56.45</v>
      </c>
      <c r="L333" s="94">
        <v>54.55</v>
      </c>
      <c r="M333" s="94">
        <v>269.93</v>
      </c>
      <c r="N333" s="59">
        <v>161.72</v>
      </c>
      <c r="O333" s="88">
        <v>-0.024162120031176966</v>
      </c>
      <c r="P333" s="95">
        <v>-0.05326876513317185</v>
      </c>
      <c r="Q333" s="88">
        <v>-0.1098198721673446</v>
      </c>
      <c r="R333" s="88">
        <v>-0.034830430797433656</v>
      </c>
      <c r="S333" s="88">
        <v>-0.66911946574326</v>
      </c>
      <c r="T333" s="59"/>
      <c r="U333" s="59"/>
      <c r="V333" s="91"/>
      <c r="W333" s="91"/>
      <c r="X333" s="91"/>
      <c r="Y333" s="91"/>
      <c r="Z333" s="91"/>
      <c r="AA333" s="96"/>
      <c r="AB333" s="97"/>
      <c r="AC333" s="91"/>
      <c r="AD333" s="91"/>
      <c r="AE333" s="91"/>
      <c r="AF333" s="91"/>
    </row>
    <row r="334">
      <c r="A334" s="59" t="s">
        <v>843</v>
      </c>
      <c r="B334" s="59" t="s">
        <v>844</v>
      </c>
      <c r="C334" s="70">
        <v>4.1164168896E10</v>
      </c>
      <c r="D334" s="86">
        <v>-0.17865499133134088</v>
      </c>
      <c r="E334" s="94">
        <v>82.8</v>
      </c>
      <c r="F334" s="94">
        <v>90.5</v>
      </c>
      <c r="G334" s="94">
        <v>92.47</v>
      </c>
      <c r="H334" s="59">
        <v>83.14</v>
      </c>
      <c r="I334" s="94">
        <v>82.36</v>
      </c>
      <c r="J334" s="59">
        <v>77.54</v>
      </c>
      <c r="K334" s="94">
        <v>156.03</v>
      </c>
      <c r="L334" s="94">
        <v>148.37</v>
      </c>
      <c r="M334" s="94">
        <v>158.57</v>
      </c>
      <c r="N334" s="59">
        <v>90.49</v>
      </c>
      <c r="O334" s="88">
        <v>0.08508287292817683</v>
      </c>
      <c r="P334" s="95">
        <v>-0.11222035121481835</v>
      </c>
      <c r="Q334" s="88">
        <v>-0.06216146505029653</v>
      </c>
      <c r="R334" s="88">
        <v>-0.05162768753791195</v>
      </c>
      <c r="S334" s="88">
        <v>-0.7523483257818544</v>
      </c>
      <c r="T334" s="59"/>
      <c r="U334" s="59"/>
      <c r="V334" s="91"/>
      <c r="W334" s="91"/>
      <c r="X334" s="91"/>
      <c r="Y334" s="91"/>
      <c r="Z334" s="91"/>
      <c r="AA334" s="96"/>
      <c r="AB334" s="97"/>
      <c r="AC334" s="91"/>
      <c r="AD334" s="91"/>
      <c r="AE334" s="91"/>
      <c r="AF334" s="91"/>
    </row>
    <row r="335">
      <c r="A335" s="59" t="s">
        <v>231</v>
      </c>
      <c r="B335" s="59" t="s">
        <v>845</v>
      </c>
      <c r="C335" s="70">
        <v>3.2859906188E10</v>
      </c>
      <c r="D335" s="86">
        <v>-0.17869720957402904</v>
      </c>
      <c r="E335" s="94">
        <v>9.91</v>
      </c>
      <c r="F335" s="94">
        <v>9.53</v>
      </c>
      <c r="G335" s="94">
        <v>14.26</v>
      </c>
      <c r="H335" s="59">
        <v>12.88</v>
      </c>
      <c r="I335" s="94">
        <v>18.39</v>
      </c>
      <c r="J335" s="59">
        <v>17.43</v>
      </c>
      <c r="K335" s="94">
        <v>50.0</v>
      </c>
      <c r="L335" s="94">
        <v>48.33</v>
      </c>
      <c r="M335" s="94">
        <v>122.49</v>
      </c>
      <c r="N335" s="59">
        <v>73.93</v>
      </c>
      <c r="O335" s="88">
        <v>-0.039874081846799664</v>
      </c>
      <c r="P335" s="95">
        <v>-0.10714285714285705</v>
      </c>
      <c r="Q335" s="88">
        <v>-0.055077452667814164</v>
      </c>
      <c r="R335" s="88">
        <v>-0.03455410717980554</v>
      </c>
      <c r="S335" s="88">
        <v>-0.6568375490328687</v>
      </c>
      <c r="T335" s="59"/>
      <c r="U335" s="59"/>
      <c r="V335" s="91"/>
      <c r="W335" s="91"/>
      <c r="X335" s="91"/>
      <c r="Y335" s="91"/>
      <c r="Z335" s="91"/>
      <c r="AA335" s="96"/>
      <c r="AB335" s="97"/>
      <c r="AC335" s="91"/>
      <c r="AD335" s="91"/>
      <c r="AE335" s="91"/>
      <c r="AF335" s="91"/>
    </row>
    <row r="336">
      <c r="A336" s="59" t="s">
        <v>846</v>
      </c>
      <c r="B336" s="59" t="s">
        <v>847</v>
      </c>
      <c r="C336" s="70">
        <v>3.948092221E10</v>
      </c>
      <c r="D336" s="86">
        <v>-0.17890348076052648</v>
      </c>
      <c r="E336" s="94">
        <v>30.55</v>
      </c>
      <c r="F336" s="94">
        <v>28.33</v>
      </c>
      <c r="G336" s="94">
        <v>32.85</v>
      </c>
      <c r="H336" s="59">
        <v>27.98</v>
      </c>
      <c r="I336" s="94">
        <v>30.49</v>
      </c>
      <c r="J336" s="59">
        <v>28.03</v>
      </c>
      <c r="K336" s="94">
        <v>58.77</v>
      </c>
      <c r="L336" s="94">
        <v>56.24</v>
      </c>
      <c r="M336" s="94">
        <v>91.98</v>
      </c>
      <c r="N336" s="59">
        <v>60.94</v>
      </c>
      <c r="O336" s="88">
        <v>-0.07836216025414763</v>
      </c>
      <c r="P336" s="95">
        <v>-0.1740528949249464</v>
      </c>
      <c r="Q336" s="88">
        <v>-0.08776311095255074</v>
      </c>
      <c r="R336" s="88">
        <v>-0.044985775248933164</v>
      </c>
      <c r="S336" s="88">
        <v>-0.5093534624220546</v>
      </c>
      <c r="T336" s="59"/>
      <c r="U336" s="59"/>
      <c r="V336" s="91"/>
      <c r="W336" s="91"/>
      <c r="X336" s="91"/>
      <c r="Y336" s="91"/>
      <c r="Z336" s="91"/>
      <c r="AA336" s="96"/>
      <c r="AB336" s="97"/>
      <c r="AC336" s="91"/>
      <c r="AD336" s="91"/>
      <c r="AE336" s="91"/>
      <c r="AF336" s="91"/>
    </row>
    <row r="337">
      <c r="A337" s="59" t="s">
        <v>848</v>
      </c>
      <c r="B337" s="59" t="s">
        <v>849</v>
      </c>
      <c r="C337" s="70">
        <v>1.4679863823E10</v>
      </c>
      <c r="D337" s="86">
        <v>-0.17966343345679806</v>
      </c>
      <c r="E337" s="94">
        <v>8.84</v>
      </c>
      <c r="F337" s="94">
        <v>8.87</v>
      </c>
      <c r="G337" s="94">
        <v>10.62</v>
      </c>
      <c r="H337" s="59">
        <v>9.32</v>
      </c>
      <c r="I337" s="94">
        <v>11.46</v>
      </c>
      <c r="J337" s="59">
        <v>10.4</v>
      </c>
      <c r="K337" s="94">
        <v>29.47</v>
      </c>
      <c r="L337" s="94">
        <v>28.69</v>
      </c>
      <c r="M337" s="94">
        <v>33.25</v>
      </c>
      <c r="N337" s="59">
        <v>20.36</v>
      </c>
      <c r="O337" s="88">
        <v>0.003382187147688767</v>
      </c>
      <c r="P337" s="95">
        <v>-0.1394849785407724</v>
      </c>
      <c r="Q337" s="88">
        <v>-0.10192307692307696</v>
      </c>
      <c r="R337" s="88">
        <v>-0.027187173231090888</v>
      </c>
      <c r="S337" s="88">
        <v>-0.6331041257367388</v>
      </c>
      <c r="T337" s="59"/>
      <c r="U337" s="59"/>
      <c r="V337" s="91"/>
      <c r="W337" s="91"/>
      <c r="X337" s="91"/>
      <c r="Y337" s="91"/>
      <c r="Z337" s="91"/>
      <c r="AA337" s="96"/>
      <c r="AB337" s="97"/>
      <c r="AC337" s="91"/>
      <c r="AD337" s="91"/>
      <c r="AE337" s="91"/>
      <c r="AF337" s="91"/>
    </row>
    <row r="338">
      <c r="A338" s="59" t="s">
        <v>233</v>
      </c>
      <c r="B338" s="59" t="s">
        <v>850</v>
      </c>
      <c r="C338" s="70">
        <v>5.9642068518E10</v>
      </c>
      <c r="D338" s="86">
        <v>-0.18030730939565848</v>
      </c>
      <c r="E338" s="94">
        <v>4.17</v>
      </c>
      <c r="F338" s="94">
        <v>4.34</v>
      </c>
      <c r="G338" s="94">
        <v>9.89</v>
      </c>
      <c r="H338" s="59">
        <v>8.57</v>
      </c>
      <c r="I338" s="94">
        <v>6.31</v>
      </c>
      <c r="J338" s="59">
        <v>5.71</v>
      </c>
      <c r="K338" s="94">
        <v>14.53</v>
      </c>
      <c r="L338" s="94">
        <v>14.44</v>
      </c>
      <c r="M338" s="94">
        <v>57.75</v>
      </c>
      <c r="N338" s="59">
        <v>34.47</v>
      </c>
      <c r="O338" s="88">
        <v>0.03917050691244238</v>
      </c>
      <c r="P338" s="95">
        <v>-0.15402567094515757</v>
      </c>
      <c r="Q338" s="88">
        <v>-0.10507880910683007</v>
      </c>
      <c r="R338" s="88">
        <v>-0.006232686980609409</v>
      </c>
      <c r="S338" s="88">
        <v>-0.6753698868581376</v>
      </c>
      <c r="T338" s="59"/>
      <c r="U338" s="59"/>
      <c r="V338" s="91"/>
      <c r="W338" s="91"/>
      <c r="X338" s="91"/>
      <c r="Y338" s="91"/>
      <c r="Z338" s="91"/>
      <c r="AA338" s="96"/>
      <c r="AB338" s="97"/>
      <c r="AC338" s="91"/>
      <c r="AD338" s="91"/>
      <c r="AE338" s="91"/>
      <c r="AF338" s="91"/>
    </row>
    <row r="339">
      <c r="A339" s="59" t="s">
        <v>851</v>
      </c>
      <c r="B339" s="59" t="s">
        <v>852</v>
      </c>
      <c r="C339" s="70">
        <v>7.167295808E9</v>
      </c>
      <c r="D339" s="86">
        <v>-0.18066796751007078</v>
      </c>
      <c r="E339" s="94">
        <v>56.98</v>
      </c>
      <c r="F339" s="94">
        <v>55.17</v>
      </c>
      <c r="G339" s="94">
        <v>36.57</v>
      </c>
      <c r="H339" s="59">
        <v>34.65</v>
      </c>
      <c r="I339" s="94">
        <v>33.82</v>
      </c>
      <c r="J339" s="59">
        <v>31.33</v>
      </c>
      <c r="K339" s="94">
        <v>74.85</v>
      </c>
      <c r="L339" s="94">
        <v>71.59</v>
      </c>
      <c r="M339" s="94">
        <v>141.8</v>
      </c>
      <c r="N339" s="59">
        <v>83.9</v>
      </c>
      <c r="O339" s="88">
        <v>-0.03280768533623337</v>
      </c>
      <c r="P339" s="95">
        <v>-0.05541125541125546</v>
      </c>
      <c r="Q339" s="88">
        <v>-0.07947654005745299</v>
      </c>
      <c r="R339" s="88">
        <v>-0.04553708618522127</v>
      </c>
      <c r="S339" s="88">
        <v>-0.6901072705601907</v>
      </c>
      <c r="T339" s="59"/>
      <c r="U339" s="59"/>
      <c r="V339" s="91"/>
      <c r="W339" s="91"/>
      <c r="X339" s="91"/>
      <c r="Y339" s="91"/>
      <c r="Z339" s="91"/>
      <c r="AA339" s="96"/>
      <c r="AB339" s="97"/>
      <c r="AC339" s="91"/>
      <c r="AD339" s="91"/>
      <c r="AE339" s="91"/>
      <c r="AF339" s="91"/>
    </row>
    <row r="340">
      <c r="A340" s="59" t="s">
        <v>853</v>
      </c>
      <c r="B340" s="59" t="s">
        <v>854</v>
      </c>
      <c r="C340" s="70">
        <v>3.2678924877E10</v>
      </c>
      <c r="D340" s="86">
        <v>-0.18092724647998465</v>
      </c>
      <c r="E340" s="94">
        <v>37.19</v>
      </c>
      <c r="F340" s="94">
        <v>34.49</v>
      </c>
      <c r="G340" s="94">
        <v>46.0</v>
      </c>
      <c r="H340" s="59">
        <v>39.23</v>
      </c>
      <c r="I340" s="94">
        <v>56.28</v>
      </c>
      <c r="J340" s="59">
        <v>51.46</v>
      </c>
      <c r="K340" s="94">
        <v>46.81</v>
      </c>
      <c r="L340" s="94">
        <v>44.34</v>
      </c>
      <c r="M340" s="94">
        <v>88.7</v>
      </c>
      <c r="N340" s="59">
        <v>58.96</v>
      </c>
      <c r="O340" s="88">
        <v>-0.07828356045230489</v>
      </c>
      <c r="P340" s="95">
        <v>-0.1725720112159063</v>
      </c>
      <c r="Q340" s="88">
        <v>-0.09366498251068792</v>
      </c>
      <c r="R340" s="88">
        <v>-0.05570590888588179</v>
      </c>
      <c r="S340" s="88">
        <v>-0.5044097693351425</v>
      </c>
      <c r="T340" s="59"/>
      <c r="U340" s="59"/>
      <c r="V340" s="91"/>
      <c r="W340" s="91"/>
      <c r="X340" s="91"/>
      <c r="Y340" s="91"/>
      <c r="Z340" s="91"/>
      <c r="AA340" s="96"/>
      <c r="AB340" s="97"/>
      <c r="AC340" s="91"/>
      <c r="AD340" s="91"/>
      <c r="AE340" s="91"/>
      <c r="AF340" s="91"/>
    </row>
    <row r="341">
      <c r="A341" s="59" t="s">
        <v>855</v>
      </c>
      <c r="B341" s="59" t="s">
        <v>856</v>
      </c>
      <c r="C341" s="70">
        <v>5.525696E9</v>
      </c>
      <c r="D341" s="86">
        <v>-0.18116417393288436</v>
      </c>
      <c r="E341" s="94">
        <v>19.64</v>
      </c>
      <c r="F341" s="94">
        <v>19.65</v>
      </c>
      <c r="G341" s="94">
        <v>17.71</v>
      </c>
      <c r="H341" s="59">
        <v>15.69</v>
      </c>
      <c r="I341" s="94">
        <v>13.16</v>
      </c>
      <c r="J341" s="59">
        <v>12.01</v>
      </c>
      <c r="K341" s="94">
        <v>42.03</v>
      </c>
      <c r="L341" s="94">
        <v>39.97</v>
      </c>
      <c r="M341" s="94">
        <v>20.02</v>
      </c>
      <c r="N341" s="59">
        <v>12.28</v>
      </c>
      <c r="O341" s="88">
        <v>5.089058524172016E-4</v>
      </c>
      <c r="P341" s="95">
        <v>-0.1287444231994902</v>
      </c>
      <c r="Q341" s="88">
        <v>-0.09575353871773525</v>
      </c>
      <c r="R341" s="88">
        <v>-0.05153865399049293</v>
      </c>
      <c r="S341" s="88">
        <v>-0.6302931596091206</v>
      </c>
      <c r="T341" s="59"/>
      <c r="U341" s="59"/>
      <c r="V341" s="91"/>
      <c r="W341" s="91"/>
      <c r="X341" s="91"/>
      <c r="Y341" s="91"/>
      <c r="Z341" s="91"/>
      <c r="AA341" s="96"/>
      <c r="AB341" s="97"/>
      <c r="AC341" s="91"/>
      <c r="AD341" s="91"/>
      <c r="AE341" s="91"/>
      <c r="AF341" s="91"/>
    </row>
    <row r="342">
      <c r="A342" s="59" t="s">
        <v>857</v>
      </c>
      <c r="B342" s="59" t="s">
        <v>858</v>
      </c>
      <c r="C342" s="70">
        <v>6.6362165087E10</v>
      </c>
      <c r="D342" s="86">
        <v>-0.1825665991588661</v>
      </c>
      <c r="E342" s="94">
        <v>72.75</v>
      </c>
      <c r="F342" s="94">
        <v>70.42</v>
      </c>
      <c r="G342" s="94">
        <v>68.57</v>
      </c>
      <c r="H342" s="59">
        <v>64.14</v>
      </c>
      <c r="I342" s="94">
        <v>51.18</v>
      </c>
      <c r="J342" s="59">
        <v>46.99</v>
      </c>
      <c r="K342" s="94">
        <v>92.28</v>
      </c>
      <c r="L342" s="94">
        <v>88.83</v>
      </c>
      <c r="M342" s="94">
        <v>151.39</v>
      </c>
      <c r="N342" s="59">
        <v>89.97</v>
      </c>
      <c r="O342" s="88">
        <v>-0.03308719113888098</v>
      </c>
      <c r="P342" s="95">
        <v>-0.06906766448394126</v>
      </c>
      <c r="Q342" s="88">
        <v>-0.08916790806554581</v>
      </c>
      <c r="R342" s="88">
        <v>-0.03883823032759206</v>
      </c>
      <c r="S342" s="88">
        <v>-0.6826720017783704</v>
      </c>
      <c r="T342" s="59"/>
      <c r="U342" s="59"/>
      <c r="V342" s="91"/>
      <c r="W342" s="91"/>
      <c r="X342" s="91"/>
      <c r="Y342" s="91"/>
      <c r="Z342" s="91"/>
      <c r="AA342" s="96"/>
      <c r="AB342" s="97"/>
      <c r="AC342" s="91"/>
      <c r="AD342" s="91"/>
      <c r="AE342" s="91"/>
      <c r="AF342" s="91"/>
    </row>
    <row r="343">
      <c r="A343" s="59" t="s">
        <v>859</v>
      </c>
      <c r="B343" s="59" t="s">
        <v>860</v>
      </c>
      <c r="C343" s="70">
        <v>2.1563164614E10</v>
      </c>
      <c r="D343" s="86">
        <v>-0.18322966452131956</v>
      </c>
      <c r="E343" s="94">
        <v>8.96</v>
      </c>
      <c r="F343" s="94">
        <v>8.05</v>
      </c>
      <c r="G343" s="94">
        <v>12.59</v>
      </c>
      <c r="H343" s="59">
        <v>11.7</v>
      </c>
      <c r="I343" s="94">
        <v>6.97</v>
      </c>
      <c r="J343" s="59">
        <v>6.62</v>
      </c>
      <c r="K343" s="94">
        <v>43.6</v>
      </c>
      <c r="L343" s="94">
        <v>42.15</v>
      </c>
      <c r="M343" s="94">
        <v>58.72</v>
      </c>
      <c r="N343" s="59">
        <v>35.81</v>
      </c>
      <c r="O343" s="88">
        <v>-0.11304347826086958</v>
      </c>
      <c r="P343" s="95">
        <v>-0.07606837606837612</v>
      </c>
      <c r="Q343" s="88">
        <v>-0.052870090634441036</v>
      </c>
      <c r="R343" s="88">
        <v>-0.03440094899169639</v>
      </c>
      <c r="S343" s="88">
        <v>-0.6397654286512147</v>
      </c>
      <c r="T343" s="59"/>
      <c r="U343" s="59"/>
      <c r="V343" s="91"/>
      <c r="W343" s="91"/>
      <c r="X343" s="91"/>
      <c r="Y343" s="91"/>
      <c r="Z343" s="91"/>
      <c r="AA343" s="96"/>
      <c r="AB343" s="97"/>
      <c r="AC343" s="91"/>
      <c r="AD343" s="91"/>
      <c r="AE343" s="91"/>
      <c r="AF343" s="91"/>
    </row>
    <row r="344">
      <c r="A344" s="59" t="s">
        <v>861</v>
      </c>
      <c r="B344" s="59" t="s">
        <v>862</v>
      </c>
      <c r="C344" s="70">
        <v>2.9402942293E10</v>
      </c>
      <c r="D344" s="86">
        <v>-0.18439581641005706</v>
      </c>
      <c r="E344" s="94">
        <v>47.88</v>
      </c>
      <c r="F344" s="94">
        <v>50.04</v>
      </c>
      <c r="G344" s="94">
        <v>44.74</v>
      </c>
      <c r="H344" s="59">
        <v>36.31</v>
      </c>
      <c r="I344" s="94">
        <v>43.04</v>
      </c>
      <c r="J344" s="59">
        <v>38.55</v>
      </c>
      <c r="K344" s="94">
        <v>60.69</v>
      </c>
      <c r="L344" s="94">
        <v>57.46</v>
      </c>
      <c r="M344" s="94">
        <v>53.44</v>
      </c>
      <c r="N344" s="59">
        <v>34.25</v>
      </c>
      <c r="O344" s="88">
        <v>0.04316546762589921</v>
      </c>
      <c r="P344" s="95">
        <v>-0.23216744698430183</v>
      </c>
      <c r="Q344" s="88">
        <v>-0.11647211413748385</v>
      </c>
      <c r="R344" s="88">
        <v>-0.05621301775147924</v>
      </c>
      <c r="S344" s="88">
        <v>-0.5602919708029196</v>
      </c>
      <c r="T344" s="59"/>
      <c r="U344" s="59"/>
      <c r="V344" s="91"/>
      <c r="W344" s="91"/>
      <c r="X344" s="91"/>
      <c r="Y344" s="91"/>
      <c r="Z344" s="91"/>
      <c r="AA344" s="96"/>
      <c r="AB344" s="97"/>
      <c r="AC344" s="91"/>
      <c r="AD344" s="91"/>
      <c r="AE344" s="91"/>
      <c r="AF344" s="91"/>
    </row>
    <row r="345">
      <c r="A345" s="59" t="s">
        <v>863</v>
      </c>
      <c r="B345" s="59" t="s">
        <v>864</v>
      </c>
      <c r="C345" s="70">
        <v>2.1615472156E10</v>
      </c>
      <c r="D345" s="86">
        <v>-0.18448681310874673</v>
      </c>
      <c r="E345" s="94">
        <v>11.06</v>
      </c>
      <c r="F345" s="94">
        <v>13.73</v>
      </c>
      <c r="G345" s="94">
        <v>23.93</v>
      </c>
      <c r="H345" s="59">
        <v>21.24</v>
      </c>
      <c r="I345" s="94">
        <v>56.39</v>
      </c>
      <c r="J345" s="59">
        <v>50.49</v>
      </c>
      <c r="K345" s="94">
        <v>162.57</v>
      </c>
      <c r="L345" s="94">
        <v>158.72</v>
      </c>
      <c r="M345" s="94">
        <v>298.71</v>
      </c>
      <c r="N345" s="59">
        <v>161.54</v>
      </c>
      <c r="O345" s="88">
        <v>0.19446467589220684</v>
      </c>
      <c r="P345" s="95">
        <v>-0.126647834274953</v>
      </c>
      <c r="Q345" s="88">
        <v>-0.11685482273717565</v>
      </c>
      <c r="R345" s="88">
        <v>-0.0242565524193548</v>
      </c>
      <c r="S345" s="88">
        <v>-0.849139532004457</v>
      </c>
      <c r="T345" s="59"/>
      <c r="U345" s="59"/>
      <c r="V345" s="91"/>
      <c r="W345" s="91"/>
      <c r="X345" s="91"/>
      <c r="Y345" s="91"/>
      <c r="Z345" s="91"/>
      <c r="AA345" s="96"/>
      <c r="AB345" s="97"/>
      <c r="AC345" s="91"/>
      <c r="AD345" s="91"/>
      <c r="AE345" s="91"/>
      <c r="AF345" s="91"/>
    </row>
    <row r="346">
      <c r="A346" s="59" t="s">
        <v>865</v>
      </c>
      <c r="B346" s="59" t="s">
        <v>866</v>
      </c>
      <c r="C346" s="70">
        <v>1.8506786749E10</v>
      </c>
      <c r="D346" s="86">
        <v>-0.18471712353721886</v>
      </c>
      <c r="E346" s="94">
        <v>19.18</v>
      </c>
      <c r="F346" s="94">
        <v>19.32</v>
      </c>
      <c r="G346" s="94">
        <v>18.11</v>
      </c>
      <c r="H346" s="59">
        <v>15.82</v>
      </c>
      <c r="I346" s="94">
        <v>16.88</v>
      </c>
      <c r="J346" s="59">
        <v>15.21</v>
      </c>
      <c r="K346" s="94">
        <v>39.74</v>
      </c>
      <c r="L346" s="94">
        <v>38.03</v>
      </c>
      <c r="M346" s="94">
        <v>52.61</v>
      </c>
      <c r="N346" s="59">
        <v>32.25</v>
      </c>
      <c r="O346" s="88">
        <v>0.0072463768115942325</v>
      </c>
      <c r="P346" s="95">
        <v>-0.14475347661188365</v>
      </c>
      <c r="Q346" s="88">
        <v>-0.10979618671926351</v>
      </c>
      <c r="R346" s="88">
        <v>-0.044964501709176985</v>
      </c>
      <c r="S346" s="88">
        <v>-0.6313178294573644</v>
      </c>
      <c r="T346" s="59"/>
      <c r="U346" s="59"/>
      <c r="V346" s="91"/>
      <c r="W346" s="91"/>
      <c r="X346" s="91"/>
      <c r="Y346" s="91"/>
      <c r="Z346" s="91"/>
      <c r="AA346" s="96"/>
      <c r="AB346" s="97"/>
      <c r="AC346" s="91"/>
      <c r="AD346" s="91"/>
      <c r="AE346" s="91"/>
      <c r="AF346" s="91"/>
    </row>
    <row r="347">
      <c r="A347" s="59" t="s">
        <v>867</v>
      </c>
      <c r="B347" s="59" t="s">
        <v>868</v>
      </c>
      <c r="C347" s="70">
        <v>3.7745942664E10</v>
      </c>
      <c r="D347" s="86">
        <v>-0.18536219295755435</v>
      </c>
      <c r="E347" s="94">
        <v>40.72</v>
      </c>
      <c r="F347" s="94">
        <v>41.18</v>
      </c>
      <c r="G347" s="94">
        <v>44.41</v>
      </c>
      <c r="H347" s="59">
        <v>43.17</v>
      </c>
      <c r="I347" s="94">
        <v>41.96</v>
      </c>
      <c r="J347" s="59">
        <v>39.64</v>
      </c>
      <c r="K347" s="94">
        <v>53.08</v>
      </c>
      <c r="L347" s="94">
        <v>50.41</v>
      </c>
      <c r="M347" s="94">
        <v>16.09</v>
      </c>
      <c r="N347" s="59">
        <v>8.95</v>
      </c>
      <c r="O347" s="88">
        <v>0.011170471102476952</v>
      </c>
      <c r="P347" s="95">
        <v>-0.028723650683344797</v>
      </c>
      <c r="Q347" s="88">
        <v>-0.058526740665993955</v>
      </c>
      <c r="R347" s="88">
        <v>-0.05296568141241821</v>
      </c>
      <c r="S347" s="88">
        <v>-0.7977653631284918</v>
      </c>
      <c r="T347" s="59"/>
      <c r="U347" s="59"/>
      <c r="V347" s="91"/>
      <c r="W347" s="91"/>
      <c r="X347" s="91"/>
      <c r="Y347" s="91"/>
      <c r="Z347" s="91"/>
      <c r="AA347" s="96"/>
      <c r="AB347" s="97"/>
      <c r="AC347" s="91"/>
      <c r="AD347" s="91"/>
      <c r="AE347" s="91"/>
      <c r="AF347" s="91"/>
    </row>
    <row r="348">
      <c r="A348" s="59" t="s">
        <v>869</v>
      </c>
      <c r="B348" s="59" t="s">
        <v>870</v>
      </c>
      <c r="C348" s="70">
        <v>1.2842038224E10</v>
      </c>
      <c r="D348" s="86">
        <v>-0.18583983787359326</v>
      </c>
      <c r="E348" s="94">
        <v>31.44</v>
      </c>
      <c r="F348" s="94">
        <v>30.52</v>
      </c>
      <c r="G348" s="94">
        <v>30.22</v>
      </c>
      <c r="H348" s="59">
        <v>28.24</v>
      </c>
      <c r="I348" s="94">
        <v>29.14</v>
      </c>
      <c r="J348" s="59">
        <v>26.19</v>
      </c>
      <c r="K348" s="94">
        <v>36.35</v>
      </c>
      <c r="L348" s="94">
        <v>34.95</v>
      </c>
      <c r="M348" s="94">
        <v>37.33</v>
      </c>
      <c r="N348" s="59">
        <v>22.27</v>
      </c>
      <c r="O348" s="88">
        <v>-0.030144167758846714</v>
      </c>
      <c r="P348" s="95">
        <v>-0.07011331444759208</v>
      </c>
      <c r="Q348" s="88">
        <v>-0.11263841160748374</v>
      </c>
      <c r="R348" s="88">
        <v>-0.04005722460658079</v>
      </c>
      <c r="S348" s="88">
        <v>-0.6762460709474629</v>
      </c>
      <c r="T348" s="59"/>
      <c r="U348" s="59"/>
      <c r="V348" s="91"/>
      <c r="W348" s="91"/>
      <c r="X348" s="91"/>
      <c r="Y348" s="91"/>
      <c r="Z348" s="91"/>
      <c r="AA348" s="96"/>
      <c r="AB348" s="97"/>
      <c r="AC348" s="91"/>
      <c r="AD348" s="91"/>
      <c r="AE348" s="91"/>
      <c r="AF348" s="91"/>
    </row>
    <row r="349">
      <c r="A349" s="59" t="s">
        <v>871</v>
      </c>
      <c r="B349" s="59" t="s">
        <v>872</v>
      </c>
      <c r="C349" s="70">
        <v>2.1480285673E10</v>
      </c>
      <c r="D349" s="86">
        <v>-0.18638680150143172</v>
      </c>
      <c r="E349" s="94">
        <v>24.69</v>
      </c>
      <c r="F349" s="94">
        <v>22.04</v>
      </c>
      <c r="G349" s="94">
        <v>16.07</v>
      </c>
      <c r="H349" s="59">
        <v>14.66</v>
      </c>
      <c r="I349" s="94">
        <v>29.33</v>
      </c>
      <c r="J349" s="59">
        <v>27.65</v>
      </c>
      <c r="K349" s="94">
        <v>59.52</v>
      </c>
      <c r="L349" s="94">
        <v>55.9</v>
      </c>
      <c r="M349" s="94">
        <v>38.16</v>
      </c>
      <c r="N349" s="59">
        <v>24.0</v>
      </c>
      <c r="O349" s="88">
        <v>-0.12023593466424692</v>
      </c>
      <c r="P349" s="95">
        <v>-0.09618008185538882</v>
      </c>
      <c r="Q349" s="88">
        <v>-0.06075949367088607</v>
      </c>
      <c r="R349" s="88">
        <v>-0.06475849731663694</v>
      </c>
      <c r="S349" s="88">
        <v>-0.5899999999999999</v>
      </c>
      <c r="T349" s="59"/>
      <c r="U349" s="59"/>
      <c r="V349" s="91"/>
      <c r="W349" s="91"/>
      <c r="X349" s="91"/>
      <c r="Y349" s="91"/>
      <c r="Z349" s="91"/>
      <c r="AA349" s="96"/>
      <c r="AB349" s="97"/>
      <c r="AC349" s="91"/>
      <c r="AD349" s="91"/>
      <c r="AE349" s="91"/>
      <c r="AF349" s="91"/>
    </row>
    <row r="350">
      <c r="A350" s="59" t="s">
        <v>873</v>
      </c>
      <c r="B350" s="59" t="s">
        <v>874</v>
      </c>
      <c r="C350" s="70">
        <v>1.2915314622E10</v>
      </c>
      <c r="D350" s="86">
        <v>-0.18641409562628944</v>
      </c>
      <c r="E350" s="94">
        <v>24.7</v>
      </c>
      <c r="F350" s="94">
        <v>24.15</v>
      </c>
      <c r="G350" s="94">
        <v>36.87</v>
      </c>
      <c r="H350" s="59">
        <v>32.97</v>
      </c>
      <c r="I350" s="94">
        <v>43.13</v>
      </c>
      <c r="J350" s="59">
        <v>38.5</v>
      </c>
      <c r="K350" s="94">
        <v>62.44</v>
      </c>
      <c r="L350" s="94">
        <v>63.04</v>
      </c>
      <c r="M350" s="94">
        <v>172.58</v>
      </c>
      <c r="N350" s="59">
        <v>102.71</v>
      </c>
      <c r="O350" s="88">
        <v>-0.02277432712215324</v>
      </c>
      <c r="P350" s="95">
        <v>-0.11828935395814373</v>
      </c>
      <c r="Q350" s="88">
        <v>-0.12025974025974033</v>
      </c>
      <c r="R350" s="88">
        <v>0.009517766497461952</v>
      </c>
      <c r="S350" s="88">
        <v>-0.6802648232888718</v>
      </c>
      <c r="T350" s="59"/>
      <c r="U350" s="59"/>
      <c r="V350" s="91"/>
      <c r="W350" s="91"/>
      <c r="X350" s="91"/>
      <c r="Y350" s="91"/>
      <c r="Z350" s="91"/>
      <c r="AA350" s="96"/>
      <c r="AB350" s="97"/>
      <c r="AC350" s="91"/>
      <c r="AD350" s="91"/>
      <c r="AE350" s="91"/>
      <c r="AF350" s="91"/>
    </row>
    <row r="351">
      <c r="A351" s="59" t="s">
        <v>875</v>
      </c>
      <c r="B351" s="59" t="s">
        <v>876</v>
      </c>
      <c r="C351" s="70">
        <v>4.0706391343E10</v>
      </c>
      <c r="D351" s="86">
        <v>-0.1864264993591041</v>
      </c>
      <c r="E351" s="94" t="e">
        <v>#N/A</v>
      </c>
      <c r="F351" s="94" t="e">
        <v>#N/A</v>
      </c>
      <c r="G351" s="94" t="e">
        <v>#N/A</v>
      </c>
      <c r="H351" s="59" t="e">
        <v>#N/A</v>
      </c>
      <c r="I351" s="94" t="e">
        <v>#N/A</v>
      </c>
      <c r="J351" s="59" t="e">
        <v>#N/A</v>
      </c>
      <c r="K351" s="94">
        <v>4.42</v>
      </c>
      <c r="L351" s="94">
        <v>4.86</v>
      </c>
      <c r="M351" s="94">
        <v>40.17</v>
      </c>
      <c r="N351" s="59">
        <v>27.45</v>
      </c>
      <c r="O351" s="88" t="e">
        <v>#N/A</v>
      </c>
      <c r="P351" s="95" t="e">
        <v>#N/A</v>
      </c>
      <c r="Q351" s="88" t="e">
        <v>#N/A</v>
      </c>
      <c r="R351" s="88">
        <v>0.09053497942386839</v>
      </c>
      <c r="S351" s="88">
        <v>-0.4633879781420766</v>
      </c>
      <c r="T351" s="59"/>
      <c r="U351" s="59"/>
      <c r="V351" s="91"/>
      <c r="W351" s="91"/>
      <c r="X351" s="91"/>
      <c r="Y351" s="91"/>
      <c r="Z351" s="91"/>
      <c r="AA351" s="96"/>
      <c r="AB351" s="97"/>
      <c r="AC351" s="91"/>
      <c r="AD351" s="91"/>
      <c r="AE351" s="91"/>
      <c r="AF351" s="91"/>
    </row>
    <row r="352">
      <c r="A352" s="59" t="s">
        <v>877</v>
      </c>
      <c r="B352" s="59" t="s">
        <v>878</v>
      </c>
      <c r="C352" s="70">
        <v>7.70993944E9</v>
      </c>
      <c r="D352" s="86">
        <v>-0.18663833531176793</v>
      </c>
      <c r="E352" s="94">
        <v>30.94</v>
      </c>
      <c r="F352" s="94">
        <v>31.9</v>
      </c>
      <c r="G352" s="94">
        <v>37.85</v>
      </c>
      <c r="H352" s="59">
        <v>35.47</v>
      </c>
      <c r="I352" s="94">
        <v>41.86</v>
      </c>
      <c r="J352" s="59">
        <v>36.89</v>
      </c>
      <c r="K352" s="94">
        <v>140.69</v>
      </c>
      <c r="L352" s="94">
        <v>132.85</v>
      </c>
      <c r="M352" s="94">
        <v>139.09</v>
      </c>
      <c r="N352" s="59">
        <v>81.7</v>
      </c>
      <c r="O352" s="88">
        <v>0.030094043887147252</v>
      </c>
      <c r="P352" s="95">
        <v>-0.06709895686495637</v>
      </c>
      <c r="Q352" s="88">
        <v>-0.13472485768500944</v>
      </c>
      <c r="R352" s="88">
        <v>-0.05901392547986454</v>
      </c>
      <c r="S352" s="88">
        <v>-0.7024479804161566</v>
      </c>
      <c r="T352" s="59"/>
      <c r="U352" s="59"/>
      <c r="V352" s="91"/>
      <c r="W352" s="91"/>
      <c r="X352" s="91"/>
      <c r="Y352" s="91"/>
      <c r="Z352" s="91"/>
      <c r="AA352" s="96"/>
      <c r="AB352" s="97"/>
      <c r="AC352" s="91"/>
      <c r="AD352" s="91"/>
      <c r="AE352" s="91"/>
      <c r="AF352" s="91"/>
    </row>
    <row r="353">
      <c r="A353" s="59" t="s">
        <v>879</v>
      </c>
      <c r="B353" s="59" t="s">
        <v>880</v>
      </c>
      <c r="C353" s="70">
        <v>1.001998998E11</v>
      </c>
      <c r="D353" s="86">
        <v>-0.18695116713348264</v>
      </c>
      <c r="E353" s="94">
        <v>47.26</v>
      </c>
      <c r="F353" s="94">
        <v>44.24</v>
      </c>
      <c r="G353" s="94">
        <v>28.88</v>
      </c>
      <c r="H353" s="59">
        <v>25.47</v>
      </c>
      <c r="I353" s="94">
        <v>28.76</v>
      </c>
      <c r="J353" s="59">
        <v>25.29</v>
      </c>
      <c r="K353" s="94">
        <v>40.66</v>
      </c>
      <c r="L353" s="94">
        <v>38.08</v>
      </c>
      <c r="M353" s="94">
        <v>98.35</v>
      </c>
      <c r="N353" s="59">
        <v>64.38</v>
      </c>
      <c r="O353" s="88">
        <v>-0.06826401446654602</v>
      </c>
      <c r="P353" s="95">
        <v>-0.13388299960738123</v>
      </c>
      <c r="Q353" s="88">
        <v>-0.1372083827599843</v>
      </c>
      <c r="R353" s="88">
        <v>-0.06775210084033609</v>
      </c>
      <c r="S353" s="88">
        <v>-0.5276483379931656</v>
      </c>
      <c r="T353" s="59"/>
      <c r="U353" s="59"/>
      <c r="V353" s="91"/>
      <c r="W353" s="91"/>
      <c r="X353" s="91"/>
      <c r="Y353" s="91"/>
      <c r="Z353" s="91"/>
      <c r="AA353" s="96"/>
      <c r="AB353" s="97"/>
      <c r="AC353" s="91"/>
      <c r="AD353" s="91"/>
      <c r="AE353" s="91"/>
      <c r="AF353" s="91"/>
    </row>
    <row r="354">
      <c r="A354" s="59" t="s">
        <v>881</v>
      </c>
      <c r="B354" s="59" t="s">
        <v>882</v>
      </c>
      <c r="C354" s="70">
        <v>8.454912E10</v>
      </c>
      <c r="D354" s="86">
        <v>-0.1874608376862405</v>
      </c>
      <c r="E354" s="94" t="e">
        <v>#N/A</v>
      </c>
      <c r="F354" s="94" t="e">
        <v>#N/A</v>
      </c>
      <c r="G354" s="94" t="e">
        <v>#N/A</v>
      </c>
      <c r="H354" s="59" t="e">
        <v>#N/A</v>
      </c>
      <c r="I354" s="94" t="e">
        <v>#N/A</v>
      </c>
      <c r="J354" s="59" t="e">
        <v>#N/A</v>
      </c>
      <c r="K354" s="94">
        <v>69.91</v>
      </c>
      <c r="L354" s="94">
        <v>68.0</v>
      </c>
      <c r="M354" s="94">
        <v>357.49</v>
      </c>
      <c r="N354" s="59">
        <v>265.43</v>
      </c>
      <c r="O354" s="88" t="e">
        <v>#N/A</v>
      </c>
      <c r="P354" s="95" t="e">
        <v>#N/A</v>
      </c>
      <c r="Q354" s="88" t="e">
        <v>#N/A</v>
      </c>
      <c r="R354" s="88">
        <v>-0.028088235294117598</v>
      </c>
      <c r="S354" s="88">
        <v>-0.3468334400783634</v>
      </c>
      <c r="T354" s="59"/>
      <c r="U354" s="59"/>
      <c r="V354" s="91"/>
      <c r="W354" s="91"/>
      <c r="X354" s="91"/>
      <c r="Y354" s="91"/>
      <c r="Z354" s="91"/>
      <c r="AA354" s="96"/>
      <c r="AB354" s="97"/>
      <c r="AC354" s="91"/>
      <c r="AD354" s="91"/>
      <c r="AE354" s="91"/>
      <c r="AF354" s="91"/>
    </row>
    <row r="355">
      <c r="A355" s="59" t="s">
        <v>883</v>
      </c>
      <c r="B355" s="59" t="s">
        <v>884</v>
      </c>
      <c r="C355" s="70">
        <v>1.3507557339E10</v>
      </c>
      <c r="D355" s="86">
        <v>-0.18748292177626627</v>
      </c>
      <c r="E355" s="94" t="e">
        <v>#N/A</v>
      </c>
      <c r="F355" s="94" t="e">
        <v>#N/A</v>
      </c>
      <c r="G355" s="94" t="e">
        <v>#N/A</v>
      </c>
      <c r="H355" s="59" t="e">
        <v>#N/A</v>
      </c>
      <c r="I355" s="94">
        <v>22.78</v>
      </c>
      <c r="J355" s="59">
        <v>21.67</v>
      </c>
      <c r="K355" s="94">
        <v>61.42</v>
      </c>
      <c r="L355" s="94">
        <v>60.37</v>
      </c>
      <c r="M355" s="94">
        <v>123.54</v>
      </c>
      <c r="N355" s="59">
        <v>82.7</v>
      </c>
      <c r="O355" s="88" t="e">
        <v>#N/A</v>
      </c>
      <c r="P355" s="95" t="e">
        <v>#N/A</v>
      </c>
      <c r="Q355" s="88">
        <v>-0.051222888786340535</v>
      </c>
      <c r="R355" s="88">
        <v>-0.017392744740765353</v>
      </c>
      <c r="S355" s="88">
        <v>-0.4938331318016929</v>
      </c>
      <c r="T355" s="59"/>
      <c r="U355" s="59"/>
      <c r="V355" s="91"/>
      <c r="W355" s="91"/>
      <c r="X355" s="91"/>
      <c r="Y355" s="91"/>
      <c r="Z355" s="91"/>
      <c r="AA355" s="96"/>
      <c r="AB355" s="97"/>
      <c r="AC355" s="91"/>
      <c r="AD355" s="91"/>
      <c r="AE355" s="91"/>
      <c r="AF355" s="91"/>
    </row>
    <row r="356">
      <c r="A356" s="59" t="s">
        <v>885</v>
      </c>
      <c r="B356" s="59" t="s">
        <v>886</v>
      </c>
      <c r="C356" s="70">
        <v>2.2994734596E10</v>
      </c>
      <c r="D356" s="86">
        <v>-0.18771182539560766</v>
      </c>
      <c r="E356" s="94">
        <v>12.7</v>
      </c>
      <c r="F356" s="94">
        <v>13.5</v>
      </c>
      <c r="G356" s="94">
        <v>17.68</v>
      </c>
      <c r="H356" s="59">
        <v>15.2</v>
      </c>
      <c r="I356" s="94">
        <v>18.27</v>
      </c>
      <c r="J356" s="59">
        <v>16.51</v>
      </c>
      <c r="K356" s="94">
        <v>34.92</v>
      </c>
      <c r="L356" s="94">
        <v>32.47</v>
      </c>
      <c r="M356" s="94">
        <v>63.46</v>
      </c>
      <c r="N356" s="59">
        <v>38.4</v>
      </c>
      <c r="O356" s="88">
        <v>0.05925925925925931</v>
      </c>
      <c r="P356" s="95">
        <v>-0.16315789473684214</v>
      </c>
      <c r="Q356" s="88">
        <v>-0.10660205935796474</v>
      </c>
      <c r="R356" s="88">
        <v>-0.07545426547582393</v>
      </c>
      <c r="S356" s="88">
        <v>-0.6526041666666668</v>
      </c>
      <c r="T356" s="59"/>
      <c r="U356" s="59"/>
      <c r="V356" s="91"/>
      <c r="W356" s="91"/>
      <c r="X356" s="91"/>
      <c r="Y356" s="91"/>
      <c r="Z356" s="91"/>
      <c r="AA356" s="96"/>
      <c r="AB356" s="97"/>
      <c r="AC356" s="91"/>
      <c r="AD356" s="91"/>
      <c r="AE356" s="91"/>
      <c r="AF356" s="91"/>
    </row>
    <row r="357">
      <c r="A357" s="59" t="s">
        <v>887</v>
      </c>
      <c r="B357" s="59" t="s">
        <v>888</v>
      </c>
      <c r="C357" s="70">
        <v>7.1494122105E10</v>
      </c>
      <c r="D357" s="86">
        <v>-0.18812547065628676</v>
      </c>
      <c r="E357" s="94" t="e">
        <v>#N/A</v>
      </c>
      <c r="F357" s="94" t="e">
        <v>#N/A</v>
      </c>
      <c r="G357" s="94" t="e">
        <v>#N/A</v>
      </c>
      <c r="H357" s="59" t="e">
        <v>#N/A</v>
      </c>
      <c r="I357" s="94" t="e">
        <v>#N/A</v>
      </c>
      <c r="J357" s="59" t="e">
        <v>#N/A</v>
      </c>
      <c r="K357" s="94">
        <v>45.02</v>
      </c>
      <c r="L357" s="94">
        <v>43.53</v>
      </c>
      <c r="M357" s="94">
        <v>143.65</v>
      </c>
      <c r="N357" s="59">
        <v>107.04</v>
      </c>
      <c r="O357" s="88" t="e">
        <v>#N/A</v>
      </c>
      <c r="P357" s="95" t="e">
        <v>#N/A</v>
      </c>
      <c r="Q357" s="88" t="e">
        <v>#N/A</v>
      </c>
      <c r="R357" s="88">
        <v>-0.034229267172065286</v>
      </c>
      <c r="S357" s="88">
        <v>-0.3420216741405082</v>
      </c>
      <c r="T357" s="59"/>
      <c r="U357" s="59"/>
      <c r="V357" s="91"/>
      <c r="W357" s="91"/>
      <c r="X357" s="91"/>
      <c r="Y357" s="91"/>
      <c r="Z357" s="91"/>
      <c r="AA357" s="96"/>
      <c r="AB357" s="97"/>
      <c r="AC357" s="91"/>
      <c r="AD357" s="91"/>
      <c r="AE357" s="91"/>
      <c r="AF357" s="91"/>
    </row>
    <row r="358">
      <c r="A358" s="59" t="s">
        <v>889</v>
      </c>
      <c r="B358" s="59" t="s">
        <v>890</v>
      </c>
      <c r="C358" s="70">
        <v>1.7125044227E10</v>
      </c>
      <c r="D358" s="86">
        <v>-0.18814033705607852</v>
      </c>
      <c r="E358" s="94">
        <v>26.63</v>
      </c>
      <c r="F358" s="94">
        <v>25.48</v>
      </c>
      <c r="G358" s="94">
        <v>24.39</v>
      </c>
      <c r="H358" s="59">
        <v>22.05</v>
      </c>
      <c r="I358" s="94">
        <v>28.7</v>
      </c>
      <c r="J358" s="59">
        <v>25.92</v>
      </c>
      <c r="K358" s="94">
        <v>93.98</v>
      </c>
      <c r="L358" s="94">
        <v>92.31</v>
      </c>
      <c r="M358" s="94">
        <v>80.01</v>
      </c>
      <c r="N358" s="59">
        <v>48.08</v>
      </c>
      <c r="O358" s="88">
        <v>-0.04513343799058079</v>
      </c>
      <c r="P358" s="95">
        <v>-0.10612244897959183</v>
      </c>
      <c r="Q358" s="88">
        <v>-0.10725308641975298</v>
      </c>
      <c r="R358" s="88">
        <v>-0.018091214386307026</v>
      </c>
      <c r="S358" s="88">
        <v>-0.6641014975041599</v>
      </c>
      <c r="T358" s="59"/>
      <c r="U358" s="59"/>
      <c r="V358" s="91"/>
      <c r="W358" s="91"/>
      <c r="X358" s="91"/>
      <c r="Y358" s="91"/>
      <c r="Z358" s="91"/>
      <c r="AA358" s="96"/>
      <c r="AB358" s="97"/>
      <c r="AC358" s="91"/>
      <c r="AD358" s="91"/>
      <c r="AE358" s="91"/>
      <c r="AF358" s="91"/>
    </row>
    <row r="359">
      <c r="A359" s="59" t="s">
        <v>891</v>
      </c>
      <c r="B359" s="59" t="s">
        <v>892</v>
      </c>
      <c r="C359" s="70">
        <v>2.5705517175E10</v>
      </c>
      <c r="D359" s="86">
        <v>-0.1892003360089352</v>
      </c>
      <c r="E359" s="94">
        <v>26.57</v>
      </c>
      <c r="F359" s="94">
        <v>23.68</v>
      </c>
      <c r="G359" s="94">
        <v>24.33</v>
      </c>
      <c r="H359" s="59">
        <v>22.59</v>
      </c>
      <c r="I359" s="94">
        <v>35.73</v>
      </c>
      <c r="J359" s="59">
        <v>33.66</v>
      </c>
      <c r="K359" s="94">
        <v>86.57</v>
      </c>
      <c r="L359" s="94">
        <v>83.28</v>
      </c>
      <c r="M359" s="94">
        <v>152.66</v>
      </c>
      <c r="N359" s="59">
        <v>92.75</v>
      </c>
      <c r="O359" s="88">
        <v>-0.12204391891891894</v>
      </c>
      <c r="P359" s="95">
        <v>-0.07702523240371839</v>
      </c>
      <c r="Q359" s="88">
        <v>-0.06149732620320857</v>
      </c>
      <c r="R359" s="88">
        <v>-0.03950528338136398</v>
      </c>
      <c r="S359" s="88">
        <v>-0.6459299191374662</v>
      </c>
      <c r="T359" s="59"/>
      <c r="U359" s="59"/>
      <c r="V359" s="91"/>
      <c r="W359" s="91"/>
      <c r="X359" s="91"/>
      <c r="Y359" s="91"/>
      <c r="Z359" s="91"/>
      <c r="AA359" s="96"/>
      <c r="AB359" s="97"/>
      <c r="AC359" s="91"/>
      <c r="AD359" s="91"/>
      <c r="AE359" s="91"/>
      <c r="AF359" s="91"/>
    </row>
    <row r="360">
      <c r="A360" s="59" t="s">
        <v>235</v>
      </c>
      <c r="B360" s="59" t="s">
        <v>893</v>
      </c>
      <c r="C360" s="70">
        <v>3.2377091485E10</v>
      </c>
      <c r="D360" s="86">
        <v>-0.19111173321317682</v>
      </c>
      <c r="E360" s="94">
        <v>14.04</v>
      </c>
      <c r="F360" s="94">
        <v>12.45</v>
      </c>
      <c r="G360" s="94">
        <v>26.01</v>
      </c>
      <c r="H360" s="59">
        <v>23.76</v>
      </c>
      <c r="I360" s="94">
        <v>33.97</v>
      </c>
      <c r="J360" s="59">
        <v>30.79</v>
      </c>
      <c r="K360" s="94">
        <v>62.85</v>
      </c>
      <c r="L360" s="94">
        <v>59.83</v>
      </c>
      <c r="M360" s="94">
        <v>68.83</v>
      </c>
      <c r="N360" s="59">
        <v>43.58</v>
      </c>
      <c r="O360" s="88">
        <v>-0.12771084337349398</v>
      </c>
      <c r="P360" s="95">
        <v>-0.0946969696969697</v>
      </c>
      <c r="Q360" s="88">
        <v>-0.10328028580708021</v>
      </c>
      <c r="R360" s="88">
        <v>-0.05047634965736258</v>
      </c>
      <c r="S360" s="88">
        <v>-0.5793942175309775</v>
      </c>
      <c r="T360" s="59"/>
      <c r="U360" s="59"/>
      <c r="V360" s="91"/>
      <c r="W360" s="91"/>
      <c r="X360" s="91"/>
      <c r="Y360" s="91"/>
      <c r="Z360" s="91"/>
      <c r="AA360" s="96"/>
      <c r="AB360" s="97"/>
      <c r="AC360" s="91"/>
      <c r="AD360" s="91"/>
      <c r="AE360" s="91"/>
      <c r="AF360" s="91"/>
    </row>
    <row r="361">
      <c r="A361" s="59" t="s">
        <v>894</v>
      </c>
      <c r="B361" s="59" t="s">
        <v>895</v>
      </c>
      <c r="C361" s="70">
        <v>4.66400177773E11</v>
      </c>
      <c r="D361" s="86">
        <v>-0.1912373897158905</v>
      </c>
      <c r="E361" s="94">
        <v>76.14</v>
      </c>
      <c r="F361" s="94">
        <v>73.25</v>
      </c>
      <c r="G361" s="94">
        <v>67.84</v>
      </c>
      <c r="H361" s="59">
        <v>63.7</v>
      </c>
      <c r="I361" s="94">
        <v>74.82</v>
      </c>
      <c r="J361" s="59">
        <v>70.19</v>
      </c>
      <c r="K361" s="94">
        <v>72.13</v>
      </c>
      <c r="L361" s="94">
        <v>68.72</v>
      </c>
      <c r="M361" s="94">
        <v>59.88</v>
      </c>
      <c r="N361" s="59">
        <v>34.49</v>
      </c>
      <c r="O361" s="88">
        <v>-0.039453924914675774</v>
      </c>
      <c r="P361" s="95">
        <v>-0.06499215070643642</v>
      </c>
      <c r="Q361" s="88">
        <v>-0.06596381250890435</v>
      </c>
      <c r="R361" s="88">
        <v>-0.04962165308498249</v>
      </c>
      <c r="S361" s="88">
        <v>-0.7361554073644534</v>
      </c>
      <c r="T361" s="59"/>
      <c r="U361" s="59"/>
      <c r="V361" s="91"/>
      <c r="W361" s="91"/>
      <c r="X361" s="91"/>
      <c r="Y361" s="91"/>
      <c r="Z361" s="91"/>
      <c r="AA361" s="96"/>
      <c r="AB361" s="97"/>
      <c r="AC361" s="91"/>
      <c r="AD361" s="91"/>
      <c r="AE361" s="91"/>
      <c r="AF361" s="91"/>
    </row>
    <row r="362">
      <c r="A362" s="59" t="s">
        <v>237</v>
      </c>
      <c r="B362" s="59" t="s">
        <v>896</v>
      </c>
      <c r="C362" s="70">
        <v>5.1950935875E10</v>
      </c>
      <c r="D362" s="86">
        <v>-0.1918880789613846</v>
      </c>
      <c r="E362" s="94">
        <v>26.48</v>
      </c>
      <c r="F362" s="94">
        <v>25.46</v>
      </c>
      <c r="G362" s="94">
        <v>35.52</v>
      </c>
      <c r="H362" s="59">
        <v>31.43</v>
      </c>
      <c r="I362" s="94">
        <v>27.81</v>
      </c>
      <c r="J362" s="59">
        <v>25.93</v>
      </c>
      <c r="K362" s="94">
        <v>69.33</v>
      </c>
      <c r="L362" s="94">
        <v>66.69</v>
      </c>
      <c r="M362" s="94">
        <v>144.94</v>
      </c>
      <c r="N362" s="59">
        <v>86.42</v>
      </c>
      <c r="O362" s="88">
        <v>-0.04006284367635505</v>
      </c>
      <c r="P362" s="95">
        <v>-0.13013044861597212</v>
      </c>
      <c r="Q362" s="88">
        <v>-0.07250289240262241</v>
      </c>
      <c r="R362" s="88">
        <v>-0.03958614484930276</v>
      </c>
      <c r="S362" s="88">
        <v>-0.6771580652626706</v>
      </c>
      <c r="T362" s="59"/>
      <c r="U362" s="59"/>
      <c r="V362" s="91"/>
      <c r="W362" s="91"/>
      <c r="X362" s="91"/>
      <c r="Y362" s="91"/>
      <c r="Z362" s="91"/>
      <c r="AA362" s="96"/>
      <c r="AB362" s="97"/>
      <c r="AC362" s="91"/>
      <c r="AD362" s="91"/>
      <c r="AE362" s="91"/>
      <c r="AF362" s="91"/>
    </row>
    <row r="363">
      <c r="A363" s="59" t="s">
        <v>897</v>
      </c>
      <c r="B363" s="59" t="s">
        <v>898</v>
      </c>
      <c r="C363" s="70">
        <v>1.09902984928E11</v>
      </c>
      <c r="D363" s="86">
        <v>-0.19252523093570656</v>
      </c>
      <c r="E363" s="94">
        <v>38.75</v>
      </c>
      <c r="F363" s="94">
        <v>35.48</v>
      </c>
      <c r="G363" s="94">
        <v>47.2</v>
      </c>
      <c r="H363" s="59">
        <v>40.6</v>
      </c>
      <c r="I363" s="94">
        <v>47.21</v>
      </c>
      <c r="J363" s="59">
        <v>43.04</v>
      </c>
      <c r="K363" s="94">
        <v>77.03</v>
      </c>
      <c r="L363" s="94">
        <v>74.65</v>
      </c>
      <c r="M363" s="94">
        <v>135.6</v>
      </c>
      <c r="N363" s="59">
        <v>85.87</v>
      </c>
      <c r="O363" s="88">
        <v>-0.09216459977452095</v>
      </c>
      <c r="P363" s="95">
        <v>-0.16256157635467983</v>
      </c>
      <c r="Q363" s="88">
        <v>-0.09688661710037179</v>
      </c>
      <c r="R363" s="88">
        <v>-0.03188211654387134</v>
      </c>
      <c r="S363" s="88">
        <v>-0.5791312449050889</v>
      </c>
      <c r="T363" s="59"/>
      <c r="U363" s="59"/>
      <c r="V363" s="91"/>
      <c r="W363" s="91"/>
      <c r="X363" s="91"/>
      <c r="Y363" s="91"/>
      <c r="Z363" s="91"/>
      <c r="AA363" s="96"/>
      <c r="AB363" s="97"/>
      <c r="AC363" s="91"/>
      <c r="AD363" s="91"/>
      <c r="AE363" s="91"/>
      <c r="AF363" s="91"/>
    </row>
    <row r="364">
      <c r="A364" s="59" t="s">
        <v>899</v>
      </c>
      <c r="B364" s="59" t="s">
        <v>900</v>
      </c>
      <c r="C364" s="70">
        <v>4.191853656E9</v>
      </c>
      <c r="D364" s="86">
        <v>-0.19259774934975063</v>
      </c>
      <c r="E364" s="94">
        <v>73.73</v>
      </c>
      <c r="F364" s="94">
        <v>70.69</v>
      </c>
      <c r="G364" s="94">
        <v>92.37</v>
      </c>
      <c r="H364" s="59">
        <v>82.74</v>
      </c>
      <c r="I364" s="94">
        <v>124.52</v>
      </c>
      <c r="J364" s="59">
        <v>114.16</v>
      </c>
      <c r="K364" s="94">
        <v>110.64</v>
      </c>
      <c r="L364" s="94">
        <v>107.59</v>
      </c>
      <c r="M364" s="94">
        <v>120.61</v>
      </c>
      <c r="N364" s="59">
        <v>71.6</v>
      </c>
      <c r="O364" s="88">
        <v>-0.04300466826991097</v>
      </c>
      <c r="P364" s="95">
        <v>-0.11638868745467743</v>
      </c>
      <c r="Q364" s="88">
        <v>-0.09074982480728802</v>
      </c>
      <c r="R364" s="88">
        <v>-0.02834835951296586</v>
      </c>
      <c r="S364" s="88">
        <v>-0.6844972067039108</v>
      </c>
      <c r="T364" s="59"/>
      <c r="U364" s="59"/>
      <c r="V364" s="91"/>
      <c r="W364" s="91"/>
      <c r="X364" s="91"/>
      <c r="Y364" s="91"/>
      <c r="Z364" s="91"/>
      <c r="AA364" s="96"/>
      <c r="AB364" s="97"/>
      <c r="AC364" s="91"/>
      <c r="AD364" s="91"/>
      <c r="AE364" s="91"/>
      <c r="AF364" s="91"/>
    </row>
    <row r="365">
      <c r="A365" s="59" t="s">
        <v>901</v>
      </c>
      <c r="B365" s="59" t="s">
        <v>902</v>
      </c>
      <c r="C365" s="70">
        <v>1.20136594743E11</v>
      </c>
      <c r="D365" s="86">
        <v>-0.19297323834322422</v>
      </c>
      <c r="E365" s="94">
        <v>25.77</v>
      </c>
      <c r="F365" s="94">
        <v>24.52</v>
      </c>
      <c r="G365" s="94">
        <v>27.74</v>
      </c>
      <c r="H365" s="59">
        <v>25.31</v>
      </c>
      <c r="I365" s="94">
        <v>20.15</v>
      </c>
      <c r="J365" s="59">
        <v>18.67</v>
      </c>
      <c r="K365" s="94">
        <v>71.11</v>
      </c>
      <c r="L365" s="94">
        <v>68.31</v>
      </c>
      <c r="M365" s="94">
        <v>123.23</v>
      </c>
      <c r="N365" s="59">
        <v>72.59</v>
      </c>
      <c r="O365" s="88">
        <v>-0.050978792822185974</v>
      </c>
      <c r="P365" s="95">
        <v>-0.09600948241801659</v>
      </c>
      <c r="Q365" s="88">
        <v>-0.07927155865024085</v>
      </c>
      <c r="R365" s="88">
        <v>-0.040989606206997466</v>
      </c>
      <c r="S365" s="88">
        <v>-0.6976167516186802</v>
      </c>
      <c r="T365" s="59"/>
      <c r="U365" s="59"/>
      <c r="V365" s="91"/>
      <c r="W365" s="91"/>
      <c r="X365" s="91"/>
      <c r="Y365" s="91"/>
      <c r="Z365" s="91"/>
      <c r="AA365" s="96"/>
      <c r="AB365" s="97"/>
      <c r="AC365" s="91"/>
      <c r="AD365" s="91"/>
      <c r="AE365" s="91"/>
      <c r="AF365" s="91"/>
    </row>
    <row r="366">
      <c r="A366" s="59" t="s">
        <v>903</v>
      </c>
      <c r="B366" s="59" t="s">
        <v>904</v>
      </c>
      <c r="C366" s="70">
        <v>1.0260178826E10</v>
      </c>
      <c r="D366" s="86">
        <v>-0.19421760519186657</v>
      </c>
      <c r="E366" s="94" t="e">
        <v>#N/A</v>
      </c>
      <c r="F366" s="94" t="e">
        <v>#N/A</v>
      </c>
      <c r="G366" s="94" t="e">
        <v>#N/A</v>
      </c>
      <c r="H366" s="59" t="e">
        <v>#N/A</v>
      </c>
      <c r="I366" s="94">
        <v>31.13</v>
      </c>
      <c r="J366" s="59">
        <v>29.89</v>
      </c>
      <c r="K366" s="94">
        <v>110.07</v>
      </c>
      <c r="L366" s="94">
        <v>107.36</v>
      </c>
      <c r="M366" s="94">
        <v>237.5</v>
      </c>
      <c r="N366" s="59">
        <v>156.67</v>
      </c>
      <c r="O366" s="88" t="e">
        <v>#N/A</v>
      </c>
      <c r="P366" s="95" t="e">
        <v>#N/A</v>
      </c>
      <c r="Q366" s="88">
        <v>-0.04148544663767141</v>
      </c>
      <c r="R366" s="88">
        <v>-0.025242175856929897</v>
      </c>
      <c r="S366" s="88">
        <v>-0.5159251930809984</v>
      </c>
      <c r="T366" s="59"/>
      <c r="U366" s="59"/>
      <c r="V366" s="91"/>
      <c r="W366" s="91"/>
      <c r="X366" s="91"/>
      <c r="Y366" s="91"/>
      <c r="Z366" s="91"/>
      <c r="AA366" s="96"/>
      <c r="AB366" s="97"/>
      <c r="AC366" s="91"/>
      <c r="AD366" s="91"/>
      <c r="AE366" s="91"/>
      <c r="AF366" s="91"/>
    </row>
    <row r="367">
      <c r="A367" s="59" t="s">
        <v>905</v>
      </c>
      <c r="B367" s="59" t="s">
        <v>906</v>
      </c>
      <c r="C367" s="70">
        <v>1.0353528662E10</v>
      </c>
      <c r="D367" s="86">
        <v>-0.1949105326763557</v>
      </c>
      <c r="E367" s="94">
        <v>34.18</v>
      </c>
      <c r="F367" s="94">
        <v>29.72</v>
      </c>
      <c r="G367" s="94">
        <v>25.17</v>
      </c>
      <c r="H367" s="59">
        <v>22.64</v>
      </c>
      <c r="I367" s="94">
        <v>22.16</v>
      </c>
      <c r="J367" s="59">
        <v>20.35</v>
      </c>
      <c r="K367" s="94">
        <v>19.58</v>
      </c>
      <c r="L367" s="94">
        <v>19.22</v>
      </c>
      <c r="M367" s="94">
        <v>39.95</v>
      </c>
      <c r="N367" s="59">
        <v>24.89</v>
      </c>
      <c r="O367" s="88">
        <v>-0.15006729475100947</v>
      </c>
      <c r="P367" s="95">
        <v>-0.1117491166077739</v>
      </c>
      <c r="Q367" s="88">
        <v>-0.08894348894348887</v>
      </c>
      <c r="R367" s="88">
        <v>-0.018730489073881345</v>
      </c>
      <c r="S367" s="88">
        <v>-0.6050622740056248</v>
      </c>
      <c r="T367" s="59"/>
      <c r="U367" s="59"/>
      <c r="V367" s="91"/>
      <c r="W367" s="91"/>
      <c r="X367" s="91"/>
      <c r="Y367" s="91"/>
      <c r="Z367" s="91"/>
      <c r="AA367" s="96"/>
      <c r="AB367" s="97"/>
      <c r="AC367" s="91"/>
      <c r="AD367" s="91"/>
      <c r="AE367" s="91"/>
      <c r="AF367" s="91"/>
    </row>
    <row r="368">
      <c r="A368" s="59" t="s">
        <v>907</v>
      </c>
      <c r="B368" s="59" t="s">
        <v>908</v>
      </c>
      <c r="C368" s="70">
        <v>1.9016383478E10</v>
      </c>
      <c r="D368" s="86">
        <v>-0.19555124085173514</v>
      </c>
      <c r="E368" s="94" t="e">
        <v>#N/A</v>
      </c>
      <c r="F368" s="94" t="e">
        <v>#N/A</v>
      </c>
      <c r="G368" s="94" t="e">
        <v>#N/A</v>
      </c>
      <c r="H368" s="59" t="e">
        <v>#N/A</v>
      </c>
      <c r="I368" s="94" t="e">
        <v>#N/A</v>
      </c>
      <c r="J368" s="59" t="e">
        <v>#N/A</v>
      </c>
      <c r="K368" s="94">
        <v>32.07</v>
      </c>
      <c r="L368" s="94">
        <v>30.91</v>
      </c>
      <c r="M368" s="94">
        <v>88.05</v>
      </c>
      <c r="N368" s="59">
        <v>65.05</v>
      </c>
      <c r="O368" s="88" t="e">
        <v>#N/A</v>
      </c>
      <c r="P368" s="95" t="e">
        <v>#N/A</v>
      </c>
      <c r="Q368" s="88" t="e">
        <v>#N/A</v>
      </c>
      <c r="R368" s="88">
        <v>-0.03752830799094145</v>
      </c>
      <c r="S368" s="88">
        <v>-0.35357417371252886</v>
      </c>
      <c r="T368" s="59"/>
      <c r="U368" s="59"/>
      <c r="V368" s="91"/>
      <c r="W368" s="91"/>
      <c r="X368" s="91"/>
      <c r="Y368" s="91"/>
      <c r="Z368" s="91"/>
      <c r="AA368" s="96"/>
      <c r="AB368" s="97"/>
      <c r="AC368" s="91"/>
      <c r="AD368" s="91"/>
      <c r="AE368" s="91"/>
      <c r="AF368" s="91"/>
    </row>
    <row r="369">
      <c r="A369" s="59" t="s">
        <v>909</v>
      </c>
      <c r="B369" s="59" t="s">
        <v>910</v>
      </c>
      <c r="C369" s="70">
        <v>1.78902547661E11</v>
      </c>
      <c r="D369" s="86">
        <v>-0.19641934540641665</v>
      </c>
      <c r="E369" s="94">
        <v>29.67</v>
      </c>
      <c r="F369" s="94">
        <v>31.0</v>
      </c>
      <c r="G369" s="94">
        <v>33.88</v>
      </c>
      <c r="H369" s="59">
        <v>30.82</v>
      </c>
      <c r="I369" s="94">
        <v>25.21</v>
      </c>
      <c r="J369" s="59">
        <v>22.93</v>
      </c>
      <c r="K369" s="94">
        <v>53.97</v>
      </c>
      <c r="L369" s="94">
        <v>51.25</v>
      </c>
      <c r="M369" s="94">
        <v>46.99</v>
      </c>
      <c r="N369" s="59">
        <v>26.5</v>
      </c>
      <c r="O369" s="88">
        <v>0.042903225806451555</v>
      </c>
      <c r="P369" s="95">
        <v>-0.09928617780661915</v>
      </c>
      <c r="Q369" s="88">
        <v>-0.0994330571303969</v>
      </c>
      <c r="R369" s="88">
        <v>-0.053073170731707295</v>
      </c>
      <c r="S369" s="88">
        <v>-0.7732075471698114</v>
      </c>
      <c r="T369" s="59"/>
      <c r="U369" s="59"/>
      <c r="V369" s="91"/>
      <c r="W369" s="91"/>
      <c r="X369" s="91"/>
      <c r="Y369" s="91"/>
      <c r="Z369" s="91"/>
      <c r="AA369" s="96"/>
      <c r="AB369" s="97"/>
      <c r="AC369" s="91"/>
      <c r="AD369" s="91"/>
      <c r="AE369" s="91"/>
      <c r="AF369" s="91"/>
    </row>
    <row r="370">
      <c r="A370" s="59" t="s">
        <v>239</v>
      </c>
      <c r="B370" s="59" t="s">
        <v>911</v>
      </c>
      <c r="C370" s="70">
        <v>3.372207E11</v>
      </c>
      <c r="D370" s="86">
        <v>-0.19691443497801836</v>
      </c>
      <c r="E370" s="94">
        <v>2.88</v>
      </c>
      <c r="F370" s="94">
        <v>2.33</v>
      </c>
      <c r="G370" s="94">
        <v>3.89</v>
      </c>
      <c r="H370" s="59">
        <v>3.49</v>
      </c>
      <c r="I370" s="94">
        <v>3.24</v>
      </c>
      <c r="J370" s="59">
        <v>2.98</v>
      </c>
      <c r="K370" s="94">
        <v>5.37</v>
      </c>
      <c r="L370" s="94">
        <v>5.18</v>
      </c>
      <c r="M370" s="94">
        <v>74.14</v>
      </c>
      <c r="N370" s="59">
        <v>49.1</v>
      </c>
      <c r="O370" s="88">
        <v>-0.23605150214592266</v>
      </c>
      <c r="P370" s="95">
        <v>-0.11461318051575928</v>
      </c>
      <c r="Q370" s="88">
        <v>-0.08724832214765109</v>
      </c>
      <c r="R370" s="88">
        <v>-0.03667953667953676</v>
      </c>
      <c r="S370" s="88">
        <v>-0.509979633401222</v>
      </c>
      <c r="T370" s="59"/>
      <c r="U370" s="59"/>
      <c r="V370" s="91"/>
      <c r="W370" s="91"/>
      <c r="X370" s="91"/>
      <c r="Y370" s="91"/>
      <c r="Z370" s="91"/>
      <c r="AA370" s="96"/>
      <c r="AB370" s="97"/>
      <c r="AC370" s="91"/>
      <c r="AD370" s="91"/>
      <c r="AE370" s="91"/>
      <c r="AF370" s="91"/>
    </row>
    <row r="371">
      <c r="A371" s="59" t="s">
        <v>241</v>
      </c>
      <c r="B371" s="59" t="s">
        <v>912</v>
      </c>
      <c r="C371" s="70">
        <v>7.5025749721E10</v>
      </c>
      <c r="D371" s="86">
        <v>-0.19807791611236542</v>
      </c>
      <c r="E371" s="94">
        <v>93.03</v>
      </c>
      <c r="F371" s="94">
        <v>78.67</v>
      </c>
      <c r="G371" s="94">
        <v>269.08</v>
      </c>
      <c r="H371" s="59">
        <v>225.39</v>
      </c>
      <c r="I371" s="94">
        <v>527.81</v>
      </c>
      <c r="J371" s="59">
        <v>505.0</v>
      </c>
      <c r="K371" s="94">
        <v>1216.92</v>
      </c>
      <c r="L371" s="94">
        <v>1174.12</v>
      </c>
      <c r="M371" s="94">
        <v>1976.28</v>
      </c>
      <c r="N371" s="59">
        <v>1289.67</v>
      </c>
      <c r="O371" s="88">
        <v>-0.18253463836278122</v>
      </c>
      <c r="P371" s="95">
        <v>-0.19384178534983806</v>
      </c>
      <c r="Q371" s="88">
        <v>-0.04516831683168306</v>
      </c>
      <c r="R371" s="88">
        <v>-0.036452832759854344</v>
      </c>
      <c r="S371" s="88">
        <v>-0.5323920072576704</v>
      </c>
      <c r="T371" s="59"/>
      <c r="U371" s="59"/>
      <c r="V371" s="91"/>
      <c r="W371" s="91"/>
      <c r="X371" s="91"/>
      <c r="Y371" s="91"/>
      <c r="Z371" s="91"/>
      <c r="AA371" s="96"/>
      <c r="AB371" s="97"/>
      <c r="AC371" s="91"/>
      <c r="AD371" s="91"/>
      <c r="AE371" s="91"/>
      <c r="AF371" s="91"/>
    </row>
    <row r="372">
      <c r="A372" s="59" t="s">
        <v>913</v>
      </c>
      <c r="B372" s="59" t="s">
        <v>914</v>
      </c>
      <c r="C372" s="70">
        <v>1.969395396E10</v>
      </c>
      <c r="D372" s="86">
        <v>-0.1986179521228051</v>
      </c>
      <c r="E372" s="94">
        <v>13.88</v>
      </c>
      <c r="F372" s="94">
        <v>13.0</v>
      </c>
      <c r="G372" s="94">
        <v>19.9</v>
      </c>
      <c r="H372" s="59">
        <v>18.62</v>
      </c>
      <c r="I372" s="94">
        <v>16.31</v>
      </c>
      <c r="J372" s="59">
        <v>15.68</v>
      </c>
      <c r="K372" s="94">
        <v>41.67</v>
      </c>
      <c r="L372" s="94">
        <v>40.17</v>
      </c>
      <c r="M372" s="94">
        <v>80.15</v>
      </c>
      <c r="N372" s="59">
        <v>45.05</v>
      </c>
      <c r="O372" s="88">
        <v>-0.06769230769230775</v>
      </c>
      <c r="P372" s="95">
        <v>-0.06874328678839944</v>
      </c>
      <c r="Q372" s="88">
        <v>-0.04017857142857137</v>
      </c>
      <c r="R372" s="88">
        <v>-0.037341299477221805</v>
      </c>
      <c r="S372" s="88">
        <v>-0.7791342952275252</v>
      </c>
      <c r="T372" s="59"/>
      <c r="U372" s="59"/>
      <c r="V372" s="91"/>
      <c r="W372" s="91"/>
      <c r="X372" s="91"/>
      <c r="Y372" s="91"/>
      <c r="Z372" s="91"/>
      <c r="AA372" s="96"/>
      <c r="AB372" s="97"/>
      <c r="AC372" s="91"/>
      <c r="AD372" s="91"/>
      <c r="AE372" s="91"/>
      <c r="AF372" s="91"/>
    </row>
    <row r="373">
      <c r="A373" s="59" t="s">
        <v>915</v>
      </c>
      <c r="B373" s="59" t="s">
        <v>916</v>
      </c>
      <c r="C373" s="70">
        <v>4.760229963E10</v>
      </c>
      <c r="D373" s="86">
        <v>-0.19862371994757275</v>
      </c>
      <c r="E373" s="94">
        <v>56.25</v>
      </c>
      <c r="F373" s="94">
        <v>56.42</v>
      </c>
      <c r="G373" s="94">
        <v>50.37</v>
      </c>
      <c r="H373" s="59">
        <v>46.44</v>
      </c>
      <c r="I373" s="94">
        <v>48.48</v>
      </c>
      <c r="J373" s="59">
        <v>45.59</v>
      </c>
      <c r="K373" s="94">
        <v>101.96</v>
      </c>
      <c r="L373" s="94">
        <v>98.74</v>
      </c>
      <c r="M373" s="94">
        <v>160.89</v>
      </c>
      <c r="N373" s="59">
        <v>88.62</v>
      </c>
      <c r="O373" s="88">
        <v>0.0030131159163417527</v>
      </c>
      <c r="P373" s="95">
        <v>-0.08462532299741601</v>
      </c>
      <c r="Q373" s="88">
        <v>-0.0633910945382758</v>
      </c>
      <c r="R373" s="88">
        <v>-0.0326108973060563</v>
      </c>
      <c r="S373" s="88">
        <v>-0.8155044008124575</v>
      </c>
      <c r="T373" s="59"/>
      <c r="U373" s="59"/>
      <c r="V373" s="91"/>
      <c r="W373" s="91"/>
      <c r="X373" s="91"/>
      <c r="Y373" s="91"/>
      <c r="Z373" s="91"/>
      <c r="AA373" s="96"/>
      <c r="AB373" s="97"/>
      <c r="AC373" s="91"/>
      <c r="AD373" s="91"/>
      <c r="AE373" s="91"/>
      <c r="AF373" s="91"/>
    </row>
    <row r="374">
      <c r="A374" s="59" t="s">
        <v>917</v>
      </c>
      <c r="B374" s="59" t="s">
        <v>918</v>
      </c>
      <c r="C374" s="70">
        <v>1.0543454908E10</v>
      </c>
      <c r="D374" s="86">
        <v>-0.20216321805479973</v>
      </c>
      <c r="E374" s="94">
        <v>65.8</v>
      </c>
      <c r="F374" s="94">
        <v>63.35</v>
      </c>
      <c r="G374" s="94">
        <v>33.16</v>
      </c>
      <c r="H374" s="59">
        <v>30.44</v>
      </c>
      <c r="I374" s="94">
        <v>32.79</v>
      </c>
      <c r="J374" s="59">
        <v>28.82</v>
      </c>
      <c r="K374" s="94">
        <v>69.99</v>
      </c>
      <c r="L374" s="94">
        <v>65.77</v>
      </c>
      <c r="M374" s="94">
        <v>175.92</v>
      </c>
      <c r="N374" s="59">
        <v>104.66</v>
      </c>
      <c r="O374" s="88">
        <v>-0.0386740331491712</v>
      </c>
      <c r="P374" s="95">
        <v>-0.08935611038107737</v>
      </c>
      <c r="Q374" s="88">
        <v>-0.1377515614156835</v>
      </c>
      <c r="R374" s="88">
        <v>-0.06416299224570471</v>
      </c>
      <c r="S374" s="88">
        <v>-0.6808713930823619</v>
      </c>
      <c r="T374" s="59"/>
      <c r="U374" s="59"/>
      <c r="V374" s="91"/>
      <c r="W374" s="91"/>
      <c r="X374" s="91"/>
      <c r="Y374" s="91"/>
      <c r="Z374" s="91"/>
      <c r="AA374" s="96"/>
      <c r="AB374" s="97"/>
      <c r="AC374" s="91"/>
      <c r="AD374" s="91"/>
      <c r="AE374" s="91"/>
      <c r="AF374" s="91"/>
    </row>
    <row r="375">
      <c r="A375" s="59" t="s">
        <v>919</v>
      </c>
      <c r="B375" s="59" t="s">
        <v>920</v>
      </c>
      <c r="C375" s="70">
        <v>9.360744232E9</v>
      </c>
      <c r="D375" s="86">
        <v>-0.20308439284198318</v>
      </c>
      <c r="E375" s="94" t="e">
        <v>#N/A</v>
      </c>
      <c r="F375" s="94" t="e">
        <v>#N/A</v>
      </c>
      <c r="G375" s="94" t="e">
        <v>#N/A</v>
      </c>
      <c r="H375" s="59" t="e">
        <v>#N/A</v>
      </c>
      <c r="I375" s="94" t="e">
        <v>#N/A</v>
      </c>
      <c r="J375" s="59" t="e">
        <v>#N/A</v>
      </c>
      <c r="K375" s="94">
        <v>60.38</v>
      </c>
      <c r="L375" s="94">
        <v>58.56</v>
      </c>
      <c r="M375" s="94">
        <v>134.36</v>
      </c>
      <c r="N375" s="59">
        <v>97.71</v>
      </c>
      <c r="O375" s="88" t="e">
        <v>#N/A</v>
      </c>
      <c r="P375" s="95" t="e">
        <v>#N/A</v>
      </c>
      <c r="Q375" s="88" t="e">
        <v>#N/A</v>
      </c>
      <c r="R375" s="88">
        <v>-0.0310792349726776</v>
      </c>
      <c r="S375" s="88">
        <v>-0.37508955071128874</v>
      </c>
      <c r="T375" s="59"/>
      <c r="U375" s="59"/>
      <c r="V375" s="91"/>
      <c r="W375" s="91"/>
      <c r="X375" s="91"/>
      <c r="Y375" s="91"/>
      <c r="Z375" s="91"/>
      <c r="AA375" s="96"/>
      <c r="AB375" s="97"/>
      <c r="AC375" s="91"/>
      <c r="AD375" s="91"/>
      <c r="AE375" s="91"/>
      <c r="AF375" s="91"/>
    </row>
    <row r="376">
      <c r="A376" s="59" t="s">
        <v>921</v>
      </c>
      <c r="B376" s="59" t="s">
        <v>922</v>
      </c>
      <c r="C376" s="70">
        <v>4.0964041625E10</v>
      </c>
      <c r="D376" s="86">
        <v>-0.2031738728630541</v>
      </c>
      <c r="E376" s="94">
        <v>68.7</v>
      </c>
      <c r="F376" s="94">
        <v>56.11</v>
      </c>
      <c r="G376" s="94">
        <v>138.9</v>
      </c>
      <c r="H376" s="59">
        <v>128.83</v>
      </c>
      <c r="I376" s="94">
        <v>311.52</v>
      </c>
      <c r="J376" s="59">
        <v>291.7</v>
      </c>
      <c r="K376" s="94">
        <v>720.01</v>
      </c>
      <c r="L376" s="94">
        <v>704.25</v>
      </c>
      <c r="M376" s="94">
        <v>927.56</v>
      </c>
      <c r="N376" s="59">
        <v>571.51</v>
      </c>
      <c r="O376" s="88">
        <v>-0.22438068080556056</v>
      </c>
      <c r="P376" s="95">
        <v>-0.0781650236746099</v>
      </c>
      <c r="Q376" s="88">
        <v>-0.06794652039766881</v>
      </c>
      <c r="R376" s="88">
        <v>-0.022378416755413546</v>
      </c>
      <c r="S376" s="88">
        <v>-0.6229987226820177</v>
      </c>
      <c r="T376" s="59"/>
      <c r="U376" s="59"/>
      <c r="V376" s="91"/>
      <c r="W376" s="91"/>
      <c r="X376" s="91"/>
      <c r="Y376" s="91"/>
      <c r="Z376" s="91"/>
      <c r="AA376" s="96"/>
      <c r="AB376" s="97"/>
      <c r="AC376" s="91"/>
      <c r="AD376" s="91"/>
      <c r="AE376" s="91"/>
      <c r="AF376" s="91"/>
    </row>
    <row r="377">
      <c r="A377" s="59" t="s">
        <v>923</v>
      </c>
      <c r="B377" s="59" t="s">
        <v>924</v>
      </c>
      <c r="C377" s="70">
        <v>1.1585807091E10</v>
      </c>
      <c r="D377" s="86">
        <v>-0.2035305428082082</v>
      </c>
      <c r="E377" s="94">
        <v>8.95</v>
      </c>
      <c r="F377" s="94">
        <v>8.52</v>
      </c>
      <c r="G377" s="94">
        <v>8.99</v>
      </c>
      <c r="H377" s="59">
        <v>7.72</v>
      </c>
      <c r="I377" s="94">
        <v>8.37</v>
      </c>
      <c r="J377" s="59">
        <v>7.49</v>
      </c>
      <c r="K377" s="94">
        <v>19.61</v>
      </c>
      <c r="L377" s="94">
        <v>18.74</v>
      </c>
      <c r="M377" s="94">
        <v>24.86</v>
      </c>
      <c r="N377" s="59">
        <v>15.17</v>
      </c>
      <c r="O377" s="88">
        <v>-0.05046948356807509</v>
      </c>
      <c r="P377" s="95">
        <v>-0.16450777202072545</v>
      </c>
      <c r="Q377" s="88">
        <v>-0.11748998664886502</v>
      </c>
      <c r="R377" s="88">
        <v>-0.04642475987193175</v>
      </c>
      <c r="S377" s="88">
        <v>-0.6387607119314436</v>
      </c>
      <c r="T377" s="59"/>
      <c r="U377" s="59"/>
      <c r="V377" s="91"/>
      <c r="W377" s="91"/>
      <c r="X377" s="91"/>
      <c r="Y377" s="91"/>
      <c r="Z377" s="91"/>
      <c r="AA377" s="96"/>
      <c r="AB377" s="97"/>
      <c r="AC377" s="91"/>
      <c r="AD377" s="91"/>
      <c r="AE377" s="91"/>
      <c r="AF377" s="91"/>
    </row>
    <row r="378">
      <c r="A378" s="59" t="s">
        <v>925</v>
      </c>
      <c r="B378" s="59" t="s">
        <v>926</v>
      </c>
      <c r="C378" s="70">
        <v>1.1127363414E10</v>
      </c>
      <c r="D378" s="86">
        <v>-0.2058360526398384</v>
      </c>
      <c r="E378" s="94">
        <v>26.29</v>
      </c>
      <c r="F378" s="94">
        <v>26.28</v>
      </c>
      <c r="G378" s="94">
        <v>23.84</v>
      </c>
      <c r="H378" s="59">
        <v>21.82</v>
      </c>
      <c r="I378" s="94">
        <v>24.41</v>
      </c>
      <c r="J378" s="59">
        <v>22.12</v>
      </c>
      <c r="K378" s="94">
        <v>59.35</v>
      </c>
      <c r="L378" s="94">
        <v>56.43</v>
      </c>
      <c r="M378" s="94">
        <v>110.33</v>
      </c>
      <c r="N378" s="59">
        <v>61.95</v>
      </c>
      <c r="O378" s="88">
        <v>-3.8051750380509934E-4</v>
      </c>
      <c r="P378" s="95">
        <v>-0.09257561869844178</v>
      </c>
      <c r="Q378" s="88">
        <v>-0.10352622061482816</v>
      </c>
      <c r="R378" s="88">
        <v>-0.05174552542973598</v>
      </c>
      <c r="S378" s="88">
        <v>-0.7809523809523808</v>
      </c>
      <c r="T378" s="59"/>
      <c r="U378" s="59"/>
      <c r="V378" s="91"/>
      <c r="W378" s="91"/>
      <c r="X378" s="91"/>
      <c r="Y378" s="91"/>
      <c r="Z378" s="91"/>
      <c r="AA378" s="96"/>
      <c r="AB378" s="97"/>
      <c r="AC378" s="91"/>
      <c r="AD378" s="91"/>
      <c r="AE378" s="91"/>
      <c r="AF378" s="91"/>
    </row>
    <row r="379">
      <c r="A379" s="59" t="s">
        <v>927</v>
      </c>
      <c r="B379" s="59" t="s">
        <v>928</v>
      </c>
      <c r="C379" s="70">
        <v>2.236451763E10</v>
      </c>
      <c r="D379" s="86">
        <v>-0.20728864402789898</v>
      </c>
      <c r="E379" s="94">
        <v>21.22</v>
      </c>
      <c r="F379" s="94">
        <v>21.63</v>
      </c>
      <c r="G379" s="94">
        <v>20.04</v>
      </c>
      <c r="H379" s="59">
        <v>17.64</v>
      </c>
      <c r="I379" s="94">
        <v>17.87</v>
      </c>
      <c r="J379" s="59">
        <v>16.57</v>
      </c>
      <c r="K379" s="94">
        <v>29.97</v>
      </c>
      <c r="L379" s="94">
        <v>28.17</v>
      </c>
      <c r="M379" s="94">
        <v>30.12</v>
      </c>
      <c r="N379" s="59">
        <v>16.95</v>
      </c>
      <c r="O379" s="88">
        <v>0.018955154877484982</v>
      </c>
      <c r="P379" s="95">
        <v>-0.13605442176870738</v>
      </c>
      <c r="Q379" s="88">
        <v>-0.07845503922751966</v>
      </c>
      <c r="R379" s="88">
        <v>-0.06389776357827466</v>
      </c>
      <c r="S379" s="88">
        <v>-0.776991150442478</v>
      </c>
      <c r="T379" s="59"/>
      <c r="U379" s="59"/>
      <c r="V379" s="91"/>
      <c r="W379" s="91"/>
      <c r="X379" s="91"/>
      <c r="Y379" s="91"/>
      <c r="Z379" s="91"/>
      <c r="AA379" s="96"/>
      <c r="AB379" s="97"/>
      <c r="AC379" s="91"/>
      <c r="AD379" s="91"/>
      <c r="AE379" s="91"/>
      <c r="AF379" s="91"/>
    </row>
    <row r="380">
      <c r="A380" s="59" t="s">
        <v>929</v>
      </c>
      <c r="B380" s="59" t="s">
        <v>930</v>
      </c>
      <c r="C380" s="70">
        <v>1.0657173509E10</v>
      </c>
      <c r="D380" s="86">
        <v>-0.20911634850477298</v>
      </c>
      <c r="E380" s="94">
        <v>34.47</v>
      </c>
      <c r="F380" s="94">
        <v>34.01</v>
      </c>
      <c r="G380" s="94">
        <v>31.88</v>
      </c>
      <c r="H380" s="59">
        <v>26.77</v>
      </c>
      <c r="I380" s="94">
        <v>43.81</v>
      </c>
      <c r="J380" s="59">
        <v>37.94</v>
      </c>
      <c r="K380" s="94">
        <v>59.07</v>
      </c>
      <c r="L380" s="94">
        <v>55.88</v>
      </c>
      <c r="M380" s="94">
        <v>107.75</v>
      </c>
      <c r="N380" s="59">
        <v>66.13</v>
      </c>
      <c r="O380" s="88">
        <v>-0.0135254336959718</v>
      </c>
      <c r="P380" s="95">
        <v>-0.1908853193873739</v>
      </c>
      <c r="Q380" s="88">
        <v>-0.1547179757511862</v>
      </c>
      <c r="R380" s="88">
        <v>-0.0570866141732283</v>
      </c>
      <c r="S380" s="88">
        <v>-0.6293663995161047</v>
      </c>
      <c r="T380" s="59"/>
      <c r="U380" s="59"/>
      <c r="V380" s="91"/>
      <c r="W380" s="91"/>
      <c r="X380" s="91"/>
      <c r="Y380" s="91"/>
      <c r="Z380" s="91"/>
      <c r="AA380" s="96"/>
      <c r="AB380" s="97"/>
      <c r="AC380" s="91"/>
      <c r="AD380" s="91"/>
      <c r="AE380" s="91"/>
      <c r="AF380" s="91"/>
    </row>
    <row r="381">
      <c r="A381" s="59" t="s">
        <v>243</v>
      </c>
      <c r="B381" s="59" t="s">
        <v>931</v>
      </c>
      <c r="C381" s="70">
        <v>4.4488341618E10</v>
      </c>
      <c r="D381" s="86">
        <v>-0.2104445278982524</v>
      </c>
      <c r="E381" s="94" t="e">
        <v>#N/A</v>
      </c>
      <c r="F381" s="94" t="e">
        <v>#N/A</v>
      </c>
      <c r="G381" s="94">
        <v>1.86</v>
      </c>
      <c r="H381" s="59">
        <v>1.65</v>
      </c>
      <c r="I381" s="94">
        <v>3.92</v>
      </c>
      <c r="J381" s="59">
        <v>3.6</v>
      </c>
      <c r="K381" s="94">
        <v>8.57</v>
      </c>
      <c r="L381" s="94">
        <v>8.18</v>
      </c>
      <c r="M381" s="94">
        <v>23.89</v>
      </c>
      <c r="N381" s="59">
        <v>15.14</v>
      </c>
      <c r="O381" s="88" t="e">
        <v>#N/A</v>
      </c>
      <c r="P381" s="95">
        <v>-0.1272727272727274</v>
      </c>
      <c r="Q381" s="88">
        <v>-0.08888888888888884</v>
      </c>
      <c r="R381" s="88">
        <v>-0.047677261613692005</v>
      </c>
      <c r="S381" s="88">
        <v>-0.5779392338177014</v>
      </c>
      <c r="T381" s="59"/>
      <c r="U381" s="59"/>
      <c r="V381" s="91"/>
      <c r="W381" s="91"/>
      <c r="X381" s="91"/>
      <c r="Y381" s="91"/>
      <c r="Z381" s="91"/>
      <c r="AA381" s="96"/>
      <c r="AB381" s="97"/>
      <c r="AC381" s="91"/>
      <c r="AD381" s="91"/>
      <c r="AE381" s="91"/>
      <c r="AF381" s="91"/>
    </row>
    <row r="382">
      <c r="A382" s="59" t="s">
        <v>932</v>
      </c>
      <c r="B382" s="59" t="s">
        <v>933</v>
      </c>
      <c r="C382" s="70">
        <v>1.330927704E10</v>
      </c>
      <c r="D382" s="86">
        <v>-0.21052533685799563</v>
      </c>
      <c r="E382" s="94">
        <v>37.24</v>
      </c>
      <c r="F382" s="94">
        <v>36.24</v>
      </c>
      <c r="G382" s="94">
        <v>16.11</v>
      </c>
      <c r="H382" s="59">
        <v>15.01</v>
      </c>
      <c r="I382" s="94">
        <v>16.09</v>
      </c>
      <c r="J382" s="59">
        <v>14.64</v>
      </c>
      <c r="K382" s="94">
        <v>24.55</v>
      </c>
      <c r="L382" s="94">
        <v>23.3</v>
      </c>
      <c r="M382" s="94">
        <v>19.07</v>
      </c>
      <c r="N382" s="59">
        <v>10.6</v>
      </c>
      <c r="O382" s="88">
        <v>-0.02759381898454746</v>
      </c>
      <c r="P382" s="95">
        <v>-0.07328447701532309</v>
      </c>
      <c r="Q382" s="88">
        <v>-0.09904371584699448</v>
      </c>
      <c r="R382" s="88">
        <v>-0.0536480686695279</v>
      </c>
      <c r="S382" s="88">
        <v>-0.799056603773585</v>
      </c>
      <c r="T382" s="59"/>
      <c r="U382" s="59"/>
      <c r="V382" s="91"/>
      <c r="W382" s="91"/>
      <c r="X382" s="91"/>
      <c r="Y382" s="91"/>
      <c r="Z382" s="91"/>
      <c r="AA382" s="96"/>
      <c r="AB382" s="97"/>
      <c r="AC382" s="91"/>
      <c r="AD382" s="91"/>
      <c r="AE382" s="91"/>
      <c r="AF382" s="91"/>
    </row>
    <row r="383">
      <c r="A383" s="59" t="s">
        <v>245</v>
      </c>
      <c r="B383" s="59" t="s">
        <v>246</v>
      </c>
      <c r="C383" s="70">
        <v>1.89500181262E11</v>
      </c>
      <c r="D383" s="86">
        <v>-0.21107556656683069</v>
      </c>
      <c r="E383" s="94" t="e">
        <v>#N/A</v>
      </c>
      <c r="F383" s="94" t="e">
        <v>#N/A</v>
      </c>
      <c r="G383" s="94">
        <v>21.12</v>
      </c>
      <c r="H383" s="59">
        <v>19.29</v>
      </c>
      <c r="I383" s="94">
        <v>29.34</v>
      </c>
      <c r="J383" s="59">
        <v>27.19</v>
      </c>
      <c r="K383" s="94">
        <v>111.45</v>
      </c>
      <c r="L383" s="94">
        <v>109.94</v>
      </c>
      <c r="M383" s="94">
        <v>310.75</v>
      </c>
      <c r="N383" s="59">
        <v>187.58</v>
      </c>
      <c r="O383" s="88" t="e">
        <v>#N/A</v>
      </c>
      <c r="P383" s="95">
        <v>-0.09486780715396588</v>
      </c>
      <c r="Q383" s="88">
        <v>-0.07907318867230594</v>
      </c>
      <c r="R383" s="88">
        <v>-0.01373476441695475</v>
      </c>
      <c r="S383" s="88">
        <v>-0.6566265060240962</v>
      </c>
      <c r="T383" s="59"/>
      <c r="U383" s="59"/>
      <c r="V383" s="91"/>
      <c r="W383" s="91"/>
      <c r="X383" s="91"/>
      <c r="Y383" s="91"/>
      <c r="Z383" s="91"/>
      <c r="AA383" s="96"/>
      <c r="AB383" s="97"/>
      <c r="AC383" s="91"/>
      <c r="AD383" s="91"/>
      <c r="AE383" s="91"/>
      <c r="AF383" s="91"/>
    </row>
    <row r="384">
      <c r="A384" s="59" t="s">
        <v>934</v>
      </c>
      <c r="B384" s="59" t="s">
        <v>935</v>
      </c>
      <c r="C384" s="70">
        <v>1.3482874832E10</v>
      </c>
      <c r="D384" s="86">
        <v>-0.21123717402942982</v>
      </c>
      <c r="E384" s="94">
        <v>14.05</v>
      </c>
      <c r="F384" s="94">
        <v>14.44</v>
      </c>
      <c r="G384" s="94">
        <v>16.94</v>
      </c>
      <c r="H384" s="59">
        <v>14.74</v>
      </c>
      <c r="I384" s="94">
        <v>13.53</v>
      </c>
      <c r="J384" s="59">
        <v>11.86</v>
      </c>
      <c r="K384" s="94">
        <v>18.29</v>
      </c>
      <c r="L384" s="94">
        <v>17.56</v>
      </c>
      <c r="M384" s="94">
        <v>16.85</v>
      </c>
      <c r="N384" s="59">
        <v>9.62</v>
      </c>
      <c r="O384" s="88">
        <v>0.027008310249307395</v>
      </c>
      <c r="P384" s="95">
        <v>-0.14925373134328365</v>
      </c>
      <c r="Q384" s="88">
        <v>-0.14080944350758853</v>
      </c>
      <c r="R384" s="88">
        <v>-0.0415717539863326</v>
      </c>
      <c r="S384" s="88">
        <v>-0.7515592515592519</v>
      </c>
      <c r="T384" s="59"/>
      <c r="U384" s="59"/>
      <c r="V384" s="91"/>
      <c r="W384" s="91"/>
      <c r="X384" s="91"/>
      <c r="Y384" s="91"/>
      <c r="Z384" s="91"/>
      <c r="AA384" s="96"/>
      <c r="AB384" s="97"/>
      <c r="AC384" s="91"/>
      <c r="AD384" s="91"/>
      <c r="AE384" s="91"/>
      <c r="AF384" s="91"/>
    </row>
    <row r="385">
      <c r="A385" s="59" t="s">
        <v>936</v>
      </c>
      <c r="B385" s="59" t="s">
        <v>937</v>
      </c>
      <c r="C385" s="70">
        <v>4.2623407894E10</v>
      </c>
      <c r="D385" s="86">
        <v>-0.21145401854457374</v>
      </c>
      <c r="E385" s="94">
        <v>31.89</v>
      </c>
      <c r="F385" s="94">
        <v>34.16</v>
      </c>
      <c r="G385" s="94">
        <v>31.03</v>
      </c>
      <c r="H385" s="59">
        <v>29.43</v>
      </c>
      <c r="I385" s="94">
        <v>29.46</v>
      </c>
      <c r="J385" s="59">
        <v>28.8</v>
      </c>
      <c r="K385" s="94">
        <v>39.7</v>
      </c>
      <c r="L385" s="94">
        <v>39.26</v>
      </c>
      <c r="M385" s="94">
        <v>76.83</v>
      </c>
      <c r="N385" s="59">
        <v>37.75</v>
      </c>
      <c r="O385" s="88">
        <v>0.0664519906323184</v>
      </c>
      <c r="P385" s="95">
        <v>-0.054366292898403036</v>
      </c>
      <c r="Q385" s="88">
        <v>-0.022916666666666672</v>
      </c>
      <c r="R385" s="88">
        <v>-0.011207335710647092</v>
      </c>
      <c r="S385" s="88">
        <v>-1.0352317880794701</v>
      </c>
      <c r="T385" s="59"/>
      <c r="U385" s="59"/>
      <c r="V385" s="91"/>
      <c r="W385" s="91"/>
      <c r="X385" s="91"/>
      <c r="Y385" s="91"/>
      <c r="Z385" s="91"/>
      <c r="AA385" s="96"/>
      <c r="AB385" s="97"/>
      <c r="AC385" s="91"/>
      <c r="AD385" s="91"/>
      <c r="AE385" s="91"/>
      <c r="AF385" s="91"/>
    </row>
    <row r="386">
      <c r="A386" s="59" t="s">
        <v>249</v>
      </c>
      <c r="B386" s="59" t="s">
        <v>938</v>
      </c>
      <c r="C386" s="70">
        <v>3.4452914213E10</v>
      </c>
      <c r="D386" s="86">
        <v>-0.21301826551893693</v>
      </c>
      <c r="E386" s="94">
        <v>14.76</v>
      </c>
      <c r="F386" s="94">
        <v>14.32</v>
      </c>
      <c r="G386" s="94">
        <v>14.84</v>
      </c>
      <c r="H386" s="59">
        <v>13.9</v>
      </c>
      <c r="I386" s="94">
        <v>15.59</v>
      </c>
      <c r="J386" s="59">
        <v>15.11</v>
      </c>
      <c r="K386" s="94">
        <v>20.42</v>
      </c>
      <c r="L386" s="94">
        <v>20.07</v>
      </c>
      <c r="M386" s="94">
        <v>53.48</v>
      </c>
      <c r="N386" s="59">
        <v>27.89</v>
      </c>
      <c r="O386" s="88">
        <v>-0.030726256983240188</v>
      </c>
      <c r="P386" s="95">
        <v>-0.0676258992805755</v>
      </c>
      <c r="Q386" s="88">
        <v>-0.03176704169424225</v>
      </c>
      <c r="R386" s="88">
        <v>-0.017438963627304505</v>
      </c>
      <c r="S386" s="88">
        <v>-0.9175331660093222</v>
      </c>
      <c r="T386" s="59"/>
      <c r="U386" s="59"/>
      <c r="V386" s="91"/>
      <c r="W386" s="91"/>
      <c r="X386" s="91"/>
      <c r="Y386" s="91"/>
      <c r="Z386" s="91"/>
      <c r="AA386" s="96"/>
      <c r="AB386" s="97"/>
      <c r="AC386" s="91"/>
      <c r="AD386" s="91"/>
      <c r="AE386" s="91"/>
      <c r="AF386" s="91"/>
    </row>
    <row r="387">
      <c r="A387" s="59" t="s">
        <v>939</v>
      </c>
      <c r="B387" s="59" t="s">
        <v>940</v>
      </c>
      <c r="C387" s="70">
        <v>1.0168296846E10</v>
      </c>
      <c r="D387" s="86">
        <v>-0.2134476409487914</v>
      </c>
      <c r="E387" s="94">
        <v>15.87</v>
      </c>
      <c r="F387" s="94">
        <v>15.2</v>
      </c>
      <c r="G387" s="94">
        <v>24.69</v>
      </c>
      <c r="H387" s="59">
        <v>22.23</v>
      </c>
      <c r="I387" s="94">
        <v>28.85</v>
      </c>
      <c r="J387" s="59">
        <v>26.43</v>
      </c>
      <c r="K387" s="94">
        <v>59.58</v>
      </c>
      <c r="L387" s="94">
        <v>57.7</v>
      </c>
      <c r="M387" s="94">
        <v>98.27</v>
      </c>
      <c r="N387" s="59">
        <v>54.95</v>
      </c>
      <c r="O387" s="88">
        <v>-0.04407894736842105</v>
      </c>
      <c r="P387" s="95">
        <v>-0.11066126855600543</v>
      </c>
      <c r="Q387" s="88">
        <v>-0.09156261823685213</v>
      </c>
      <c r="R387" s="88">
        <v>-0.03258232235701898</v>
      </c>
      <c r="S387" s="88">
        <v>-0.7883530482256595</v>
      </c>
      <c r="T387" s="59"/>
      <c r="U387" s="59"/>
      <c r="V387" s="91"/>
      <c r="W387" s="91"/>
      <c r="X387" s="91"/>
      <c r="Y387" s="91"/>
      <c r="Z387" s="91"/>
      <c r="AA387" s="96"/>
      <c r="AB387" s="97"/>
      <c r="AC387" s="91"/>
      <c r="AD387" s="91"/>
      <c r="AE387" s="91"/>
      <c r="AF387" s="91"/>
    </row>
    <row r="388">
      <c r="A388" s="59" t="s">
        <v>941</v>
      </c>
      <c r="B388" s="59" t="s">
        <v>942</v>
      </c>
      <c r="C388" s="70">
        <v>2.6697831397E10</v>
      </c>
      <c r="D388" s="86">
        <v>-0.21373110752304464</v>
      </c>
      <c r="E388" s="94">
        <v>8.14</v>
      </c>
      <c r="F388" s="94">
        <v>7.19</v>
      </c>
      <c r="G388" s="94">
        <v>8.15</v>
      </c>
      <c r="H388" s="59">
        <v>7.61</v>
      </c>
      <c r="I388" s="94">
        <v>7.23</v>
      </c>
      <c r="J388" s="59">
        <v>6.87</v>
      </c>
      <c r="K388" s="94">
        <v>9.18</v>
      </c>
      <c r="L388" s="94">
        <v>8.95</v>
      </c>
      <c r="M388" s="94">
        <v>21.11</v>
      </c>
      <c r="N388" s="59">
        <v>11.81</v>
      </c>
      <c r="O388" s="88">
        <v>-0.13212795549374132</v>
      </c>
      <c r="P388" s="95">
        <v>-0.07095926412614981</v>
      </c>
      <c r="Q388" s="88">
        <v>-0.052401746724890876</v>
      </c>
      <c r="R388" s="88">
        <v>-0.025698324022346418</v>
      </c>
      <c r="S388" s="88">
        <v>-0.7874682472480947</v>
      </c>
      <c r="T388" s="59"/>
      <c r="U388" s="59"/>
      <c r="V388" s="91"/>
      <c r="W388" s="91"/>
      <c r="X388" s="91"/>
      <c r="Y388" s="91"/>
      <c r="Z388" s="91"/>
      <c r="AA388" s="96"/>
      <c r="AB388" s="97"/>
      <c r="AC388" s="91"/>
      <c r="AD388" s="91"/>
      <c r="AE388" s="91"/>
      <c r="AF388" s="91"/>
    </row>
    <row r="389">
      <c r="A389" s="59" t="s">
        <v>251</v>
      </c>
      <c r="B389" s="59" t="s">
        <v>943</v>
      </c>
      <c r="C389" s="70">
        <v>1.3865708147E10</v>
      </c>
      <c r="D389" s="86">
        <v>-0.2146254561828372</v>
      </c>
      <c r="E389" s="94">
        <v>9.2</v>
      </c>
      <c r="F389" s="94">
        <v>8.05</v>
      </c>
      <c r="G389" s="94">
        <v>17.44</v>
      </c>
      <c r="H389" s="59">
        <v>15.01</v>
      </c>
      <c r="I389" s="94">
        <v>20.68</v>
      </c>
      <c r="J389" s="59">
        <v>19.39</v>
      </c>
      <c r="K389" s="94">
        <v>79.07</v>
      </c>
      <c r="L389" s="94">
        <v>80.51</v>
      </c>
      <c r="M389" s="94">
        <v>116.77</v>
      </c>
      <c r="N389" s="59">
        <v>67.9</v>
      </c>
      <c r="O389" s="88">
        <v>-0.14285714285714265</v>
      </c>
      <c r="P389" s="95">
        <v>-0.1618920719520321</v>
      </c>
      <c r="Q389" s="88">
        <v>-0.06652913873130475</v>
      </c>
      <c r="R389" s="88">
        <v>0.017885976897279988</v>
      </c>
      <c r="S389" s="88">
        <v>-0.7197349042709865</v>
      </c>
      <c r="T389" s="59"/>
      <c r="U389" s="59"/>
      <c r="V389" s="91"/>
      <c r="W389" s="91"/>
      <c r="X389" s="91"/>
      <c r="Y389" s="91"/>
      <c r="Z389" s="91"/>
      <c r="AA389" s="96"/>
      <c r="AB389" s="97"/>
      <c r="AC389" s="91"/>
      <c r="AD389" s="91"/>
      <c r="AE389" s="91"/>
      <c r="AF389" s="91"/>
    </row>
    <row r="390">
      <c r="A390" s="59" t="s">
        <v>944</v>
      </c>
      <c r="B390" s="59" t="s">
        <v>945</v>
      </c>
      <c r="C390" s="70">
        <v>9.464839912E9</v>
      </c>
      <c r="D390" s="86">
        <v>-0.21623453041098023</v>
      </c>
      <c r="E390" s="94">
        <v>28.78</v>
      </c>
      <c r="F390" s="94">
        <v>28.12</v>
      </c>
      <c r="G390" s="94">
        <v>33.74</v>
      </c>
      <c r="H390" s="59">
        <v>30.83</v>
      </c>
      <c r="I390" s="94">
        <v>43.0</v>
      </c>
      <c r="J390" s="59">
        <v>39.03</v>
      </c>
      <c r="K390" s="94">
        <v>71.98</v>
      </c>
      <c r="L390" s="94">
        <v>68.91</v>
      </c>
      <c r="M390" s="94">
        <v>72.7</v>
      </c>
      <c r="N390" s="59">
        <v>40.01</v>
      </c>
      <c r="O390" s="88">
        <v>-0.02347083926031295</v>
      </c>
      <c r="P390" s="95">
        <v>-0.09438858254946493</v>
      </c>
      <c r="Q390" s="88">
        <v>-0.10171662823469123</v>
      </c>
      <c r="R390" s="88">
        <v>-0.04455086344507339</v>
      </c>
      <c r="S390" s="88">
        <v>-0.8170457385653588</v>
      </c>
      <c r="T390" s="59"/>
      <c r="U390" s="59"/>
      <c r="V390" s="91"/>
      <c r="W390" s="91"/>
      <c r="X390" s="91"/>
      <c r="Y390" s="91"/>
      <c r="Z390" s="91"/>
      <c r="AA390" s="96"/>
      <c r="AB390" s="97"/>
      <c r="AC390" s="91"/>
      <c r="AD390" s="91"/>
      <c r="AE390" s="91"/>
      <c r="AF390" s="91"/>
    </row>
    <row r="391">
      <c r="A391" s="59" t="s">
        <v>946</v>
      </c>
      <c r="B391" s="59" t="s">
        <v>947</v>
      </c>
      <c r="C391" s="70">
        <v>3.711746962E10</v>
      </c>
      <c r="D391" s="86">
        <v>-0.21685983506035825</v>
      </c>
      <c r="E391" s="94">
        <v>59.85</v>
      </c>
      <c r="F391" s="94">
        <v>57.64</v>
      </c>
      <c r="G391" s="94">
        <v>70.82</v>
      </c>
      <c r="H391" s="59">
        <v>62.25</v>
      </c>
      <c r="I391" s="94">
        <v>67.6</v>
      </c>
      <c r="J391" s="59">
        <v>62.17</v>
      </c>
      <c r="K391" s="94">
        <v>106.01</v>
      </c>
      <c r="L391" s="94">
        <v>102.65</v>
      </c>
      <c r="M391" s="94">
        <v>210.58</v>
      </c>
      <c r="N391" s="59">
        <v>117.76</v>
      </c>
      <c r="O391" s="88">
        <v>-0.038341429562803626</v>
      </c>
      <c r="P391" s="95">
        <v>-0.1376706827309236</v>
      </c>
      <c r="Q391" s="88">
        <v>-0.08734116133183195</v>
      </c>
      <c r="R391" s="88">
        <v>-0.032732586458840716</v>
      </c>
      <c r="S391" s="88">
        <v>-0.7882133152173914</v>
      </c>
      <c r="T391" s="59"/>
      <c r="U391" s="59"/>
      <c r="V391" s="91"/>
      <c r="W391" s="91"/>
      <c r="X391" s="91"/>
      <c r="Y391" s="91"/>
      <c r="Z391" s="91"/>
      <c r="AA391" s="96"/>
      <c r="AB391" s="97"/>
      <c r="AC391" s="91"/>
      <c r="AD391" s="91"/>
      <c r="AE391" s="91"/>
      <c r="AF391" s="91"/>
    </row>
    <row r="392">
      <c r="A392" s="59" t="s">
        <v>948</v>
      </c>
      <c r="B392" s="59" t="s">
        <v>949</v>
      </c>
      <c r="C392" s="70">
        <v>1.9710535838E10</v>
      </c>
      <c r="D392" s="86">
        <v>-0.21708405948758974</v>
      </c>
      <c r="E392" s="94">
        <v>87.78</v>
      </c>
      <c r="F392" s="94">
        <v>84.2</v>
      </c>
      <c r="G392" s="94">
        <v>50.98</v>
      </c>
      <c r="H392" s="59">
        <v>48.16</v>
      </c>
      <c r="I392" s="94">
        <v>63.59</v>
      </c>
      <c r="J392" s="59">
        <v>57.51</v>
      </c>
      <c r="K392" s="94">
        <v>39.94</v>
      </c>
      <c r="L392" s="94">
        <v>38.24</v>
      </c>
      <c r="M392" s="94">
        <v>18.25</v>
      </c>
      <c r="N392" s="59">
        <v>9.95</v>
      </c>
      <c r="O392" s="88">
        <v>-0.04251781472684083</v>
      </c>
      <c r="P392" s="95">
        <v>-0.05855481727574752</v>
      </c>
      <c r="Q392" s="88">
        <v>-0.1057207442183969</v>
      </c>
      <c r="R392" s="88">
        <v>-0.04445606694560658</v>
      </c>
      <c r="S392" s="88">
        <v>-0.834170854271357</v>
      </c>
      <c r="T392" s="59"/>
      <c r="U392" s="59"/>
      <c r="V392" s="91"/>
      <c r="W392" s="91"/>
      <c r="X392" s="91"/>
      <c r="Y392" s="91"/>
      <c r="Z392" s="91"/>
      <c r="AA392" s="96"/>
      <c r="AB392" s="97"/>
      <c r="AC392" s="91"/>
      <c r="AD392" s="91"/>
      <c r="AE392" s="91"/>
      <c r="AF392" s="91"/>
    </row>
    <row r="393">
      <c r="A393" s="59" t="s">
        <v>950</v>
      </c>
      <c r="B393" s="59" t="s">
        <v>951</v>
      </c>
      <c r="C393" s="70">
        <v>3.7026117434E10</v>
      </c>
      <c r="D393" s="86">
        <v>-0.21987200347109226</v>
      </c>
      <c r="E393" s="94" t="e">
        <v>#N/A</v>
      </c>
      <c r="F393" s="94" t="e">
        <v>#N/A</v>
      </c>
      <c r="G393" s="94" t="e">
        <v>#N/A</v>
      </c>
      <c r="H393" s="59" t="e">
        <v>#N/A</v>
      </c>
      <c r="I393" s="94" t="e">
        <v>#N/A</v>
      </c>
      <c r="J393" s="59" t="e">
        <v>#N/A</v>
      </c>
      <c r="K393" s="94" t="e">
        <v>#N/A</v>
      </c>
      <c r="L393" s="94" t="e">
        <v>#N/A</v>
      </c>
      <c r="M393" s="94">
        <v>112.46</v>
      </c>
      <c r="N393" s="59">
        <v>92.19</v>
      </c>
      <c r="O393" s="88" t="e">
        <v>#N/A</v>
      </c>
      <c r="P393" s="95" t="e">
        <v>#N/A</v>
      </c>
      <c r="Q393" s="88" t="e">
        <v>#N/A</v>
      </c>
      <c r="R393" s="88" t="e">
        <v>#N/A</v>
      </c>
      <c r="S393" s="88">
        <v>-0.21987200347109226</v>
      </c>
      <c r="T393" s="59"/>
      <c r="U393" s="59"/>
      <c r="V393" s="91"/>
      <c r="W393" s="91"/>
      <c r="X393" s="91"/>
      <c r="Y393" s="91"/>
      <c r="Z393" s="91"/>
      <c r="AA393" s="96"/>
      <c r="AB393" s="97"/>
      <c r="AC393" s="91"/>
      <c r="AD393" s="91"/>
      <c r="AE393" s="91"/>
      <c r="AF393" s="91"/>
    </row>
    <row r="394">
      <c r="A394" s="59" t="s">
        <v>253</v>
      </c>
      <c r="B394" s="59" t="s">
        <v>952</v>
      </c>
      <c r="C394" s="70">
        <v>1.09116031E12</v>
      </c>
      <c r="D394" s="86">
        <v>-0.21999910410724294</v>
      </c>
      <c r="E394" s="94" t="e">
        <v>#N/A</v>
      </c>
      <c r="F394" s="94" t="e">
        <v>#N/A</v>
      </c>
      <c r="G394" s="94" t="e">
        <v>#N/A</v>
      </c>
      <c r="H394" s="59" t="e">
        <v>#N/A</v>
      </c>
      <c r="I394" s="94" t="e">
        <v>#N/A</v>
      </c>
      <c r="J394" s="59" t="e">
        <v>#N/A</v>
      </c>
      <c r="K394" s="94">
        <v>30.62</v>
      </c>
      <c r="L394" s="94">
        <v>29.48</v>
      </c>
      <c r="M394" s="94">
        <v>75.98</v>
      </c>
      <c r="N394" s="59">
        <v>54.22</v>
      </c>
      <c r="O394" s="88" t="e">
        <v>#N/A</v>
      </c>
      <c r="P394" s="95" t="e">
        <v>#N/A</v>
      </c>
      <c r="Q394" s="88" t="e">
        <v>#N/A</v>
      </c>
      <c r="R394" s="88">
        <v>-0.038670284938941674</v>
      </c>
      <c r="S394" s="88">
        <v>-0.4013279232755442</v>
      </c>
      <c r="T394" s="59"/>
      <c r="U394" s="59"/>
      <c r="V394" s="91"/>
      <c r="W394" s="91"/>
      <c r="X394" s="91"/>
      <c r="Y394" s="91"/>
      <c r="Z394" s="91"/>
      <c r="AA394" s="96"/>
      <c r="AB394" s="97"/>
      <c r="AC394" s="91"/>
      <c r="AD394" s="91"/>
      <c r="AE394" s="91"/>
      <c r="AF394" s="91"/>
    </row>
    <row r="395">
      <c r="A395" s="59" t="s">
        <v>953</v>
      </c>
      <c r="B395" s="59" t="s">
        <v>954</v>
      </c>
      <c r="C395" s="70">
        <v>9.209883628E9</v>
      </c>
      <c r="D395" s="86">
        <v>-0.22021951394692799</v>
      </c>
      <c r="E395" s="94">
        <v>27.26</v>
      </c>
      <c r="F395" s="94">
        <v>30.47</v>
      </c>
      <c r="G395" s="94">
        <v>43.15</v>
      </c>
      <c r="H395" s="59">
        <v>40.29</v>
      </c>
      <c r="I395" s="94">
        <v>29.13</v>
      </c>
      <c r="J395" s="59">
        <v>26.26</v>
      </c>
      <c r="K395" s="94">
        <v>43.14</v>
      </c>
      <c r="L395" s="94">
        <v>40.85</v>
      </c>
      <c r="M395" s="94">
        <v>61.96</v>
      </c>
      <c r="N395" s="59">
        <v>31.45</v>
      </c>
      <c r="O395" s="88">
        <v>0.10534952412208722</v>
      </c>
      <c r="P395" s="95">
        <v>-0.07098535616778355</v>
      </c>
      <c r="Q395" s="88">
        <v>-0.10929169840060919</v>
      </c>
      <c r="R395" s="88">
        <v>-0.05605875152998774</v>
      </c>
      <c r="S395" s="88">
        <v>-0.9701112877583467</v>
      </c>
      <c r="T395" s="59"/>
      <c r="U395" s="59"/>
      <c r="V395" s="91"/>
      <c r="W395" s="91"/>
      <c r="X395" s="91"/>
      <c r="Y395" s="91"/>
      <c r="Z395" s="91"/>
      <c r="AA395" s="96"/>
      <c r="AB395" s="97"/>
      <c r="AC395" s="91"/>
      <c r="AD395" s="91"/>
      <c r="AE395" s="91"/>
      <c r="AF395" s="91"/>
    </row>
    <row r="396">
      <c r="A396" s="59" t="s">
        <v>955</v>
      </c>
      <c r="B396" s="59" t="s">
        <v>956</v>
      </c>
      <c r="C396" s="70">
        <v>4.099557078E10</v>
      </c>
      <c r="D396" s="86">
        <v>-0.22030399865353084</v>
      </c>
      <c r="E396" s="94">
        <v>43.33</v>
      </c>
      <c r="F396" s="94">
        <v>44.7</v>
      </c>
      <c r="G396" s="94">
        <v>46.13</v>
      </c>
      <c r="H396" s="59">
        <v>42.14</v>
      </c>
      <c r="I396" s="94">
        <v>42.8</v>
      </c>
      <c r="J396" s="59">
        <v>37.63</v>
      </c>
      <c r="K396" s="94">
        <v>76.62</v>
      </c>
      <c r="L396" s="94">
        <v>73.53</v>
      </c>
      <c r="M396" s="94">
        <v>103.03</v>
      </c>
      <c r="N396" s="59">
        <v>55.45</v>
      </c>
      <c r="O396" s="88">
        <v>0.03064876957494417</v>
      </c>
      <c r="P396" s="95">
        <v>-0.09468438538205985</v>
      </c>
      <c r="Q396" s="88">
        <v>-0.13739038001594459</v>
      </c>
      <c r="R396" s="88">
        <v>-0.04202366381068956</v>
      </c>
      <c r="S396" s="88">
        <v>-0.8580703336339044</v>
      </c>
      <c r="T396" s="59"/>
      <c r="U396" s="59"/>
      <c r="V396" s="91"/>
      <c r="W396" s="91"/>
      <c r="X396" s="91"/>
      <c r="Y396" s="91"/>
      <c r="Z396" s="91"/>
      <c r="AA396" s="96"/>
      <c r="AB396" s="97"/>
      <c r="AC396" s="91"/>
      <c r="AD396" s="91"/>
      <c r="AE396" s="91"/>
      <c r="AF396" s="91"/>
    </row>
    <row r="397">
      <c r="A397" s="59" t="s">
        <v>957</v>
      </c>
      <c r="B397" s="59" t="s">
        <v>958</v>
      </c>
      <c r="C397" s="70">
        <v>4.1144081883E10</v>
      </c>
      <c r="D397" s="86">
        <v>-0.2210850860149308</v>
      </c>
      <c r="E397" s="94">
        <v>28.23</v>
      </c>
      <c r="F397" s="94">
        <v>28.36</v>
      </c>
      <c r="G397" s="94">
        <v>25.72</v>
      </c>
      <c r="H397" s="59">
        <v>22.14</v>
      </c>
      <c r="I397" s="94">
        <v>20.86</v>
      </c>
      <c r="J397" s="59">
        <v>18.84</v>
      </c>
      <c r="K397" s="94">
        <v>29.6</v>
      </c>
      <c r="L397" s="94">
        <v>28.15</v>
      </c>
      <c r="M397" s="94">
        <v>51.88</v>
      </c>
      <c r="N397" s="59">
        <v>28.99</v>
      </c>
      <c r="O397" s="88">
        <v>0.004583921015514775</v>
      </c>
      <c r="P397" s="95">
        <v>-0.1616982836495031</v>
      </c>
      <c r="Q397" s="88">
        <v>-0.10721868365180465</v>
      </c>
      <c r="R397" s="88">
        <v>-0.051509769094138645</v>
      </c>
      <c r="S397" s="88">
        <v>-0.7895826146947225</v>
      </c>
      <c r="T397" s="59"/>
      <c r="U397" s="59"/>
      <c r="V397" s="91"/>
      <c r="W397" s="91"/>
      <c r="X397" s="91"/>
      <c r="Y397" s="91"/>
      <c r="Z397" s="91"/>
      <c r="AA397" s="96"/>
      <c r="AB397" s="97"/>
      <c r="AC397" s="91"/>
      <c r="AD397" s="91"/>
      <c r="AE397" s="91"/>
      <c r="AF397" s="91"/>
    </row>
    <row r="398">
      <c r="A398" s="59" t="s">
        <v>959</v>
      </c>
      <c r="B398" s="59" t="s">
        <v>960</v>
      </c>
      <c r="C398" s="70">
        <v>5.9465665028E10</v>
      </c>
      <c r="D398" s="86">
        <v>-0.22129354972775223</v>
      </c>
      <c r="E398" s="94">
        <v>30.03</v>
      </c>
      <c r="F398" s="94">
        <v>32.45</v>
      </c>
      <c r="G398" s="94">
        <v>34.17</v>
      </c>
      <c r="H398" s="59">
        <v>32.24</v>
      </c>
      <c r="I398" s="94">
        <v>23.31</v>
      </c>
      <c r="J398" s="59">
        <v>21.37</v>
      </c>
      <c r="K398" s="94">
        <v>37.6</v>
      </c>
      <c r="L398" s="94">
        <v>35.57</v>
      </c>
      <c r="M398" s="94">
        <v>54.01</v>
      </c>
      <c r="N398" s="59">
        <v>27.37</v>
      </c>
      <c r="O398" s="88">
        <v>0.07457627118644072</v>
      </c>
      <c r="P398" s="95">
        <v>-0.05986352357320098</v>
      </c>
      <c r="Q398" s="88">
        <v>-0.09078146934955535</v>
      </c>
      <c r="R398" s="88">
        <v>-0.057070565082935086</v>
      </c>
      <c r="S398" s="88">
        <v>-0.9733284618195103</v>
      </c>
      <c r="T398" s="59"/>
      <c r="U398" s="59"/>
      <c r="V398" s="91"/>
      <c r="W398" s="91"/>
      <c r="X398" s="91"/>
      <c r="Y398" s="91"/>
      <c r="Z398" s="91"/>
      <c r="AA398" s="96"/>
      <c r="AB398" s="97"/>
      <c r="AC398" s="91"/>
      <c r="AD398" s="91"/>
      <c r="AE398" s="91"/>
      <c r="AF398" s="91"/>
    </row>
    <row r="399">
      <c r="A399" s="59" t="s">
        <v>961</v>
      </c>
      <c r="B399" s="59" t="s">
        <v>962</v>
      </c>
      <c r="C399" s="70">
        <v>1.4000490338E10</v>
      </c>
      <c r="D399" s="86">
        <v>-0.22559197589502564</v>
      </c>
      <c r="E399" s="94" t="e">
        <v>#N/A</v>
      </c>
      <c r="F399" s="94" t="e">
        <v>#N/A</v>
      </c>
      <c r="G399" s="94" t="e">
        <v>#N/A</v>
      </c>
      <c r="H399" s="59" t="e">
        <v>#N/A</v>
      </c>
      <c r="I399" s="94">
        <v>30.01</v>
      </c>
      <c r="J399" s="59">
        <v>26.97</v>
      </c>
      <c r="K399" s="94">
        <v>151.93</v>
      </c>
      <c r="L399" s="94">
        <v>145.51</v>
      </c>
      <c r="M399" s="94">
        <v>320.57</v>
      </c>
      <c r="N399" s="59">
        <v>210.91</v>
      </c>
      <c r="O399" s="88" t="e">
        <v>#N/A</v>
      </c>
      <c r="P399" s="95" t="e">
        <v>#N/A</v>
      </c>
      <c r="Q399" s="88">
        <v>-0.11271783463107167</v>
      </c>
      <c r="R399" s="88">
        <v>-0.04412067899113474</v>
      </c>
      <c r="S399" s="88">
        <v>-0.5199374140628704</v>
      </c>
      <c r="T399" s="59"/>
      <c r="U399" s="59"/>
      <c r="V399" s="91"/>
      <c r="W399" s="91"/>
      <c r="X399" s="91"/>
      <c r="Y399" s="91"/>
      <c r="Z399" s="91"/>
      <c r="AA399" s="96"/>
      <c r="AB399" s="97"/>
      <c r="AC399" s="91"/>
      <c r="AD399" s="91"/>
      <c r="AE399" s="91"/>
      <c r="AF399" s="91"/>
    </row>
    <row r="400">
      <c r="A400" s="59" t="s">
        <v>963</v>
      </c>
      <c r="B400" s="59" t="s">
        <v>964</v>
      </c>
      <c r="C400" s="70">
        <v>4.0741283848E10</v>
      </c>
      <c r="D400" s="86">
        <v>-0.22926618388242376</v>
      </c>
      <c r="E400" s="94">
        <v>22.99</v>
      </c>
      <c r="F400" s="94">
        <v>19.5</v>
      </c>
      <c r="G400" s="94">
        <v>19.7</v>
      </c>
      <c r="H400" s="59">
        <v>16.6</v>
      </c>
      <c r="I400" s="94">
        <v>22.09</v>
      </c>
      <c r="J400" s="59">
        <v>19.63</v>
      </c>
      <c r="K400" s="94">
        <v>49.65</v>
      </c>
      <c r="L400" s="94">
        <v>46.74</v>
      </c>
      <c r="M400" s="94">
        <v>21.49</v>
      </c>
      <c r="N400" s="59">
        <v>13.49</v>
      </c>
      <c r="O400" s="88">
        <v>-0.1789743589743589</v>
      </c>
      <c r="P400" s="95">
        <v>-0.18674698795180708</v>
      </c>
      <c r="Q400" s="88">
        <v>-0.12531839021905253</v>
      </c>
      <c r="R400" s="88">
        <v>-0.062259306803594275</v>
      </c>
      <c r="S400" s="88">
        <v>-0.593031875463306</v>
      </c>
      <c r="T400" s="59"/>
      <c r="U400" s="59"/>
      <c r="V400" s="91"/>
      <c r="W400" s="91"/>
      <c r="X400" s="91"/>
      <c r="Y400" s="91"/>
      <c r="Z400" s="91"/>
      <c r="AA400" s="96"/>
      <c r="AB400" s="97"/>
      <c r="AC400" s="91"/>
      <c r="AD400" s="91"/>
      <c r="AE400" s="91"/>
      <c r="AF400" s="91"/>
    </row>
    <row r="401">
      <c r="A401" s="59" t="s">
        <v>965</v>
      </c>
      <c r="B401" s="59" t="s">
        <v>966</v>
      </c>
      <c r="C401" s="70">
        <v>1.4302933547E10</v>
      </c>
      <c r="D401" s="86">
        <v>-0.23494372483593234</v>
      </c>
      <c r="E401" s="94">
        <v>39.19</v>
      </c>
      <c r="F401" s="94">
        <v>36.27</v>
      </c>
      <c r="G401" s="94">
        <v>23.49</v>
      </c>
      <c r="H401" s="59">
        <v>20.38</v>
      </c>
      <c r="I401" s="94">
        <v>18.59</v>
      </c>
      <c r="J401" s="59">
        <v>16.38</v>
      </c>
      <c r="K401" s="94">
        <v>39.76</v>
      </c>
      <c r="L401" s="94">
        <v>38.39</v>
      </c>
      <c r="M401" s="94">
        <v>47.64</v>
      </c>
      <c r="N401" s="59">
        <v>26.9</v>
      </c>
      <c r="O401" s="88">
        <v>-0.08050730631375777</v>
      </c>
      <c r="P401" s="95">
        <v>-0.1526005888125613</v>
      </c>
      <c r="Q401" s="88">
        <v>-0.13492063492063497</v>
      </c>
      <c r="R401" s="88">
        <v>-0.03568637666058863</v>
      </c>
      <c r="S401" s="88">
        <v>-0.771003717472119</v>
      </c>
      <c r="T401" s="59"/>
      <c r="U401" s="59"/>
      <c r="V401" s="91"/>
      <c r="W401" s="91"/>
      <c r="X401" s="91"/>
      <c r="Y401" s="91"/>
      <c r="Z401" s="91"/>
      <c r="AA401" s="96"/>
      <c r="AB401" s="97"/>
      <c r="AC401" s="91"/>
      <c r="AD401" s="91"/>
      <c r="AE401" s="91"/>
      <c r="AF401" s="91"/>
    </row>
    <row r="402">
      <c r="A402" s="59" t="s">
        <v>967</v>
      </c>
      <c r="B402" s="59" t="s">
        <v>968</v>
      </c>
      <c r="C402" s="70">
        <v>3.8859657291E10</v>
      </c>
      <c r="D402" s="86">
        <v>-0.23511718608893226</v>
      </c>
      <c r="E402" s="94" t="e">
        <v>#N/A</v>
      </c>
      <c r="F402" s="94" t="e">
        <v>#N/A</v>
      </c>
      <c r="G402" s="94" t="e">
        <v>#N/A</v>
      </c>
      <c r="H402" s="59" t="e">
        <v>#N/A</v>
      </c>
      <c r="I402" s="94" t="e">
        <v>#N/A</v>
      </c>
      <c r="J402" s="59" t="e">
        <v>#N/A</v>
      </c>
      <c r="K402" s="94">
        <v>18.49</v>
      </c>
      <c r="L402" s="94">
        <v>17.91</v>
      </c>
      <c r="M402" s="94">
        <v>56.45</v>
      </c>
      <c r="N402" s="59">
        <v>39.26</v>
      </c>
      <c r="O402" s="88" t="e">
        <v>#N/A</v>
      </c>
      <c r="P402" s="95" t="e">
        <v>#N/A</v>
      </c>
      <c r="Q402" s="88" t="e">
        <v>#N/A</v>
      </c>
      <c r="R402" s="88">
        <v>-0.03238414293690666</v>
      </c>
      <c r="S402" s="88">
        <v>-0.43785022924095784</v>
      </c>
      <c r="T402" s="59"/>
      <c r="U402" s="59"/>
      <c r="V402" s="91"/>
      <c r="W402" s="91"/>
      <c r="X402" s="91"/>
      <c r="Y402" s="91"/>
      <c r="Z402" s="91"/>
      <c r="AA402" s="96"/>
      <c r="AB402" s="97"/>
      <c r="AC402" s="91"/>
      <c r="AD402" s="91"/>
      <c r="AE402" s="91"/>
      <c r="AF402" s="91"/>
    </row>
    <row r="403">
      <c r="A403" s="59" t="s">
        <v>969</v>
      </c>
      <c r="B403" s="59" t="s">
        <v>970</v>
      </c>
      <c r="C403" s="70">
        <v>2.3217209512E10</v>
      </c>
      <c r="D403" s="86">
        <v>-0.23619887277988635</v>
      </c>
      <c r="E403" s="94">
        <v>12.28</v>
      </c>
      <c r="F403" s="94">
        <v>13.22</v>
      </c>
      <c r="G403" s="94">
        <v>20.36</v>
      </c>
      <c r="H403" s="59">
        <v>17.2</v>
      </c>
      <c r="I403" s="94">
        <v>15.17</v>
      </c>
      <c r="J403" s="59">
        <v>13.9</v>
      </c>
      <c r="K403" s="94">
        <v>52.56</v>
      </c>
      <c r="L403" s="94">
        <v>49.24</v>
      </c>
      <c r="M403" s="94">
        <v>70.12</v>
      </c>
      <c r="N403" s="59">
        <v>36.72</v>
      </c>
      <c r="O403" s="88">
        <v>0.07110438729198194</v>
      </c>
      <c r="P403" s="95">
        <v>-0.18372093023255814</v>
      </c>
      <c r="Q403" s="88">
        <v>-0.09136690647482011</v>
      </c>
      <c r="R403" s="88">
        <v>-0.06742485783915517</v>
      </c>
      <c r="S403" s="88">
        <v>-0.9095860566448803</v>
      </c>
      <c r="T403" s="59"/>
      <c r="U403" s="59"/>
      <c r="V403" s="91"/>
      <c r="W403" s="91"/>
      <c r="X403" s="91"/>
      <c r="Y403" s="91"/>
      <c r="Z403" s="91"/>
      <c r="AA403" s="96"/>
      <c r="AB403" s="97"/>
      <c r="AC403" s="91"/>
      <c r="AD403" s="91"/>
      <c r="AE403" s="91"/>
      <c r="AF403" s="91"/>
    </row>
    <row r="404">
      <c r="A404" s="59" t="s">
        <v>971</v>
      </c>
      <c r="B404" s="59" t="s">
        <v>972</v>
      </c>
      <c r="C404" s="70">
        <v>1.4832202764E10</v>
      </c>
      <c r="D404" s="86">
        <v>-0.23648468126938726</v>
      </c>
      <c r="E404" s="94">
        <v>15.25</v>
      </c>
      <c r="F404" s="94">
        <v>14.51</v>
      </c>
      <c r="G404" s="94">
        <v>16.15</v>
      </c>
      <c r="H404" s="59">
        <v>14.24</v>
      </c>
      <c r="I404" s="94">
        <v>18.57</v>
      </c>
      <c r="J404" s="59">
        <v>17.33</v>
      </c>
      <c r="K404" s="94">
        <v>18.78</v>
      </c>
      <c r="L404" s="94">
        <v>18.02</v>
      </c>
      <c r="M404" s="94">
        <v>45.62</v>
      </c>
      <c r="N404" s="59">
        <v>24.22</v>
      </c>
      <c r="O404" s="88">
        <v>-0.050999310820124065</v>
      </c>
      <c r="P404" s="95">
        <v>-0.13412921348314594</v>
      </c>
      <c r="Q404" s="88">
        <v>-0.07155222158107341</v>
      </c>
      <c r="R404" s="88">
        <v>-0.04217536071032195</v>
      </c>
      <c r="S404" s="88">
        <v>-0.8835672997522709</v>
      </c>
      <c r="T404" s="59"/>
      <c r="U404" s="59"/>
      <c r="V404" s="91"/>
      <c r="W404" s="91"/>
      <c r="X404" s="91"/>
      <c r="Y404" s="91"/>
      <c r="Z404" s="91"/>
      <c r="AA404" s="96"/>
      <c r="AB404" s="97"/>
      <c r="AC404" s="91"/>
      <c r="AD404" s="91"/>
      <c r="AE404" s="91"/>
      <c r="AF404" s="91"/>
    </row>
    <row r="405">
      <c r="A405" s="59" t="s">
        <v>973</v>
      </c>
      <c r="B405" s="59" t="s">
        <v>974</v>
      </c>
      <c r="C405" s="70">
        <v>5.613608004E9</v>
      </c>
      <c r="D405" s="86">
        <v>-0.23758378951361422</v>
      </c>
      <c r="E405" s="94">
        <v>5.42</v>
      </c>
      <c r="F405" s="94">
        <v>5.55</v>
      </c>
      <c r="G405" s="94">
        <v>11.3</v>
      </c>
      <c r="H405" s="59">
        <v>10.26</v>
      </c>
      <c r="I405" s="94">
        <v>13.77</v>
      </c>
      <c r="J405" s="59">
        <v>13.05</v>
      </c>
      <c r="K405" s="94">
        <v>76.14</v>
      </c>
      <c r="L405" s="94">
        <v>73.1</v>
      </c>
      <c r="M405" s="94">
        <v>65.49</v>
      </c>
      <c r="N405" s="59">
        <v>32.53</v>
      </c>
      <c r="O405" s="88">
        <v>0.023423423423423406</v>
      </c>
      <c r="P405" s="95">
        <v>-0.10136452241715409</v>
      </c>
      <c r="Q405" s="88">
        <v>-0.05517241379310336</v>
      </c>
      <c r="R405" s="88">
        <v>-0.04158686730506165</v>
      </c>
      <c r="S405" s="88">
        <v>-1.0132185674761756</v>
      </c>
      <c r="T405" s="59"/>
      <c r="U405" s="59"/>
      <c r="V405" s="91"/>
      <c r="W405" s="91"/>
      <c r="X405" s="91"/>
      <c r="Y405" s="91"/>
      <c r="Z405" s="91"/>
      <c r="AA405" s="96"/>
      <c r="AB405" s="97"/>
      <c r="AC405" s="91"/>
      <c r="AD405" s="91"/>
      <c r="AE405" s="91"/>
      <c r="AF405" s="91"/>
    </row>
    <row r="406">
      <c r="A406" s="59" t="s">
        <v>975</v>
      </c>
      <c r="B406" s="59" t="s">
        <v>976</v>
      </c>
      <c r="C406" s="70">
        <v>3.1213129221E10</v>
      </c>
      <c r="D406" s="86">
        <v>-0.2377816389468237</v>
      </c>
      <c r="E406" s="94">
        <v>35.5</v>
      </c>
      <c r="F406" s="94">
        <v>34.0</v>
      </c>
      <c r="G406" s="94">
        <v>56.59</v>
      </c>
      <c r="H406" s="59">
        <v>50.85</v>
      </c>
      <c r="I406" s="94">
        <v>81.85</v>
      </c>
      <c r="J406" s="59">
        <v>73.83</v>
      </c>
      <c r="K406" s="94">
        <v>227.75</v>
      </c>
      <c r="L406" s="94">
        <v>221.56</v>
      </c>
      <c r="M406" s="94">
        <v>641.46</v>
      </c>
      <c r="N406" s="59">
        <v>338.44</v>
      </c>
      <c r="O406" s="88">
        <v>-0.04411764705882353</v>
      </c>
      <c r="P406" s="95">
        <v>-0.11288102261553593</v>
      </c>
      <c r="Q406" s="88">
        <v>-0.10862792902614109</v>
      </c>
      <c r="R406" s="88">
        <v>-0.027938256002888597</v>
      </c>
      <c r="S406" s="88">
        <v>-0.8953433400307294</v>
      </c>
      <c r="T406" s="59"/>
      <c r="U406" s="59"/>
      <c r="V406" s="91"/>
      <c r="W406" s="91"/>
      <c r="X406" s="91"/>
      <c r="Y406" s="91"/>
      <c r="Z406" s="91"/>
      <c r="AA406" s="96"/>
      <c r="AB406" s="97"/>
      <c r="AC406" s="91"/>
      <c r="AD406" s="91"/>
      <c r="AE406" s="91"/>
      <c r="AF406" s="91"/>
    </row>
    <row r="407">
      <c r="A407" s="59" t="s">
        <v>977</v>
      </c>
      <c r="B407" s="59" t="s">
        <v>978</v>
      </c>
      <c r="C407" s="70">
        <v>2.3456615024E10</v>
      </c>
      <c r="D407" s="86">
        <v>-0.23830972216549134</v>
      </c>
      <c r="E407" s="94">
        <v>61.75</v>
      </c>
      <c r="F407" s="94">
        <v>57.09</v>
      </c>
      <c r="G407" s="94">
        <v>28.99</v>
      </c>
      <c r="H407" s="59">
        <v>25.3</v>
      </c>
      <c r="I407" s="94">
        <v>20.57</v>
      </c>
      <c r="J407" s="59">
        <v>17.64</v>
      </c>
      <c r="K407" s="94">
        <v>46.74</v>
      </c>
      <c r="L407" s="94">
        <v>44.48</v>
      </c>
      <c r="M407" s="94">
        <v>58.53</v>
      </c>
      <c r="N407" s="59">
        <v>33.5</v>
      </c>
      <c r="O407" s="88">
        <v>-0.08162550359082145</v>
      </c>
      <c r="P407" s="95">
        <v>-0.1458498023715414</v>
      </c>
      <c r="Q407" s="88">
        <v>-0.16609977324263037</v>
      </c>
      <c r="R407" s="88">
        <v>-0.05080935251798573</v>
      </c>
      <c r="S407" s="88">
        <v>-0.7471641791044776</v>
      </c>
      <c r="T407" s="59"/>
      <c r="U407" s="59"/>
      <c r="V407" s="91"/>
      <c r="W407" s="91"/>
      <c r="X407" s="91"/>
      <c r="Y407" s="91"/>
      <c r="Z407" s="91"/>
      <c r="AA407" s="96"/>
      <c r="AB407" s="97"/>
      <c r="AC407" s="91"/>
      <c r="AD407" s="91"/>
      <c r="AE407" s="91"/>
      <c r="AF407" s="91"/>
    </row>
    <row r="408">
      <c r="A408" s="59" t="s">
        <v>979</v>
      </c>
      <c r="B408" s="59" t="s">
        <v>980</v>
      </c>
      <c r="C408" s="70">
        <v>1.133086139E10</v>
      </c>
      <c r="D408" s="86">
        <v>-0.2389415188505107</v>
      </c>
      <c r="E408" s="94">
        <v>47.45</v>
      </c>
      <c r="F408" s="94">
        <v>46.6</v>
      </c>
      <c r="G408" s="94">
        <v>63.31</v>
      </c>
      <c r="H408" s="59">
        <v>56.12</v>
      </c>
      <c r="I408" s="94">
        <v>61.59</v>
      </c>
      <c r="J408" s="59">
        <v>56.09</v>
      </c>
      <c r="K408" s="94">
        <v>101.15</v>
      </c>
      <c r="L408" s="94">
        <v>96.64</v>
      </c>
      <c r="M408" s="94">
        <v>164.93</v>
      </c>
      <c r="N408" s="59">
        <v>86.64</v>
      </c>
      <c r="O408" s="88">
        <v>-0.018240343347639514</v>
      </c>
      <c r="P408" s="95">
        <v>-0.1281183178902353</v>
      </c>
      <c r="Q408" s="88">
        <v>-0.09805669459796755</v>
      </c>
      <c r="R408" s="88">
        <v>-0.04666804635761595</v>
      </c>
      <c r="S408" s="88">
        <v>-0.9036241920590952</v>
      </c>
      <c r="T408" s="59"/>
      <c r="U408" s="59"/>
      <c r="V408" s="91"/>
      <c r="W408" s="91"/>
      <c r="X408" s="91"/>
      <c r="Y408" s="91"/>
      <c r="Z408" s="91"/>
      <c r="AA408" s="96"/>
      <c r="AB408" s="97"/>
      <c r="AC408" s="91"/>
      <c r="AD408" s="91"/>
      <c r="AE408" s="91"/>
      <c r="AF408" s="91"/>
    </row>
    <row r="409">
      <c r="A409" s="59" t="s">
        <v>981</v>
      </c>
      <c r="B409" s="59" t="s">
        <v>982</v>
      </c>
      <c r="C409" s="70">
        <v>2.2012641427E10</v>
      </c>
      <c r="D409" s="86">
        <v>-0.2415157112196428</v>
      </c>
      <c r="E409" s="94">
        <v>44.6</v>
      </c>
      <c r="F409" s="94">
        <v>43.11</v>
      </c>
      <c r="G409" s="94">
        <v>30.26</v>
      </c>
      <c r="H409" s="59">
        <v>27.67</v>
      </c>
      <c r="I409" s="94">
        <v>25.33</v>
      </c>
      <c r="J409" s="59">
        <v>22.43</v>
      </c>
      <c r="K409" s="94">
        <v>53.93</v>
      </c>
      <c r="L409" s="94">
        <v>50.65</v>
      </c>
      <c r="M409" s="94">
        <v>55.26</v>
      </c>
      <c r="N409" s="59">
        <v>29.31</v>
      </c>
      <c r="O409" s="88">
        <v>-0.03456274646253774</v>
      </c>
      <c r="P409" s="95">
        <v>-0.0936031803397181</v>
      </c>
      <c r="Q409" s="88">
        <v>-0.12929112795363346</v>
      </c>
      <c r="R409" s="88">
        <v>-0.06475814412635737</v>
      </c>
      <c r="S409" s="88">
        <v>-0.8853633572159673</v>
      </c>
      <c r="T409" s="59"/>
      <c r="U409" s="59"/>
      <c r="V409" s="91"/>
      <c r="W409" s="91"/>
      <c r="X409" s="91"/>
      <c r="Y409" s="91"/>
      <c r="Z409" s="91"/>
      <c r="AA409" s="96"/>
      <c r="AB409" s="97"/>
      <c r="AC409" s="91"/>
      <c r="AD409" s="91"/>
      <c r="AE409" s="91"/>
      <c r="AF409" s="91"/>
    </row>
    <row r="410">
      <c r="A410" s="59" t="s">
        <v>983</v>
      </c>
      <c r="B410" s="59" t="s">
        <v>984</v>
      </c>
      <c r="C410" s="70">
        <v>6.0128446168E10</v>
      </c>
      <c r="D410" s="86">
        <v>-0.24202176409927798</v>
      </c>
      <c r="E410" s="94">
        <v>47.7</v>
      </c>
      <c r="F410" s="94">
        <v>47.86</v>
      </c>
      <c r="G410" s="94">
        <v>40.78</v>
      </c>
      <c r="H410" s="59">
        <v>36.28</v>
      </c>
      <c r="I410" s="94">
        <v>32.39</v>
      </c>
      <c r="J410" s="59">
        <v>29.18</v>
      </c>
      <c r="K410" s="94">
        <v>44.16</v>
      </c>
      <c r="L410" s="94">
        <v>42.24</v>
      </c>
      <c r="M410" s="94">
        <v>51.83</v>
      </c>
      <c r="N410" s="59">
        <v>26.8</v>
      </c>
      <c r="O410" s="88">
        <v>0.0033430839949853026</v>
      </c>
      <c r="P410" s="95">
        <v>-0.12403528114663726</v>
      </c>
      <c r="Q410" s="88">
        <v>-0.11000685400959564</v>
      </c>
      <c r="R410" s="88">
        <v>-0.045454545454545324</v>
      </c>
      <c r="S410" s="88">
        <v>-0.9339552238805969</v>
      </c>
      <c r="T410" s="59"/>
      <c r="U410" s="59"/>
      <c r="V410" s="91"/>
      <c r="W410" s="91"/>
      <c r="X410" s="91"/>
      <c r="Y410" s="91"/>
      <c r="Z410" s="91"/>
      <c r="AA410" s="96"/>
      <c r="AB410" s="97"/>
      <c r="AC410" s="91"/>
      <c r="AD410" s="91"/>
      <c r="AE410" s="91"/>
      <c r="AF410" s="91"/>
    </row>
    <row r="411">
      <c r="A411" s="59" t="s">
        <v>985</v>
      </c>
      <c r="B411" s="59" t="s">
        <v>986</v>
      </c>
      <c r="C411" s="70">
        <v>2.6884642649E10</v>
      </c>
      <c r="D411" s="86">
        <v>-0.24374658693335904</v>
      </c>
      <c r="E411" s="94">
        <v>12.05</v>
      </c>
      <c r="F411" s="94">
        <v>12.55</v>
      </c>
      <c r="G411" s="94">
        <v>14.97</v>
      </c>
      <c r="H411" s="59">
        <v>13.06</v>
      </c>
      <c r="I411" s="94">
        <v>10.42</v>
      </c>
      <c r="J411" s="59">
        <v>9.56</v>
      </c>
      <c r="K411" s="94">
        <v>31.01</v>
      </c>
      <c r="L411" s="94">
        <v>29.53</v>
      </c>
      <c r="M411" s="94">
        <v>61.83</v>
      </c>
      <c r="N411" s="59">
        <v>31.35</v>
      </c>
      <c r="O411" s="88">
        <v>0.0398406374501992</v>
      </c>
      <c r="P411" s="95">
        <v>-0.14624808575803983</v>
      </c>
      <c r="Q411" s="88">
        <v>-0.08995815899581583</v>
      </c>
      <c r="R411" s="88">
        <v>-0.05011852353538775</v>
      </c>
      <c r="S411" s="88">
        <v>-0.972248803827751</v>
      </c>
      <c r="T411" s="59"/>
      <c r="U411" s="59"/>
      <c r="V411" s="91"/>
      <c r="W411" s="91"/>
      <c r="X411" s="91"/>
      <c r="Y411" s="91"/>
      <c r="Z411" s="91"/>
      <c r="AA411" s="96"/>
      <c r="AB411" s="97"/>
      <c r="AC411" s="91"/>
      <c r="AD411" s="91"/>
      <c r="AE411" s="91"/>
      <c r="AF411" s="91"/>
    </row>
    <row r="412">
      <c r="A412" s="59" t="s">
        <v>987</v>
      </c>
      <c r="B412" s="59" t="s">
        <v>988</v>
      </c>
      <c r="C412" s="70">
        <v>8.92817977E9</v>
      </c>
      <c r="D412" s="86">
        <v>-0.2454174018285481</v>
      </c>
      <c r="E412" s="94" t="e">
        <v>#N/A</v>
      </c>
      <c r="F412" s="94" t="e">
        <v>#N/A</v>
      </c>
      <c r="G412" s="94" t="e">
        <v>#N/A</v>
      </c>
      <c r="H412" s="59" t="e">
        <v>#N/A</v>
      </c>
      <c r="I412" s="94" t="e">
        <v>#N/A</v>
      </c>
      <c r="J412" s="59" t="e">
        <v>#N/A</v>
      </c>
      <c r="K412" s="94">
        <v>49.99</v>
      </c>
      <c r="L412" s="94">
        <v>48.5</v>
      </c>
      <c r="M412" s="94">
        <v>103.23</v>
      </c>
      <c r="N412" s="59">
        <v>70.7</v>
      </c>
      <c r="O412" s="88" t="e">
        <v>#N/A</v>
      </c>
      <c r="P412" s="95" t="e">
        <v>#N/A</v>
      </c>
      <c r="Q412" s="88" t="e">
        <v>#N/A</v>
      </c>
      <c r="R412" s="88">
        <v>-0.030721649484536123</v>
      </c>
      <c r="S412" s="88">
        <v>-0.4601131541725601</v>
      </c>
      <c r="T412" s="59"/>
      <c r="U412" s="59"/>
      <c r="V412" s="91"/>
      <c r="W412" s="91"/>
      <c r="X412" s="91"/>
      <c r="Y412" s="91"/>
      <c r="Z412" s="91"/>
      <c r="AA412" s="96"/>
      <c r="AB412" s="97"/>
      <c r="AC412" s="91"/>
      <c r="AD412" s="91"/>
      <c r="AE412" s="91"/>
      <c r="AF412" s="91"/>
    </row>
    <row r="413">
      <c r="A413" s="59" t="s">
        <v>989</v>
      </c>
      <c r="B413" s="59" t="s">
        <v>990</v>
      </c>
      <c r="C413" s="70">
        <v>9.067225015E9</v>
      </c>
      <c r="D413" s="86">
        <v>-0.24638288180149628</v>
      </c>
      <c r="E413" s="94">
        <v>13.95</v>
      </c>
      <c r="F413" s="94">
        <v>15.81</v>
      </c>
      <c r="G413" s="94">
        <v>13.39</v>
      </c>
      <c r="H413" s="59">
        <v>11.18</v>
      </c>
      <c r="I413" s="94">
        <v>5.28</v>
      </c>
      <c r="J413" s="59">
        <v>4.6</v>
      </c>
      <c r="K413" s="94">
        <v>20.93</v>
      </c>
      <c r="L413" s="94">
        <v>19.62</v>
      </c>
      <c r="M413" s="94">
        <v>46.65</v>
      </c>
      <c r="N413" s="59">
        <v>24.08</v>
      </c>
      <c r="O413" s="88">
        <v>0.11764705882352948</v>
      </c>
      <c r="P413" s="95">
        <v>-0.19767441860465124</v>
      </c>
      <c r="Q413" s="88">
        <v>-0.14782608695652188</v>
      </c>
      <c r="R413" s="88">
        <v>-0.0667686034658511</v>
      </c>
      <c r="S413" s="88">
        <v>-0.9372923588039868</v>
      </c>
      <c r="T413" s="59"/>
      <c r="U413" s="59"/>
      <c r="V413" s="91"/>
      <c r="W413" s="91"/>
      <c r="X413" s="91"/>
      <c r="Y413" s="91"/>
      <c r="Z413" s="91"/>
      <c r="AA413" s="96"/>
      <c r="AB413" s="97"/>
      <c r="AC413" s="91"/>
      <c r="AD413" s="91"/>
      <c r="AE413" s="91"/>
      <c r="AF413" s="91"/>
    </row>
    <row r="414">
      <c r="A414" s="59" t="s">
        <v>254</v>
      </c>
      <c r="B414" s="59" t="s">
        <v>991</v>
      </c>
      <c r="C414" s="70">
        <v>3.9875577821E10</v>
      </c>
      <c r="D414" s="86">
        <v>-0.2478811788435676</v>
      </c>
      <c r="E414" s="94" t="e">
        <v>#N/A</v>
      </c>
      <c r="F414" s="94" t="e">
        <v>#N/A</v>
      </c>
      <c r="G414" s="94" t="e">
        <v>#N/A</v>
      </c>
      <c r="H414" s="59" t="e">
        <v>#N/A</v>
      </c>
      <c r="I414" s="94">
        <v>14.92</v>
      </c>
      <c r="J414" s="59">
        <v>14.03</v>
      </c>
      <c r="K414" s="94">
        <v>80.33</v>
      </c>
      <c r="L414" s="94">
        <v>79.26</v>
      </c>
      <c r="M414" s="94">
        <v>133.87</v>
      </c>
      <c r="N414" s="59">
        <v>80.32</v>
      </c>
      <c r="O414" s="88" t="e">
        <v>#N/A</v>
      </c>
      <c r="P414" s="95" t="e">
        <v>#N/A</v>
      </c>
      <c r="Q414" s="88">
        <v>-0.0634354953670706</v>
      </c>
      <c r="R414" s="88">
        <v>-0.013499873832954746</v>
      </c>
      <c r="S414" s="88">
        <v>-0.6667081673306775</v>
      </c>
      <c r="T414" s="59"/>
      <c r="U414" s="59"/>
      <c r="V414" s="91"/>
      <c r="W414" s="91"/>
      <c r="X414" s="91"/>
      <c r="Y414" s="91"/>
      <c r="Z414" s="91"/>
      <c r="AA414" s="96"/>
      <c r="AB414" s="97"/>
      <c r="AC414" s="91"/>
      <c r="AD414" s="91"/>
      <c r="AE414" s="91"/>
      <c r="AF414" s="91"/>
    </row>
    <row r="415">
      <c r="A415" s="59" t="s">
        <v>992</v>
      </c>
      <c r="B415" s="59" t="s">
        <v>993</v>
      </c>
      <c r="C415" s="70">
        <v>9.898286889E9</v>
      </c>
      <c r="D415" s="86">
        <v>-0.2483490337725826</v>
      </c>
      <c r="E415" s="94" t="e">
        <v>#N/A</v>
      </c>
      <c r="F415" s="94" t="e">
        <v>#N/A</v>
      </c>
      <c r="G415" s="94" t="e">
        <v>#N/A</v>
      </c>
      <c r="H415" s="59" t="e">
        <v>#N/A</v>
      </c>
      <c r="I415" s="94" t="e">
        <v>#N/A</v>
      </c>
      <c r="J415" s="59" t="e">
        <v>#N/A</v>
      </c>
      <c r="K415" s="94">
        <v>13.91</v>
      </c>
      <c r="L415" s="94">
        <v>13.04</v>
      </c>
      <c r="M415" s="94">
        <v>14.5</v>
      </c>
      <c r="N415" s="59">
        <v>10.14</v>
      </c>
      <c r="O415" s="88" t="e">
        <v>#N/A</v>
      </c>
      <c r="P415" s="95" t="e">
        <v>#N/A</v>
      </c>
      <c r="Q415" s="88" t="e">
        <v>#N/A</v>
      </c>
      <c r="R415" s="88">
        <v>-0.06671779141104303</v>
      </c>
      <c r="S415" s="88">
        <v>-0.4299802761341222</v>
      </c>
      <c r="T415" s="59"/>
      <c r="U415" s="59"/>
      <c r="V415" s="91"/>
      <c r="W415" s="91"/>
      <c r="X415" s="91"/>
      <c r="Y415" s="91"/>
      <c r="Z415" s="91"/>
      <c r="AA415" s="96"/>
      <c r="AB415" s="97"/>
      <c r="AC415" s="91"/>
      <c r="AD415" s="91"/>
      <c r="AE415" s="91"/>
      <c r="AF415" s="91"/>
    </row>
    <row r="416">
      <c r="A416" s="59" t="s">
        <v>994</v>
      </c>
      <c r="B416" s="59" t="s">
        <v>995</v>
      </c>
      <c r="C416" s="70">
        <v>1.6831099185E10</v>
      </c>
      <c r="D416" s="86">
        <v>-0.24839189794184957</v>
      </c>
      <c r="E416" s="94">
        <v>11.92</v>
      </c>
      <c r="F416" s="94">
        <v>12.39</v>
      </c>
      <c r="G416" s="94">
        <v>8.99</v>
      </c>
      <c r="H416" s="59">
        <v>7.88</v>
      </c>
      <c r="I416" s="94">
        <v>7.25</v>
      </c>
      <c r="J416" s="59">
        <v>6.5</v>
      </c>
      <c r="K416" s="94">
        <v>13.79</v>
      </c>
      <c r="L416" s="94">
        <v>12.94</v>
      </c>
      <c r="M416" s="94">
        <v>19.56</v>
      </c>
      <c r="N416" s="59">
        <v>9.99</v>
      </c>
      <c r="O416" s="88">
        <v>0.03793381759483459</v>
      </c>
      <c r="P416" s="95">
        <v>-0.14086294416243658</v>
      </c>
      <c r="Q416" s="88">
        <v>-0.11538461538461539</v>
      </c>
      <c r="R416" s="88">
        <v>-0.06568778979907262</v>
      </c>
      <c r="S416" s="88">
        <v>-0.9579579579579578</v>
      </c>
      <c r="T416" s="59"/>
      <c r="U416" s="59"/>
      <c r="V416" s="91"/>
      <c r="W416" s="91"/>
      <c r="X416" s="91"/>
      <c r="Y416" s="91"/>
      <c r="Z416" s="91"/>
      <c r="AA416" s="96"/>
      <c r="AB416" s="97"/>
      <c r="AC416" s="91"/>
      <c r="AD416" s="91"/>
      <c r="AE416" s="91"/>
      <c r="AF416" s="91"/>
    </row>
    <row r="417">
      <c r="A417" s="59" t="s">
        <v>996</v>
      </c>
      <c r="B417" s="59" t="s">
        <v>997</v>
      </c>
      <c r="C417" s="70">
        <v>2.0837038048E10</v>
      </c>
      <c r="D417" s="86">
        <v>-0.24932462641762515</v>
      </c>
      <c r="E417" s="94">
        <v>10.5</v>
      </c>
      <c r="F417" s="94">
        <v>11.12</v>
      </c>
      <c r="G417" s="94">
        <v>8.84</v>
      </c>
      <c r="H417" s="59">
        <v>7.99</v>
      </c>
      <c r="I417" s="94">
        <v>5.1</v>
      </c>
      <c r="J417" s="59">
        <v>4.41</v>
      </c>
      <c r="K417" s="94">
        <v>9.67</v>
      </c>
      <c r="L417" s="94">
        <v>8.98</v>
      </c>
      <c r="M417" s="94">
        <v>16.31</v>
      </c>
      <c r="N417" s="59">
        <v>8.31</v>
      </c>
      <c r="O417" s="88">
        <v>0.05575539568345317</v>
      </c>
      <c r="P417" s="95">
        <v>-0.10638297872340421</v>
      </c>
      <c r="Q417" s="88">
        <v>-0.15646258503401347</v>
      </c>
      <c r="R417" s="88">
        <v>-0.07683741648106898</v>
      </c>
      <c r="S417" s="88">
        <v>-0.9626955475330924</v>
      </c>
      <c r="T417" s="59"/>
      <c r="U417" s="59"/>
      <c r="V417" s="91"/>
      <c r="W417" s="91"/>
      <c r="X417" s="91"/>
      <c r="Y417" s="91"/>
      <c r="Z417" s="91"/>
      <c r="AA417" s="96"/>
      <c r="AB417" s="97"/>
      <c r="AC417" s="91"/>
      <c r="AD417" s="91"/>
      <c r="AE417" s="91"/>
      <c r="AF417" s="91"/>
    </row>
    <row r="418">
      <c r="A418" s="59" t="s">
        <v>998</v>
      </c>
      <c r="B418" s="59" t="s">
        <v>999</v>
      </c>
      <c r="C418" s="70">
        <v>2.90412047052E11</v>
      </c>
      <c r="D418" s="86">
        <v>-0.2506635611262353</v>
      </c>
      <c r="E418" s="94">
        <v>30.6</v>
      </c>
      <c r="F418" s="94">
        <v>26.55</v>
      </c>
      <c r="G418" s="94">
        <v>18.06</v>
      </c>
      <c r="H418" s="59">
        <v>16.18</v>
      </c>
      <c r="I418" s="94">
        <v>8.17</v>
      </c>
      <c r="J418" s="59">
        <v>6.51</v>
      </c>
      <c r="K418" s="94">
        <v>16.1</v>
      </c>
      <c r="L418" s="94">
        <v>15.29</v>
      </c>
      <c r="M418" s="94">
        <v>34.27</v>
      </c>
      <c r="N418" s="59">
        <v>20.44</v>
      </c>
      <c r="O418" s="88">
        <v>-0.15254237288135594</v>
      </c>
      <c r="P418" s="95">
        <v>-0.11619283065512973</v>
      </c>
      <c r="Q418" s="88">
        <v>-0.2549923195084486</v>
      </c>
      <c r="R418" s="88">
        <v>-0.05297580117724018</v>
      </c>
      <c r="S418" s="88">
        <v>-0.676614481409002</v>
      </c>
      <c r="T418" s="59"/>
      <c r="U418" s="59"/>
      <c r="V418" s="91"/>
      <c r="W418" s="91"/>
      <c r="X418" s="91"/>
      <c r="Y418" s="91"/>
      <c r="Z418" s="91"/>
      <c r="AA418" s="96"/>
      <c r="AB418" s="97"/>
      <c r="AC418" s="91"/>
      <c r="AD418" s="91"/>
      <c r="AE418" s="91"/>
      <c r="AF418" s="91"/>
    </row>
    <row r="419">
      <c r="A419" s="59" t="s">
        <v>1000</v>
      </c>
      <c r="B419" s="59" t="s">
        <v>1001</v>
      </c>
      <c r="C419" s="70">
        <v>2.9527384286E10</v>
      </c>
      <c r="D419" s="86">
        <v>-0.25067820732770707</v>
      </c>
      <c r="E419" s="94">
        <v>42.1</v>
      </c>
      <c r="F419" s="94">
        <v>35.33</v>
      </c>
      <c r="G419" s="94">
        <v>25.65</v>
      </c>
      <c r="H419" s="59">
        <v>21.19</v>
      </c>
      <c r="I419" s="94">
        <v>41.87</v>
      </c>
      <c r="J419" s="59">
        <v>37.33</v>
      </c>
      <c r="K419" s="94">
        <v>47.99</v>
      </c>
      <c r="L419" s="94">
        <v>46.05</v>
      </c>
      <c r="M419" s="94">
        <v>68.16</v>
      </c>
      <c r="N419" s="59">
        <v>40.39</v>
      </c>
      <c r="O419" s="88">
        <v>-0.1916218511180301</v>
      </c>
      <c r="P419" s="95">
        <v>-0.21047663992449253</v>
      </c>
      <c r="Q419" s="88">
        <v>-0.12161800160728635</v>
      </c>
      <c r="R419" s="88">
        <v>-0.04212812160694908</v>
      </c>
      <c r="S419" s="88">
        <v>-0.6875464223817775</v>
      </c>
      <c r="T419" s="59"/>
      <c r="U419" s="59"/>
      <c r="V419" s="91"/>
      <c r="W419" s="91"/>
      <c r="X419" s="91"/>
      <c r="Y419" s="91"/>
      <c r="Z419" s="91"/>
      <c r="AA419" s="96"/>
      <c r="AB419" s="97"/>
      <c r="AC419" s="91"/>
      <c r="AD419" s="91"/>
      <c r="AE419" s="91"/>
      <c r="AF419" s="91"/>
    </row>
    <row r="420">
      <c r="A420" s="59" t="s">
        <v>1002</v>
      </c>
      <c r="B420" s="59" t="s">
        <v>1003</v>
      </c>
      <c r="C420" s="70">
        <v>2.2261884097E10</v>
      </c>
      <c r="D420" s="86">
        <v>-0.2551778853311379</v>
      </c>
      <c r="E420" s="94">
        <v>16.02</v>
      </c>
      <c r="F420" s="94">
        <v>15.81</v>
      </c>
      <c r="G420" s="94">
        <v>14.59</v>
      </c>
      <c r="H420" s="59">
        <v>12.12</v>
      </c>
      <c r="I420" s="94">
        <v>17.65</v>
      </c>
      <c r="J420" s="59">
        <v>14.75</v>
      </c>
      <c r="K420" s="94">
        <v>61.66</v>
      </c>
      <c r="L420" s="94">
        <v>60.92</v>
      </c>
      <c r="M420" s="94">
        <v>153.98</v>
      </c>
      <c r="N420" s="59">
        <v>83.23</v>
      </c>
      <c r="O420" s="88">
        <v>-0.013282732447817778</v>
      </c>
      <c r="P420" s="95">
        <v>-0.20379537953795387</v>
      </c>
      <c r="Q420" s="88">
        <v>-0.19661016949152532</v>
      </c>
      <c r="R420" s="88">
        <v>-0.012147078135259273</v>
      </c>
      <c r="S420" s="88">
        <v>-0.8500540670431332</v>
      </c>
      <c r="T420" s="59"/>
      <c r="U420" s="59"/>
      <c r="V420" s="91"/>
      <c r="W420" s="91"/>
      <c r="X420" s="91"/>
      <c r="Y420" s="91"/>
      <c r="Z420" s="91"/>
      <c r="AA420" s="96"/>
      <c r="AB420" s="97"/>
      <c r="AC420" s="91"/>
      <c r="AD420" s="91"/>
      <c r="AE420" s="91"/>
      <c r="AF420" s="91"/>
    </row>
    <row r="421">
      <c r="A421" s="59" t="s">
        <v>1004</v>
      </c>
      <c r="B421" s="59" t="s">
        <v>1005</v>
      </c>
      <c r="C421" s="70">
        <v>1.9633429928E10</v>
      </c>
      <c r="D421" s="86">
        <v>-0.255622950757789</v>
      </c>
      <c r="E421" s="94" t="e">
        <v>#N/A</v>
      </c>
      <c r="F421" s="94" t="e">
        <v>#N/A</v>
      </c>
      <c r="G421" s="94" t="e">
        <v>#N/A</v>
      </c>
      <c r="H421" s="59" t="e">
        <v>#N/A</v>
      </c>
      <c r="I421" s="94" t="e">
        <v>#N/A</v>
      </c>
      <c r="J421" s="59" t="e">
        <v>#N/A</v>
      </c>
      <c r="K421" s="94">
        <v>68.75</v>
      </c>
      <c r="L421" s="94">
        <v>66.67</v>
      </c>
      <c r="M421" s="94">
        <v>237.0</v>
      </c>
      <c r="N421" s="59">
        <v>160.13</v>
      </c>
      <c r="O421" s="88" t="e">
        <v>#N/A</v>
      </c>
      <c r="P421" s="95" t="e">
        <v>#N/A</v>
      </c>
      <c r="Q421" s="88" t="e">
        <v>#N/A</v>
      </c>
      <c r="R421" s="88">
        <v>-0.031198440077996072</v>
      </c>
      <c r="S421" s="88">
        <v>-0.480047461437582</v>
      </c>
      <c r="T421" s="59"/>
      <c r="U421" s="59"/>
      <c r="V421" s="91"/>
      <c r="W421" s="91"/>
      <c r="X421" s="91"/>
      <c r="Y421" s="91"/>
      <c r="Z421" s="91"/>
      <c r="AA421" s="96"/>
      <c r="AB421" s="97"/>
      <c r="AC421" s="91"/>
      <c r="AD421" s="91"/>
      <c r="AE421" s="91"/>
      <c r="AF421" s="91"/>
    </row>
    <row r="422">
      <c r="A422" s="59" t="s">
        <v>1006</v>
      </c>
      <c r="B422" s="59" t="s">
        <v>1007</v>
      </c>
      <c r="C422" s="70">
        <v>8.5457575229E10</v>
      </c>
      <c r="D422" s="86">
        <v>-0.2563165678722436</v>
      </c>
      <c r="E422" s="94">
        <v>221.6</v>
      </c>
      <c r="F422" s="94">
        <v>196.8</v>
      </c>
      <c r="G422" s="94">
        <v>154.08</v>
      </c>
      <c r="H422" s="59">
        <v>135.04</v>
      </c>
      <c r="I422" s="94">
        <v>132.08</v>
      </c>
      <c r="J422" s="59">
        <v>123.44</v>
      </c>
      <c r="K422" s="94">
        <v>196.72</v>
      </c>
      <c r="L422" s="94">
        <v>190.96</v>
      </c>
      <c r="M422" s="94">
        <v>102.0</v>
      </c>
      <c r="N422" s="59">
        <v>53.28</v>
      </c>
      <c r="O422" s="88">
        <v>-0.12601626016260153</v>
      </c>
      <c r="P422" s="95">
        <v>-0.14099526066350726</v>
      </c>
      <c r="Q422" s="88">
        <v>-0.06999351911860024</v>
      </c>
      <c r="R422" s="88">
        <v>-0.03016338500209463</v>
      </c>
      <c r="S422" s="88">
        <v>-0.9144144144144144</v>
      </c>
      <c r="T422" s="59"/>
      <c r="U422" s="59"/>
      <c r="V422" s="91"/>
      <c r="W422" s="91"/>
      <c r="X422" s="91"/>
      <c r="Y422" s="91"/>
      <c r="Z422" s="91"/>
      <c r="AA422" s="96"/>
      <c r="AB422" s="97"/>
      <c r="AC422" s="91"/>
      <c r="AD422" s="91"/>
      <c r="AE422" s="91"/>
      <c r="AF422" s="91"/>
    </row>
    <row r="423">
      <c r="A423" s="59" t="s">
        <v>1008</v>
      </c>
      <c r="B423" s="59" t="s">
        <v>1009</v>
      </c>
      <c r="C423" s="70">
        <v>9.898286889E9</v>
      </c>
      <c r="D423" s="86">
        <v>-0.25750608722637325</v>
      </c>
      <c r="E423" s="94" t="e">
        <v>#N/A</v>
      </c>
      <c r="F423" s="94" t="e">
        <v>#N/A</v>
      </c>
      <c r="G423" s="94" t="e">
        <v>#N/A</v>
      </c>
      <c r="H423" s="59" t="e">
        <v>#N/A</v>
      </c>
      <c r="I423" s="94" t="e">
        <v>#N/A</v>
      </c>
      <c r="J423" s="59" t="e">
        <v>#N/A</v>
      </c>
      <c r="K423" s="94">
        <v>13.87</v>
      </c>
      <c r="L423" s="94">
        <v>13.04</v>
      </c>
      <c r="M423" s="94">
        <v>14.92</v>
      </c>
      <c r="N423" s="59">
        <v>10.28</v>
      </c>
      <c r="O423" s="88" t="e">
        <v>#N/A</v>
      </c>
      <c r="P423" s="95" t="e">
        <v>#N/A</v>
      </c>
      <c r="Q423" s="88" t="e">
        <v>#N/A</v>
      </c>
      <c r="R423" s="88">
        <v>-0.06365030674846626</v>
      </c>
      <c r="S423" s="88">
        <v>-0.4513618677042802</v>
      </c>
      <c r="T423" s="59"/>
      <c r="U423" s="59"/>
      <c r="V423" s="91"/>
      <c r="W423" s="91"/>
      <c r="X423" s="91"/>
      <c r="Y423" s="91"/>
      <c r="Z423" s="91"/>
      <c r="AA423" s="96"/>
      <c r="AB423" s="97"/>
      <c r="AC423" s="91"/>
      <c r="AD423" s="91"/>
      <c r="AE423" s="91"/>
      <c r="AF423" s="91"/>
    </row>
    <row r="424">
      <c r="A424" s="59" t="s">
        <v>1010</v>
      </c>
      <c r="B424" s="59" t="s">
        <v>1011</v>
      </c>
      <c r="C424" s="70">
        <v>5.5904418568E10</v>
      </c>
      <c r="D424" s="86">
        <v>-0.258045900276116</v>
      </c>
      <c r="E424" s="94" t="e">
        <v>#N/A</v>
      </c>
      <c r="F424" s="94" t="e">
        <v>#N/A</v>
      </c>
      <c r="G424" s="94" t="e">
        <v>#N/A</v>
      </c>
      <c r="H424" s="59" t="e">
        <v>#N/A</v>
      </c>
      <c r="I424" s="94">
        <v>26.31</v>
      </c>
      <c r="J424" s="59">
        <v>24.57</v>
      </c>
      <c r="K424" s="94">
        <v>29.6</v>
      </c>
      <c r="L424" s="94">
        <v>27.8</v>
      </c>
      <c r="M424" s="94">
        <v>34.41</v>
      </c>
      <c r="N424" s="59">
        <v>21.0</v>
      </c>
      <c r="O424" s="88" t="e">
        <v>#N/A</v>
      </c>
      <c r="P424" s="95" t="e">
        <v>#N/A</v>
      </c>
      <c r="Q424" s="88">
        <v>-0.07081807081807075</v>
      </c>
      <c r="R424" s="88">
        <v>-0.06474820143884895</v>
      </c>
      <c r="S424" s="88">
        <v>-0.6385714285714285</v>
      </c>
      <c r="T424" s="59"/>
      <c r="U424" s="59"/>
      <c r="V424" s="91"/>
      <c r="W424" s="91"/>
      <c r="X424" s="91"/>
      <c r="Y424" s="91"/>
      <c r="Z424" s="91"/>
      <c r="AA424" s="96"/>
      <c r="AB424" s="97"/>
      <c r="AC424" s="91"/>
      <c r="AD424" s="91"/>
      <c r="AE424" s="91"/>
      <c r="AF424" s="91"/>
    </row>
    <row r="425">
      <c r="A425" s="59" t="s">
        <v>1012</v>
      </c>
      <c r="B425" s="59" t="s">
        <v>1013</v>
      </c>
      <c r="C425" s="70">
        <v>2.8385424726E10</v>
      </c>
      <c r="D425" s="86">
        <v>-0.2581626972271752</v>
      </c>
      <c r="E425" s="94">
        <v>16.13</v>
      </c>
      <c r="F425" s="94">
        <v>15.81</v>
      </c>
      <c r="G425" s="94">
        <v>16.1</v>
      </c>
      <c r="H425" s="59">
        <v>14.08</v>
      </c>
      <c r="I425" s="94">
        <v>22.83</v>
      </c>
      <c r="J425" s="59">
        <v>20.73</v>
      </c>
      <c r="K425" s="94">
        <v>54.24</v>
      </c>
      <c r="L425" s="94">
        <v>52.35</v>
      </c>
      <c r="M425" s="94">
        <v>75.35</v>
      </c>
      <c r="N425" s="59">
        <v>37.87</v>
      </c>
      <c r="O425" s="88">
        <v>-0.020240354206198515</v>
      </c>
      <c r="P425" s="95">
        <v>-0.1434659090909092</v>
      </c>
      <c r="Q425" s="88">
        <v>-0.10130246020260482</v>
      </c>
      <c r="R425" s="88">
        <v>-0.03610315186246419</v>
      </c>
      <c r="S425" s="88">
        <v>-0.9897016107736994</v>
      </c>
      <c r="T425" s="59"/>
      <c r="U425" s="59"/>
      <c r="V425" s="91"/>
      <c r="W425" s="91"/>
      <c r="X425" s="91"/>
      <c r="Y425" s="91"/>
      <c r="Z425" s="91"/>
      <c r="AA425" s="96"/>
      <c r="AB425" s="97"/>
      <c r="AC425" s="91"/>
      <c r="AD425" s="91"/>
      <c r="AE425" s="91"/>
      <c r="AF425" s="91"/>
    </row>
    <row r="426">
      <c r="A426" s="59" t="s">
        <v>1014</v>
      </c>
      <c r="B426" s="59" t="s">
        <v>1015</v>
      </c>
      <c r="C426" s="70">
        <v>1.3528666199E10</v>
      </c>
      <c r="D426" s="86">
        <v>-0.2583578192090798</v>
      </c>
      <c r="E426" s="94">
        <v>56.56</v>
      </c>
      <c r="F426" s="94">
        <v>55.38</v>
      </c>
      <c r="G426" s="94">
        <v>48.83</v>
      </c>
      <c r="H426" s="59">
        <v>45.79</v>
      </c>
      <c r="I426" s="94">
        <v>52.25</v>
      </c>
      <c r="J426" s="59">
        <v>46.67</v>
      </c>
      <c r="K426" s="94">
        <v>127.06</v>
      </c>
      <c r="L426" s="94">
        <v>116.46</v>
      </c>
      <c r="M426" s="94">
        <v>261.11</v>
      </c>
      <c r="N426" s="59">
        <v>130.98</v>
      </c>
      <c r="O426" s="88">
        <v>-0.02130733116648609</v>
      </c>
      <c r="P426" s="95">
        <v>-0.06639004149377592</v>
      </c>
      <c r="Q426" s="88">
        <v>-0.11956288836511673</v>
      </c>
      <c r="R426" s="88">
        <v>-0.09101837540786543</v>
      </c>
      <c r="S426" s="88">
        <v>-0.9935104596121548</v>
      </c>
      <c r="T426" s="59"/>
      <c r="U426" s="59"/>
      <c r="V426" s="91"/>
      <c r="W426" s="91"/>
      <c r="X426" s="91"/>
      <c r="Y426" s="91"/>
      <c r="Z426" s="91"/>
      <c r="AA426" s="96"/>
      <c r="AB426" s="97"/>
      <c r="AC426" s="91"/>
      <c r="AD426" s="91"/>
      <c r="AE426" s="91"/>
      <c r="AF426" s="91"/>
    </row>
    <row r="427">
      <c r="A427" s="59" t="s">
        <v>1016</v>
      </c>
      <c r="B427" s="59" t="s">
        <v>1017</v>
      </c>
      <c r="C427" s="70">
        <v>1.8266661901E10</v>
      </c>
      <c r="D427" s="86">
        <v>-0.2658975995070643</v>
      </c>
      <c r="E427" s="94">
        <v>15.58</v>
      </c>
      <c r="F427" s="94">
        <v>14.9</v>
      </c>
      <c r="G427" s="94">
        <v>15.97</v>
      </c>
      <c r="H427" s="59">
        <v>13.8</v>
      </c>
      <c r="I427" s="94">
        <v>9.38</v>
      </c>
      <c r="J427" s="59">
        <v>8.78</v>
      </c>
      <c r="K427" s="94">
        <v>24.38</v>
      </c>
      <c r="L427" s="94">
        <v>23.98</v>
      </c>
      <c r="M427" s="94">
        <v>74.13</v>
      </c>
      <c r="N427" s="59">
        <v>36.31</v>
      </c>
      <c r="O427" s="88">
        <v>-0.04563758389261743</v>
      </c>
      <c r="P427" s="95">
        <v>-0.1572463768115942</v>
      </c>
      <c r="Q427" s="88">
        <v>-0.06833712984054686</v>
      </c>
      <c r="R427" s="88">
        <v>-0.016680567139282676</v>
      </c>
      <c r="S427" s="88">
        <v>-1.0415863398512804</v>
      </c>
      <c r="T427" s="59"/>
      <c r="U427" s="59"/>
      <c r="V427" s="91"/>
      <c r="W427" s="91"/>
      <c r="X427" s="91"/>
      <c r="Y427" s="91"/>
      <c r="Z427" s="91"/>
      <c r="AA427" s="96"/>
      <c r="AB427" s="97"/>
      <c r="AC427" s="91"/>
      <c r="AD427" s="91"/>
      <c r="AE427" s="91"/>
      <c r="AF427" s="91"/>
    </row>
    <row r="428">
      <c r="A428" s="59" t="s">
        <v>1018</v>
      </c>
      <c r="B428" s="59" t="s">
        <v>1019</v>
      </c>
      <c r="C428" s="70">
        <v>1.43732698422E11</v>
      </c>
      <c r="D428" s="86">
        <v>-0.2667572211524367</v>
      </c>
      <c r="E428" s="94">
        <v>40.34</v>
      </c>
      <c r="F428" s="94">
        <v>32.19</v>
      </c>
      <c r="G428" s="94">
        <v>30.43</v>
      </c>
      <c r="H428" s="59">
        <v>27.75</v>
      </c>
      <c r="I428" s="94">
        <v>20.02</v>
      </c>
      <c r="J428" s="59">
        <v>17.12</v>
      </c>
      <c r="K428" s="94">
        <v>34.21</v>
      </c>
      <c r="L428" s="94">
        <v>32.26</v>
      </c>
      <c r="M428" s="94">
        <v>55.52</v>
      </c>
      <c r="N428" s="59">
        <v>31.65</v>
      </c>
      <c r="O428" s="88">
        <v>-0.2531842187014603</v>
      </c>
      <c r="P428" s="95">
        <v>-0.09657657657657656</v>
      </c>
      <c r="Q428" s="88">
        <v>-0.16939252336448588</v>
      </c>
      <c r="R428" s="88">
        <v>-0.060446373217607034</v>
      </c>
      <c r="S428" s="88">
        <v>-0.7541864139020539</v>
      </c>
      <c r="T428" s="59"/>
      <c r="U428" s="59"/>
      <c r="V428" s="91"/>
      <c r="W428" s="91"/>
      <c r="X428" s="91"/>
      <c r="Y428" s="91"/>
      <c r="Z428" s="91"/>
      <c r="AA428" s="96"/>
      <c r="AB428" s="97"/>
      <c r="AC428" s="91"/>
      <c r="AD428" s="91"/>
      <c r="AE428" s="91"/>
      <c r="AF428" s="91"/>
    </row>
    <row r="429">
      <c r="A429" s="59" t="s">
        <v>1020</v>
      </c>
      <c r="B429" s="59" t="s">
        <v>1021</v>
      </c>
      <c r="C429" s="70">
        <v>8.984297616E9</v>
      </c>
      <c r="D429" s="86">
        <v>-0.2668062815110794</v>
      </c>
      <c r="E429" s="94">
        <v>37.12</v>
      </c>
      <c r="F429" s="94">
        <v>37.47</v>
      </c>
      <c r="G429" s="94">
        <v>40.12</v>
      </c>
      <c r="H429" s="59">
        <v>38.97</v>
      </c>
      <c r="I429" s="94">
        <v>37.25</v>
      </c>
      <c r="J429" s="59">
        <v>34.5</v>
      </c>
      <c r="K429" s="94">
        <v>75.18</v>
      </c>
      <c r="L429" s="94">
        <v>71.18</v>
      </c>
      <c r="M429" s="94">
        <v>97.42</v>
      </c>
      <c r="N429" s="59">
        <v>44.73</v>
      </c>
      <c r="O429" s="88">
        <v>0.009340805978115865</v>
      </c>
      <c r="P429" s="95">
        <v>-0.029509879394405917</v>
      </c>
      <c r="Q429" s="88">
        <v>-0.07971014492753623</v>
      </c>
      <c r="R429" s="88">
        <v>-0.056195560550716485</v>
      </c>
      <c r="S429" s="88">
        <v>-1.1779566286608543</v>
      </c>
      <c r="T429" s="59"/>
      <c r="U429" s="59"/>
      <c r="V429" s="91"/>
      <c r="W429" s="91"/>
      <c r="X429" s="91"/>
      <c r="Y429" s="91"/>
      <c r="Z429" s="91"/>
      <c r="AA429" s="96"/>
      <c r="AB429" s="97"/>
      <c r="AC429" s="91"/>
      <c r="AD429" s="91"/>
      <c r="AE429" s="91"/>
      <c r="AF429" s="91"/>
    </row>
    <row r="430">
      <c r="A430" s="59" t="s">
        <v>1022</v>
      </c>
      <c r="B430" s="59" t="s">
        <v>1023</v>
      </c>
      <c r="C430" s="70">
        <v>7.801266635E9</v>
      </c>
      <c r="D430" s="86">
        <v>-0.26785618250699766</v>
      </c>
      <c r="E430" s="94">
        <v>16.73</v>
      </c>
      <c r="F430" s="94">
        <v>16.2</v>
      </c>
      <c r="G430" s="94">
        <v>22.47</v>
      </c>
      <c r="H430" s="59">
        <v>20.15</v>
      </c>
      <c r="I430" s="94">
        <v>28.08</v>
      </c>
      <c r="J430" s="59">
        <v>25.62</v>
      </c>
      <c r="K430" s="94">
        <v>64.89</v>
      </c>
      <c r="L430" s="94">
        <v>63.09</v>
      </c>
      <c r="M430" s="94">
        <v>19.47</v>
      </c>
      <c r="N430" s="59">
        <v>9.42</v>
      </c>
      <c r="O430" s="88">
        <v>-0.03271604938271612</v>
      </c>
      <c r="P430" s="95">
        <v>-0.11513647642679903</v>
      </c>
      <c r="Q430" s="88">
        <v>-0.09601873536299754</v>
      </c>
      <c r="R430" s="88">
        <v>-0.028530670470756015</v>
      </c>
      <c r="S430" s="88">
        <v>-1.0668789808917196</v>
      </c>
      <c r="T430" s="59"/>
      <c r="U430" s="59"/>
      <c r="V430" s="91"/>
      <c r="W430" s="91"/>
      <c r="X430" s="91"/>
      <c r="Y430" s="91"/>
      <c r="Z430" s="91"/>
      <c r="AA430" s="96"/>
      <c r="AB430" s="97"/>
      <c r="AC430" s="91"/>
      <c r="AD430" s="91"/>
      <c r="AE430" s="91"/>
      <c r="AF430" s="91"/>
    </row>
    <row r="431">
      <c r="A431" s="59" t="s">
        <v>1024</v>
      </c>
      <c r="B431" s="59" t="s">
        <v>1025</v>
      </c>
      <c r="C431" s="70">
        <v>2.8541825147E10</v>
      </c>
      <c r="D431" s="86">
        <v>-0.2697103431586079</v>
      </c>
      <c r="E431" s="94">
        <v>73.01</v>
      </c>
      <c r="F431" s="94">
        <v>60.93</v>
      </c>
      <c r="G431" s="94">
        <v>50.72</v>
      </c>
      <c r="H431" s="59">
        <v>44.25</v>
      </c>
      <c r="I431" s="94">
        <v>64.54</v>
      </c>
      <c r="J431" s="59">
        <v>57.58</v>
      </c>
      <c r="K431" s="94">
        <v>49.52</v>
      </c>
      <c r="L431" s="94">
        <v>45.76</v>
      </c>
      <c r="M431" s="94">
        <v>20.91</v>
      </c>
      <c r="N431" s="59">
        <v>11.61</v>
      </c>
      <c r="O431" s="88">
        <v>-0.19826029870343026</v>
      </c>
      <c r="P431" s="95">
        <v>-0.14621468926553668</v>
      </c>
      <c r="Q431" s="88">
        <v>-0.12087530392497409</v>
      </c>
      <c r="R431" s="88">
        <v>-0.08216783216783229</v>
      </c>
      <c r="S431" s="88">
        <v>-0.8010335917312662</v>
      </c>
      <c r="T431" s="59"/>
      <c r="U431" s="59"/>
      <c r="V431" s="91"/>
      <c r="W431" s="91"/>
      <c r="X431" s="91"/>
      <c r="Y431" s="91"/>
      <c r="Z431" s="91"/>
      <c r="AA431" s="96"/>
      <c r="AB431" s="97"/>
      <c r="AC431" s="91"/>
      <c r="AD431" s="91"/>
      <c r="AE431" s="91"/>
      <c r="AF431" s="91"/>
    </row>
    <row r="432">
      <c r="A432" s="59" t="s">
        <v>260</v>
      </c>
      <c r="B432" s="59" t="s">
        <v>261</v>
      </c>
      <c r="C432" s="70">
        <v>2.56088E11</v>
      </c>
      <c r="D432" s="86">
        <v>-0.2700201032693174</v>
      </c>
      <c r="E432" s="94" t="e">
        <v>#N/A</v>
      </c>
      <c r="F432" s="94" t="e">
        <v>#N/A</v>
      </c>
      <c r="G432" s="94" t="e">
        <v>#N/A</v>
      </c>
      <c r="H432" s="59" t="e">
        <v>#N/A</v>
      </c>
      <c r="I432" s="94" t="e">
        <v>#N/A</v>
      </c>
      <c r="J432" s="59" t="e">
        <v>#N/A</v>
      </c>
      <c r="K432" s="94">
        <v>86.06</v>
      </c>
      <c r="L432" s="94">
        <v>82.09</v>
      </c>
      <c r="M432" s="94">
        <v>217.8</v>
      </c>
      <c r="N432" s="59">
        <v>146.01</v>
      </c>
      <c r="O432" s="88" t="e">
        <v>#N/A</v>
      </c>
      <c r="P432" s="95" t="e">
        <v>#N/A</v>
      </c>
      <c r="Q432" s="88" t="e">
        <v>#N/A</v>
      </c>
      <c r="R432" s="88">
        <v>-0.04836155439152148</v>
      </c>
      <c r="S432" s="88">
        <v>-0.49167865214711337</v>
      </c>
      <c r="T432" s="59"/>
      <c r="U432" s="59"/>
      <c r="V432" s="91"/>
      <c r="W432" s="91"/>
      <c r="X432" s="91"/>
      <c r="Y432" s="91"/>
      <c r="Z432" s="91"/>
      <c r="AA432" s="96"/>
      <c r="AB432" s="97"/>
      <c r="AC432" s="91"/>
      <c r="AD432" s="91"/>
      <c r="AE432" s="91"/>
      <c r="AF432" s="91"/>
    </row>
    <row r="433">
      <c r="A433" s="59" t="s">
        <v>1026</v>
      </c>
      <c r="B433" s="59" t="s">
        <v>1027</v>
      </c>
      <c r="C433" s="70">
        <v>4.7022993331E10</v>
      </c>
      <c r="D433" s="86">
        <v>-0.27137726585524147</v>
      </c>
      <c r="E433" s="94">
        <v>37.47</v>
      </c>
      <c r="F433" s="94">
        <v>32.92</v>
      </c>
      <c r="G433" s="94">
        <v>36.87</v>
      </c>
      <c r="H433" s="59">
        <v>33.8</v>
      </c>
      <c r="I433" s="94">
        <v>45.99</v>
      </c>
      <c r="J433" s="59">
        <v>41.89</v>
      </c>
      <c r="K433" s="94">
        <v>9.58</v>
      </c>
      <c r="L433" s="94">
        <v>8.68</v>
      </c>
      <c r="M433" s="94">
        <v>12.02</v>
      </c>
      <c r="N433" s="59">
        <v>6.24</v>
      </c>
      <c r="O433" s="88">
        <v>-0.1382138517618468</v>
      </c>
      <c r="P433" s="95">
        <v>-0.09082840236686392</v>
      </c>
      <c r="Q433" s="88">
        <v>-0.09787538792074484</v>
      </c>
      <c r="R433" s="88">
        <v>-0.10368663594470051</v>
      </c>
      <c r="S433" s="88">
        <v>-0.9262820512820511</v>
      </c>
      <c r="T433" s="59"/>
      <c r="U433" s="59"/>
      <c r="V433" s="91"/>
      <c r="W433" s="91"/>
      <c r="X433" s="91"/>
      <c r="Y433" s="91"/>
      <c r="Z433" s="91"/>
      <c r="AA433" s="96"/>
      <c r="AB433" s="97"/>
      <c r="AC433" s="91"/>
      <c r="AD433" s="91"/>
      <c r="AE433" s="91"/>
      <c r="AF433" s="91"/>
    </row>
    <row r="434">
      <c r="A434" s="59" t="s">
        <v>1028</v>
      </c>
      <c r="B434" s="59" t="s">
        <v>1029</v>
      </c>
      <c r="C434" s="70">
        <v>1.1334859547E10</v>
      </c>
      <c r="D434" s="86">
        <v>-0.2749071730339478</v>
      </c>
      <c r="E434" s="94">
        <v>26.18</v>
      </c>
      <c r="F434" s="94">
        <v>22.75</v>
      </c>
      <c r="G434" s="94">
        <v>41.74</v>
      </c>
      <c r="H434" s="59">
        <v>38.34</v>
      </c>
      <c r="I434" s="94">
        <v>30.54</v>
      </c>
      <c r="J434" s="59">
        <v>29.11</v>
      </c>
      <c r="K434" s="94">
        <v>79.44</v>
      </c>
      <c r="L434" s="94">
        <v>76.92</v>
      </c>
      <c r="M434" s="94">
        <v>68.31</v>
      </c>
      <c r="N434" s="59">
        <v>33.27</v>
      </c>
      <c r="O434" s="88">
        <v>-0.15076923076923077</v>
      </c>
      <c r="P434" s="95">
        <v>-0.0886802295252999</v>
      </c>
      <c r="Q434" s="88">
        <v>-0.049124012366884226</v>
      </c>
      <c r="R434" s="88">
        <v>-0.03276131045241804</v>
      </c>
      <c r="S434" s="88">
        <v>-1.0532010820559061</v>
      </c>
      <c r="T434" s="59"/>
      <c r="U434" s="59"/>
      <c r="V434" s="91"/>
      <c r="W434" s="91"/>
      <c r="X434" s="91"/>
      <c r="Y434" s="91"/>
      <c r="Z434" s="91"/>
      <c r="AA434" s="96"/>
      <c r="AB434" s="97"/>
      <c r="AC434" s="91"/>
      <c r="AD434" s="91"/>
      <c r="AE434" s="91"/>
      <c r="AF434" s="91"/>
    </row>
    <row r="435">
      <c r="A435" s="59" t="s">
        <v>1030</v>
      </c>
      <c r="B435" s="59" t="s">
        <v>1031</v>
      </c>
      <c r="C435" s="70">
        <v>8.910245462E9</v>
      </c>
      <c r="D435" s="86">
        <v>-0.2779862792574657</v>
      </c>
      <c r="E435" s="94" t="e">
        <v>#N/A</v>
      </c>
      <c r="F435" s="94" t="e">
        <v>#N/A</v>
      </c>
      <c r="G435" s="94" t="e">
        <v>#N/A</v>
      </c>
      <c r="H435" s="59" t="e">
        <v>#N/A</v>
      </c>
      <c r="I435" s="94" t="e">
        <v>#N/A</v>
      </c>
      <c r="J435" s="59" t="e">
        <v>#N/A</v>
      </c>
      <c r="K435" s="94">
        <v>31.82</v>
      </c>
      <c r="L435" s="94">
        <v>30.8</v>
      </c>
      <c r="M435" s="94">
        <v>59.3</v>
      </c>
      <c r="N435" s="59">
        <v>38.94</v>
      </c>
      <c r="O435" s="88" t="e">
        <v>#N/A</v>
      </c>
      <c r="P435" s="95" t="e">
        <v>#N/A</v>
      </c>
      <c r="Q435" s="88" t="e">
        <v>#N/A</v>
      </c>
      <c r="R435" s="88">
        <v>-0.0331168831168831</v>
      </c>
      <c r="S435" s="88">
        <v>-0.5228556753980483</v>
      </c>
      <c r="T435" s="59"/>
      <c r="U435" s="59"/>
      <c r="V435" s="91"/>
      <c r="W435" s="91"/>
      <c r="X435" s="91"/>
      <c r="Y435" s="91"/>
      <c r="Z435" s="91"/>
      <c r="AA435" s="96"/>
      <c r="AB435" s="97"/>
      <c r="AC435" s="91"/>
      <c r="AD435" s="91"/>
      <c r="AE435" s="91"/>
      <c r="AF435" s="91"/>
    </row>
    <row r="436">
      <c r="A436" s="59" t="s">
        <v>1032</v>
      </c>
      <c r="B436" s="59" t="s">
        <v>1033</v>
      </c>
      <c r="C436" s="70">
        <v>5.011802614E10</v>
      </c>
      <c r="D436" s="86">
        <v>-0.2783141131915079</v>
      </c>
      <c r="E436" s="94">
        <v>30.75</v>
      </c>
      <c r="F436" s="94">
        <v>28.49</v>
      </c>
      <c r="G436" s="94">
        <v>19.52</v>
      </c>
      <c r="H436" s="59">
        <v>16.91</v>
      </c>
      <c r="I436" s="94">
        <v>18.92</v>
      </c>
      <c r="J436" s="59">
        <v>16.73</v>
      </c>
      <c r="K436" s="94">
        <v>61.14</v>
      </c>
      <c r="L436" s="94">
        <v>58.52</v>
      </c>
      <c r="M436" s="94">
        <v>82.52</v>
      </c>
      <c r="N436" s="59">
        <v>41.63</v>
      </c>
      <c r="O436" s="88">
        <v>-0.07932607932607938</v>
      </c>
      <c r="P436" s="95">
        <v>-0.15434654050857477</v>
      </c>
      <c r="Q436" s="88">
        <v>-0.13090257023311425</v>
      </c>
      <c r="R436" s="88">
        <v>-0.044771018455228934</v>
      </c>
      <c r="S436" s="88">
        <v>-0.9822243574345422</v>
      </c>
      <c r="T436" s="59"/>
      <c r="U436" s="59"/>
      <c r="V436" s="91"/>
      <c r="W436" s="91"/>
      <c r="X436" s="91"/>
      <c r="Y436" s="91"/>
      <c r="Z436" s="91"/>
      <c r="AA436" s="96"/>
      <c r="AB436" s="97"/>
      <c r="AC436" s="91"/>
      <c r="AD436" s="91"/>
      <c r="AE436" s="91"/>
      <c r="AF436" s="91"/>
    </row>
    <row r="437">
      <c r="A437" s="59" t="s">
        <v>1034</v>
      </c>
      <c r="B437" s="59" t="s">
        <v>1035</v>
      </c>
      <c r="C437" s="70">
        <v>1.7846407527E10</v>
      </c>
      <c r="D437" s="86">
        <v>-0.2794717359503892</v>
      </c>
      <c r="E437" s="94">
        <v>15.69</v>
      </c>
      <c r="F437" s="94">
        <v>14.97</v>
      </c>
      <c r="G437" s="94">
        <v>14.57</v>
      </c>
      <c r="H437" s="59">
        <v>13.75</v>
      </c>
      <c r="I437" s="94">
        <v>18.54</v>
      </c>
      <c r="J437" s="59">
        <v>17.24</v>
      </c>
      <c r="K437" s="94">
        <v>19.31</v>
      </c>
      <c r="L437" s="94">
        <v>18.49</v>
      </c>
      <c r="M437" s="94">
        <v>27.08</v>
      </c>
      <c r="N437" s="59">
        <v>12.48</v>
      </c>
      <c r="O437" s="88">
        <v>-0.04809619238476946</v>
      </c>
      <c r="P437" s="95">
        <v>-0.059636363636363654</v>
      </c>
      <c r="Q437" s="88">
        <v>-0.07540603248259865</v>
      </c>
      <c r="R437" s="88">
        <v>-0.0443482963764197</v>
      </c>
      <c r="S437" s="88">
        <v>-1.1698717948717947</v>
      </c>
      <c r="T437" s="59"/>
      <c r="U437" s="59"/>
      <c r="V437" s="91"/>
      <c r="W437" s="91"/>
      <c r="X437" s="91"/>
      <c r="Y437" s="91"/>
      <c r="Z437" s="91"/>
      <c r="AA437" s="96"/>
      <c r="AB437" s="97"/>
      <c r="AC437" s="91"/>
      <c r="AD437" s="91"/>
      <c r="AE437" s="91"/>
      <c r="AF437" s="91"/>
    </row>
    <row r="438">
      <c r="A438" s="59" t="s">
        <v>1036</v>
      </c>
      <c r="B438" s="59" t="s">
        <v>1037</v>
      </c>
      <c r="C438" s="70">
        <v>4.436781603E10</v>
      </c>
      <c r="D438" s="86">
        <v>-0.28277571707646587</v>
      </c>
      <c r="E438" s="94">
        <v>91.4</v>
      </c>
      <c r="F438" s="94">
        <v>81.62</v>
      </c>
      <c r="G438" s="94">
        <v>64.03</v>
      </c>
      <c r="H438" s="59">
        <v>56.74</v>
      </c>
      <c r="I438" s="94">
        <v>59.86</v>
      </c>
      <c r="J438" s="59">
        <v>53.55</v>
      </c>
      <c r="K438" s="94">
        <v>54.99</v>
      </c>
      <c r="L438" s="94">
        <v>50.98</v>
      </c>
      <c r="M438" s="94">
        <v>61.14</v>
      </c>
      <c r="N438" s="59">
        <v>31.05</v>
      </c>
      <c r="O438" s="88">
        <v>-0.11982357265376134</v>
      </c>
      <c r="P438" s="95">
        <v>-0.1284807895664434</v>
      </c>
      <c r="Q438" s="88">
        <v>-0.11783380018674142</v>
      </c>
      <c r="R438" s="88">
        <v>-0.07865829737151835</v>
      </c>
      <c r="S438" s="88">
        <v>-0.9690821256038648</v>
      </c>
      <c r="T438" s="59"/>
      <c r="U438" s="59"/>
      <c r="V438" s="91"/>
      <c r="W438" s="91"/>
      <c r="X438" s="91"/>
      <c r="Y438" s="91"/>
      <c r="Z438" s="91"/>
      <c r="AA438" s="96"/>
      <c r="AB438" s="97"/>
      <c r="AC438" s="91"/>
      <c r="AD438" s="91"/>
      <c r="AE438" s="91"/>
      <c r="AF438" s="91"/>
    </row>
    <row r="439">
      <c r="A439" s="59" t="s">
        <v>1038</v>
      </c>
      <c r="B439" s="59" t="s">
        <v>1039</v>
      </c>
      <c r="C439" s="70">
        <v>3.3976953771E10</v>
      </c>
      <c r="D439" s="86">
        <v>-0.2839546738507544</v>
      </c>
      <c r="E439" s="94">
        <v>44.17</v>
      </c>
      <c r="F439" s="94">
        <v>41.82</v>
      </c>
      <c r="G439" s="94">
        <v>47.5</v>
      </c>
      <c r="H439" s="59">
        <v>42.54</v>
      </c>
      <c r="I439" s="94">
        <v>47.18</v>
      </c>
      <c r="J439" s="59">
        <v>41.34</v>
      </c>
      <c r="K439" s="94">
        <v>114.84</v>
      </c>
      <c r="L439" s="94">
        <v>109.13</v>
      </c>
      <c r="M439" s="94">
        <v>177.29</v>
      </c>
      <c r="N439" s="59">
        <v>86.34</v>
      </c>
      <c r="O439" s="88">
        <v>-0.05619320899091347</v>
      </c>
      <c r="P439" s="95">
        <v>-0.11659614480488954</v>
      </c>
      <c r="Q439" s="88">
        <v>-0.1412675374939525</v>
      </c>
      <c r="R439" s="88">
        <v>-0.052322917621185815</v>
      </c>
      <c r="S439" s="88">
        <v>-1.0533935603428306</v>
      </c>
      <c r="T439" s="59"/>
      <c r="U439" s="59"/>
      <c r="V439" s="91"/>
      <c r="W439" s="91"/>
      <c r="X439" s="91"/>
      <c r="Y439" s="91"/>
      <c r="Z439" s="91"/>
      <c r="AA439" s="96"/>
      <c r="AB439" s="97"/>
      <c r="AC439" s="91"/>
      <c r="AD439" s="91"/>
      <c r="AE439" s="91"/>
      <c r="AF439" s="91"/>
    </row>
    <row r="440">
      <c r="A440" s="59" t="s">
        <v>1040</v>
      </c>
      <c r="B440" s="59" t="s">
        <v>1041</v>
      </c>
      <c r="C440" s="70">
        <v>1.759337134E10</v>
      </c>
      <c r="D440" s="86">
        <v>-0.2846787057139238</v>
      </c>
      <c r="E440" s="94">
        <v>14.47</v>
      </c>
      <c r="F440" s="94">
        <v>12.89</v>
      </c>
      <c r="G440" s="94">
        <v>12.06</v>
      </c>
      <c r="H440" s="59">
        <v>9.89</v>
      </c>
      <c r="I440" s="94">
        <v>10.82</v>
      </c>
      <c r="J440" s="59">
        <v>9.6</v>
      </c>
      <c r="K440" s="94">
        <v>12.0</v>
      </c>
      <c r="L440" s="94">
        <v>11.53</v>
      </c>
      <c r="M440" s="94">
        <v>21.03</v>
      </c>
      <c r="N440" s="59">
        <v>10.99</v>
      </c>
      <c r="O440" s="88">
        <v>-0.1225756400310318</v>
      </c>
      <c r="P440" s="95">
        <v>-0.21941354903943375</v>
      </c>
      <c r="Q440" s="88">
        <v>-0.1270833333333334</v>
      </c>
      <c r="R440" s="88">
        <v>-0.04076322636600179</v>
      </c>
      <c r="S440" s="88">
        <v>-0.9135577797998181</v>
      </c>
      <c r="T440" s="59"/>
      <c r="U440" s="59"/>
      <c r="V440" s="91"/>
      <c r="W440" s="91"/>
      <c r="X440" s="91"/>
      <c r="Y440" s="91"/>
      <c r="Z440" s="91"/>
      <c r="AA440" s="96"/>
      <c r="AB440" s="97"/>
      <c r="AC440" s="91"/>
      <c r="AD440" s="91"/>
      <c r="AE440" s="91"/>
      <c r="AF440" s="91"/>
    </row>
    <row r="441">
      <c r="A441" s="59" t="s">
        <v>1042</v>
      </c>
      <c r="B441" s="59" t="s">
        <v>1043</v>
      </c>
      <c r="C441" s="70">
        <v>2.3318270958E10</v>
      </c>
      <c r="D441" s="86">
        <v>-0.28660926040826146</v>
      </c>
      <c r="E441" s="94" t="e">
        <v>#N/A</v>
      </c>
      <c r="F441" s="94" t="e">
        <v>#N/A</v>
      </c>
      <c r="G441" s="94" t="e">
        <v>#N/A</v>
      </c>
      <c r="H441" s="59" t="e">
        <v>#N/A</v>
      </c>
      <c r="I441" s="94" t="e">
        <v>#N/A</v>
      </c>
      <c r="J441" s="59" t="e">
        <v>#N/A</v>
      </c>
      <c r="K441" s="94">
        <v>38.25</v>
      </c>
      <c r="L441" s="94">
        <v>37.41</v>
      </c>
      <c r="M441" s="94">
        <v>134.87</v>
      </c>
      <c r="N441" s="59">
        <v>86.97</v>
      </c>
      <c r="O441" s="88" t="e">
        <v>#N/A</v>
      </c>
      <c r="P441" s="95" t="e">
        <v>#N/A</v>
      </c>
      <c r="Q441" s="88" t="e">
        <v>#N/A</v>
      </c>
      <c r="R441" s="88">
        <v>-0.02245388933440266</v>
      </c>
      <c r="S441" s="88">
        <v>-0.5507646314821203</v>
      </c>
      <c r="T441" s="59"/>
      <c r="U441" s="59"/>
      <c r="V441" s="91"/>
      <c r="W441" s="91"/>
      <c r="X441" s="91"/>
      <c r="Y441" s="91"/>
      <c r="Z441" s="91"/>
      <c r="AA441" s="96"/>
      <c r="AB441" s="97"/>
      <c r="AC441" s="91"/>
      <c r="AD441" s="91"/>
      <c r="AE441" s="91"/>
      <c r="AF441" s="91"/>
    </row>
    <row r="442">
      <c r="A442" s="59" t="s">
        <v>1044</v>
      </c>
      <c r="B442" s="59" t="s">
        <v>1045</v>
      </c>
      <c r="C442" s="70">
        <v>4.448228902E9</v>
      </c>
      <c r="D442" s="86">
        <v>-0.2887348191682909</v>
      </c>
      <c r="E442" s="94">
        <v>72.22</v>
      </c>
      <c r="F442" s="94">
        <v>63.78</v>
      </c>
      <c r="G442" s="94">
        <v>62.98</v>
      </c>
      <c r="H442" s="59">
        <v>56.02</v>
      </c>
      <c r="I442" s="94">
        <v>59.13</v>
      </c>
      <c r="J442" s="59">
        <v>53.34</v>
      </c>
      <c r="K442" s="94">
        <v>74.48</v>
      </c>
      <c r="L442" s="94">
        <v>70.66</v>
      </c>
      <c r="M442" s="94">
        <v>67.78</v>
      </c>
      <c r="N442" s="59">
        <v>33.48</v>
      </c>
      <c r="O442" s="88">
        <v>-0.13232988397616804</v>
      </c>
      <c r="P442" s="95">
        <v>-0.12424134237772212</v>
      </c>
      <c r="Q442" s="88">
        <v>-0.10854893138357703</v>
      </c>
      <c r="R442" s="88">
        <v>-0.05406170393433354</v>
      </c>
      <c r="S442" s="88">
        <v>-1.0244922341696538</v>
      </c>
      <c r="T442" s="59"/>
      <c r="U442" s="59"/>
      <c r="V442" s="91"/>
      <c r="W442" s="91"/>
      <c r="X442" s="91"/>
      <c r="Y442" s="91"/>
      <c r="Z442" s="91"/>
      <c r="AA442" s="96"/>
      <c r="AB442" s="97"/>
      <c r="AC442" s="91"/>
      <c r="AD442" s="91"/>
      <c r="AE442" s="91"/>
      <c r="AF442" s="91"/>
    </row>
    <row r="443">
      <c r="A443" s="59" t="s">
        <v>1046</v>
      </c>
      <c r="B443" s="59" t="s">
        <v>1047</v>
      </c>
      <c r="C443" s="70">
        <v>8.9514718775E10</v>
      </c>
      <c r="D443" s="86">
        <v>-0.2895872158835122</v>
      </c>
      <c r="E443" s="94">
        <v>183.0</v>
      </c>
      <c r="F443" s="94">
        <v>152.4</v>
      </c>
      <c r="G443" s="94">
        <v>44.1</v>
      </c>
      <c r="H443" s="59">
        <v>40.0</v>
      </c>
      <c r="I443" s="94">
        <v>33.44</v>
      </c>
      <c r="J443" s="59">
        <v>27.95</v>
      </c>
      <c r="K443" s="94">
        <v>53.6</v>
      </c>
      <c r="L443" s="94">
        <v>50.34</v>
      </c>
      <c r="M443" s="94">
        <v>77.58</v>
      </c>
      <c r="N443" s="59">
        <v>41.19</v>
      </c>
      <c r="O443" s="88">
        <v>-0.2007874015748031</v>
      </c>
      <c r="P443" s="95">
        <v>-0.10250000000000004</v>
      </c>
      <c r="Q443" s="88">
        <v>-0.19642218246869406</v>
      </c>
      <c r="R443" s="88">
        <v>-0.06475963448549857</v>
      </c>
      <c r="S443" s="88">
        <v>-0.8834668608885653</v>
      </c>
      <c r="T443" s="59"/>
      <c r="U443" s="59"/>
      <c r="V443" s="91"/>
      <c r="W443" s="91"/>
      <c r="X443" s="91"/>
      <c r="Y443" s="91"/>
      <c r="Z443" s="91"/>
      <c r="AA443" s="96"/>
      <c r="AB443" s="97"/>
      <c r="AC443" s="91"/>
      <c r="AD443" s="91"/>
      <c r="AE443" s="91"/>
      <c r="AF443" s="91"/>
    </row>
    <row r="444">
      <c r="A444" s="59" t="s">
        <v>1048</v>
      </c>
      <c r="B444" s="59" t="s">
        <v>1049</v>
      </c>
      <c r="C444" s="70">
        <v>7.078868454E9</v>
      </c>
      <c r="D444" s="86">
        <v>-0.29121230159950046</v>
      </c>
      <c r="E444" s="94">
        <v>24.86</v>
      </c>
      <c r="F444" s="94">
        <v>23.21</v>
      </c>
      <c r="G444" s="94">
        <v>23.4</v>
      </c>
      <c r="H444" s="59">
        <v>20.11</v>
      </c>
      <c r="I444" s="94">
        <v>19.56</v>
      </c>
      <c r="J444" s="59">
        <v>16.93</v>
      </c>
      <c r="K444" s="94">
        <v>34.6</v>
      </c>
      <c r="L444" s="94">
        <v>32.88</v>
      </c>
      <c r="M444" s="94">
        <v>17.62</v>
      </c>
      <c r="N444" s="59">
        <v>8.75</v>
      </c>
      <c r="O444" s="88">
        <v>-0.07109004739336487</v>
      </c>
      <c r="P444" s="95">
        <v>-0.16360019890601687</v>
      </c>
      <c r="Q444" s="88">
        <v>-0.15534554046072055</v>
      </c>
      <c r="R444" s="88">
        <v>-0.05231143552311432</v>
      </c>
      <c r="S444" s="88">
        <v>-1.0137142857142858</v>
      </c>
      <c r="T444" s="59"/>
      <c r="U444" s="59"/>
      <c r="V444" s="91"/>
      <c r="W444" s="91"/>
      <c r="X444" s="91"/>
      <c r="Y444" s="91"/>
      <c r="Z444" s="91"/>
      <c r="AA444" s="96"/>
      <c r="AB444" s="97"/>
      <c r="AC444" s="91"/>
      <c r="AD444" s="91"/>
      <c r="AE444" s="91"/>
      <c r="AF444" s="91"/>
    </row>
    <row r="445">
      <c r="A445" s="59" t="s">
        <v>1050</v>
      </c>
      <c r="B445" s="59" t="s">
        <v>1051</v>
      </c>
      <c r="C445" s="70">
        <v>4.0998815375E10</v>
      </c>
      <c r="D445" s="86">
        <v>-0.29145813669103576</v>
      </c>
      <c r="E445" s="94" t="e">
        <v>#N/A</v>
      </c>
      <c r="F445" s="94" t="e">
        <v>#N/A</v>
      </c>
      <c r="G445" s="94" t="e">
        <v>#N/A</v>
      </c>
      <c r="H445" s="59" t="e">
        <v>#N/A</v>
      </c>
      <c r="I445" s="94">
        <v>25.92</v>
      </c>
      <c r="J445" s="59">
        <v>23.66</v>
      </c>
      <c r="K445" s="94">
        <v>31.79</v>
      </c>
      <c r="L445" s="94">
        <v>30.28</v>
      </c>
      <c r="M445" s="94">
        <v>22.01</v>
      </c>
      <c r="N445" s="59">
        <v>12.73</v>
      </c>
      <c r="O445" s="88" t="e">
        <v>#N/A</v>
      </c>
      <c r="P445" s="95" t="e">
        <v>#N/A</v>
      </c>
      <c r="Q445" s="88">
        <v>-0.09551986475063405</v>
      </c>
      <c r="R445" s="88">
        <v>-0.049867899603698744</v>
      </c>
      <c r="S445" s="88">
        <v>-0.7289866457187746</v>
      </c>
      <c r="T445" s="59"/>
      <c r="U445" s="59"/>
      <c r="V445" s="91"/>
      <c r="W445" s="91"/>
      <c r="X445" s="91"/>
      <c r="Y445" s="91"/>
      <c r="Z445" s="91"/>
      <c r="AA445" s="96"/>
      <c r="AB445" s="97"/>
      <c r="AC445" s="91"/>
      <c r="AD445" s="91"/>
      <c r="AE445" s="91"/>
      <c r="AF445" s="91"/>
    </row>
    <row r="446">
      <c r="A446" s="59" t="s">
        <v>1052</v>
      </c>
      <c r="B446" s="59" t="s">
        <v>1053</v>
      </c>
      <c r="C446" s="70">
        <v>4.395557577E9</v>
      </c>
      <c r="D446" s="86">
        <v>-0.2934713289034844</v>
      </c>
      <c r="E446" s="94">
        <v>27.44</v>
      </c>
      <c r="F446" s="94">
        <v>26.43</v>
      </c>
      <c r="G446" s="94">
        <v>22.65</v>
      </c>
      <c r="H446" s="59">
        <v>21.06</v>
      </c>
      <c r="I446" s="94">
        <v>24.83</v>
      </c>
      <c r="J446" s="59">
        <v>22.38</v>
      </c>
      <c r="K446" s="94">
        <v>60.26</v>
      </c>
      <c r="L446" s="94">
        <v>57.57</v>
      </c>
      <c r="M446" s="94">
        <v>41.29</v>
      </c>
      <c r="N446" s="59">
        <v>18.79</v>
      </c>
      <c r="O446" s="88">
        <v>-0.038214150586454845</v>
      </c>
      <c r="P446" s="95">
        <v>-0.0754985754985755</v>
      </c>
      <c r="Q446" s="88">
        <v>-0.10947274352100086</v>
      </c>
      <c r="R446" s="88">
        <v>-0.046725725204099317</v>
      </c>
      <c r="S446" s="88">
        <v>-1.1974454497072913</v>
      </c>
      <c r="T446" s="59"/>
      <c r="U446" s="59"/>
      <c r="V446" s="91"/>
      <c r="W446" s="91"/>
      <c r="X446" s="91"/>
      <c r="Y446" s="91"/>
      <c r="Z446" s="91"/>
      <c r="AA446" s="96"/>
      <c r="AB446" s="97"/>
      <c r="AC446" s="91"/>
      <c r="AD446" s="91"/>
      <c r="AE446" s="91"/>
      <c r="AF446" s="91"/>
    </row>
    <row r="447">
      <c r="A447" s="59" t="s">
        <v>1054</v>
      </c>
      <c r="B447" s="59" t="s">
        <v>1055</v>
      </c>
      <c r="C447" s="70">
        <v>3.7265719463E10</v>
      </c>
      <c r="D447" s="86">
        <v>-0.2935531720180878</v>
      </c>
      <c r="E447" s="94">
        <v>85.39</v>
      </c>
      <c r="F447" s="94">
        <v>75.24</v>
      </c>
      <c r="G447" s="94">
        <v>87.28</v>
      </c>
      <c r="H447" s="59">
        <v>80.6</v>
      </c>
      <c r="I447" s="94">
        <v>102.39</v>
      </c>
      <c r="J447" s="59">
        <v>93.83</v>
      </c>
      <c r="K447" s="94">
        <v>189.97</v>
      </c>
      <c r="L447" s="94">
        <v>182.07</v>
      </c>
      <c r="M447" s="94">
        <v>139.17</v>
      </c>
      <c r="N447" s="59">
        <v>65.79</v>
      </c>
      <c r="O447" s="88">
        <v>-0.13490164805954288</v>
      </c>
      <c r="P447" s="95">
        <v>-0.08287841191067007</v>
      </c>
      <c r="Q447" s="88">
        <v>-0.09122881807524248</v>
      </c>
      <c r="R447" s="88">
        <v>-0.043389904981600516</v>
      </c>
      <c r="S447" s="88">
        <v>-1.115367077063383</v>
      </c>
      <c r="T447" s="59"/>
      <c r="U447" s="59"/>
      <c r="V447" s="91"/>
      <c r="W447" s="91"/>
      <c r="X447" s="91"/>
      <c r="Y447" s="91"/>
      <c r="Z447" s="91"/>
      <c r="AA447" s="96"/>
      <c r="AB447" s="97"/>
      <c r="AC447" s="91"/>
      <c r="AD447" s="91"/>
      <c r="AE447" s="91"/>
      <c r="AF447" s="91"/>
    </row>
    <row r="448">
      <c r="A448" s="59" t="s">
        <v>1056</v>
      </c>
      <c r="B448" s="59" t="s">
        <v>1057</v>
      </c>
      <c r="C448" s="70">
        <v>3.9432E10</v>
      </c>
      <c r="D448" s="86">
        <v>-0.3005498792339127</v>
      </c>
      <c r="E448" s="94">
        <v>76.96</v>
      </c>
      <c r="F448" s="94">
        <v>72.54</v>
      </c>
      <c r="G448" s="94">
        <v>64.36</v>
      </c>
      <c r="H448" s="59">
        <v>58.15</v>
      </c>
      <c r="I448" s="94">
        <v>53.99</v>
      </c>
      <c r="J448" s="59">
        <v>48.14</v>
      </c>
      <c r="K448" s="94">
        <v>80.77</v>
      </c>
      <c r="L448" s="94">
        <v>75.91</v>
      </c>
      <c r="M448" s="94">
        <v>93.18</v>
      </c>
      <c r="N448" s="59">
        <v>43.35</v>
      </c>
      <c r="O448" s="88">
        <v>-0.06093189964157689</v>
      </c>
      <c r="P448" s="95">
        <v>-0.106792777300086</v>
      </c>
      <c r="Q448" s="88">
        <v>-0.1215205650186955</v>
      </c>
      <c r="R448" s="88">
        <v>-0.06402318535107364</v>
      </c>
      <c r="S448" s="88">
        <v>-1.1494809688581316</v>
      </c>
      <c r="T448" s="59"/>
      <c r="U448" s="59"/>
      <c r="V448" s="91"/>
      <c r="W448" s="91"/>
      <c r="X448" s="91"/>
      <c r="Y448" s="91"/>
      <c r="Z448" s="91"/>
      <c r="AA448" s="96"/>
      <c r="AB448" s="97"/>
      <c r="AC448" s="91"/>
      <c r="AD448" s="91"/>
      <c r="AE448" s="91"/>
      <c r="AF448" s="91"/>
    </row>
    <row r="449">
      <c r="A449" s="59" t="s">
        <v>1058</v>
      </c>
      <c r="B449" s="59" t="s">
        <v>1059</v>
      </c>
      <c r="C449" s="70">
        <v>1.3938928817E10</v>
      </c>
      <c r="D449" s="86">
        <v>-0.3055731732444624</v>
      </c>
      <c r="E449" s="94">
        <v>11.92</v>
      </c>
      <c r="F449" s="94">
        <v>12.36</v>
      </c>
      <c r="G449" s="94">
        <v>22.11</v>
      </c>
      <c r="H449" s="59">
        <v>17.89</v>
      </c>
      <c r="I449" s="94">
        <v>16.82</v>
      </c>
      <c r="J449" s="59">
        <v>16.61</v>
      </c>
      <c r="K449" s="94">
        <v>55.09</v>
      </c>
      <c r="L449" s="94">
        <v>52.33</v>
      </c>
      <c r="M449" s="94">
        <v>80.24</v>
      </c>
      <c r="N449" s="59">
        <v>35.47</v>
      </c>
      <c r="O449" s="88">
        <v>0.03559870550161808</v>
      </c>
      <c r="P449" s="95">
        <v>-0.23588596981553933</v>
      </c>
      <c r="Q449" s="88">
        <v>-0.012642986152919979</v>
      </c>
      <c r="R449" s="88">
        <v>-0.05274221287980136</v>
      </c>
      <c r="S449" s="88">
        <v>-1.2621934028756696</v>
      </c>
      <c r="T449" s="59"/>
      <c r="U449" s="59"/>
      <c r="V449" s="91"/>
      <c r="W449" s="91"/>
      <c r="X449" s="91"/>
      <c r="Y449" s="91"/>
      <c r="Z449" s="91"/>
      <c r="AA449" s="96"/>
      <c r="AB449" s="97"/>
      <c r="AC449" s="91"/>
      <c r="AD449" s="91"/>
      <c r="AE449" s="91"/>
      <c r="AF449" s="91"/>
    </row>
    <row r="450">
      <c r="A450" s="59" t="s">
        <v>1060</v>
      </c>
      <c r="B450" s="59" t="s">
        <v>1061</v>
      </c>
      <c r="C450" s="70">
        <v>2.4565585818E10</v>
      </c>
      <c r="D450" s="86">
        <v>-0.3078239371290802</v>
      </c>
      <c r="E450" s="94">
        <v>15.19</v>
      </c>
      <c r="F450" s="94">
        <v>14.11</v>
      </c>
      <c r="G450" s="94">
        <v>15.36</v>
      </c>
      <c r="H450" s="59">
        <v>13.31</v>
      </c>
      <c r="I450" s="94">
        <v>11.26</v>
      </c>
      <c r="J450" s="59">
        <v>9.98</v>
      </c>
      <c r="K450" s="94">
        <v>19.81</v>
      </c>
      <c r="L450" s="94">
        <v>18.69</v>
      </c>
      <c r="M450" s="94">
        <v>29.24</v>
      </c>
      <c r="N450" s="59">
        <v>13.79</v>
      </c>
      <c r="O450" s="88">
        <v>-0.07654145995747698</v>
      </c>
      <c r="P450" s="95">
        <v>-0.15401953418482336</v>
      </c>
      <c r="Q450" s="88">
        <v>-0.12825651302605204</v>
      </c>
      <c r="R450" s="88">
        <v>-0.05992509363295866</v>
      </c>
      <c r="S450" s="88">
        <v>-1.12037708484409</v>
      </c>
      <c r="T450" s="59"/>
      <c r="U450" s="59"/>
      <c r="V450" s="91"/>
      <c r="W450" s="91"/>
      <c r="X450" s="91"/>
      <c r="Y450" s="91"/>
      <c r="Z450" s="91"/>
      <c r="AA450" s="96"/>
      <c r="AB450" s="97"/>
      <c r="AC450" s="91"/>
      <c r="AD450" s="91"/>
      <c r="AE450" s="91"/>
      <c r="AF450" s="91"/>
    </row>
    <row r="451">
      <c r="A451" s="59" t="s">
        <v>1062</v>
      </c>
      <c r="B451" s="59" t="s">
        <v>1063</v>
      </c>
      <c r="C451" s="70">
        <v>1.4543682449E10</v>
      </c>
      <c r="D451" s="86">
        <v>-0.31415640423281205</v>
      </c>
      <c r="E451" s="94">
        <v>16.76</v>
      </c>
      <c r="F451" s="94">
        <v>14.77</v>
      </c>
      <c r="G451" s="94">
        <v>22.72</v>
      </c>
      <c r="H451" s="59">
        <v>20.69</v>
      </c>
      <c r="I451" s="94">
        <v>26.88</v>
      </c>
      <c r="J451" s="59">
        <v>25.19</v>
      </c>
      <c r="K451" s="94">
        <v>114.51</v>
      </c>
      <c r="L451" s="94">
        <v>108.34</v>
      </c>
      <c r="M451" s="94">
        <v>121.1</v>
      </c>
      <c r="N451" s="59">
        <v>54.7</v>
      </c>
      <c r="O451" s="88">
        <v>-0.134732566012187</v>
      </c>
      <c r="P451" s="95">
        <v>-0.09811503141614294</v>
      </c>
      <c r="Q451" s="88">
        <v>-0.06709011512504953</v>
      </c>
      <c r="R451" s="88">
        <v>-0.056950341517445095</v>
      </c>
      <c r="S451" s="88">
        <v>-1.2138939670932356</v>
      </c>
      <c r="T451" s="59"/>
      <c r="U451" s="59"/>
      <c r="V451" s="91"/>
      <c r="W451" s="91"/>
      <c r="X451" s="91"/>
      <c r="Y451" s="91"/>
      <c r="Z451" s="91"/>
      <c r="AA451" s="96"/>
      <c r="AB451" s="97"/>
      <c r="AC451" s="91"/>
      <c r="AD451" s="91"/>
      <c r="AE451" s="91"/>
      <c r="AF451" s="91"/>
    </row>
    <row r="452">
      <c r="A452" s="59" t="s">
        <v>1064</v>
      </c>
      <c r="B452" s="59" t="s">
        <v>1065</v>
      </c>
      <c r="C452" s="70">
        <v>2.0571629723E10</v>
      </c>
      <c r="D452" s="86">
        <v>-0.31678948399394574</v>
      </c>
      <c r="E452" s="94" t="e">
        <v>#N/A</v>
      </c>
      <c r="F452" s="94" t="e">
        <v>#N/A</v>
      </c>
      <c r="G452" s="94" t="e">
        <v>#N/A</v>
      </c>
      <c r="H452" s="59" t="e">
        <v>#N/A</v>
      </c>
      <c r="I452" s="94" t="e">
        <v>#N/A</v>
      </c>
      <c r="J452" s="59" t="e">
        <v>#N/A</v>
      </c>
      <c r="K452" s="94">
        <v>37.93</v>
      </c>
      <c r="L452" s="94">
        <v>37.46</v>
      </c>
      <c r="M452" s="94">
        <v>318.16</v>
      </c>
      <c r="N452" s="59">
        <v>196.27</v>
      </c>
      <c r="O452" s="88" t="e">
        <v>#N/A</v>
      </c>
      <c r="P452" s="95" t="e">
        <v>#N/A</v>
      </c>
      <c r="Q452" s="88" t="e">
        <v>#N/A</v>
      </c>
      <c r="R452" s="88">
        <v>-0.012546716497597407</v>
      </c>
      <c r="S452" s="88">
        <v>-0.6210322514902941</v>
      </c>
      <c r="T452" s="59"/>
      <c r="U452" s="59"/>
      <c r="V452" s="91"/>
      <c r="W452" s="91"/>
      <c r="X452" s="91"/>
      <c r="Y452" s="91"/>
      <c r="Z452" s="91"/>
      <c r="AA452" s="96"/>
      <c r="AB452" s="97"/>
      <c r="AC452" s="91"/>
      <c r="AD452" s="91"/>
      <c r="AE452" s="91"/>
      <c r="AF452" s="91"/>
    </row>
    <row r="453">
      <c r="A453" s="59" t="s">
        <v>1066</v>
      </c>
      <c r="B453" s="59" t="s">
        <v>1067</v>
      </c>
      <c r="C453" s="70">
        <v>1.65276983116E11</v>
      </c>
      <c r="D453" s="86">
        <v>-0.3183420154459064</v>
      </c>
      <c r="E453" s="94">
        <v>58.3</v>
      </c>
      <c r="F453" s="94">
        <v>52.39</v>
      </c>
      <c r="G453" s="94">
        <v>45.51</v>
      </c>
      <c r="H453" s="59">
        <v>41.68</v>
      </c>
      <c r="I453" s="94">
        <v>51.65</v>
      </c>
      <c r="J453" s="59">
        <v>47.2</v>
      </c>
      <c r="K453" s="94">
        <v>45.39</v>
      </c>
      <c r="L453" s="94">
        <v>42.93</v>
      </c>
      <c r="M453" s="94">
        <v>58.3</v>
      </c>
      <c r="N453" s="59">
        <v>26.08</v>
      </c>
      <c r="O453" s="88">
        <v>-0.11280778774575294</v>
      </c>
      <c r="P453" s="95">
        <v>-0.09189059500959688</v>
      </c>
      <c r="Q453" s="88">
        <v>-0.09427966101694905</v>
      </c>
      <c r="R453" s="88">
        <v>-0.05730258560447242</v>
      </c>
      <c r="S453" s="88">
        <v>-1.2354294478527608</v>
      </c>
      <c r="T453" s="59"/>
      <c r="U453" s="59"/>
      <c r="V453" s="91"/>
      <c r="W453" s="91"/>
      <c r="X453" s="91"/>
      <c r="Y453" s="91"/>
      <c r="Z453" s="91"/>
      <c r="AA453" s="96"/>
      <c r="AB453" s="97"/>
      <c r="AC453" s="91"/>
      <c r="AD453" s="91"/>
      <c r="AE453" s="91"/>
      <c r="AF453" s="91"/>
    </row>
    <row r="454">
      <c r="A454" s="59" t="s">
        <v>1068</v>
      </c>
      <c r="B454" s="59" t="s">
        <v>1069</v>
      </c>
      <c r="C454" s="70">
        <v>3.6170787714E10</v>
      </c>
      <c r="D454" s="86">
        <v>-0.3216506302010728</v>
      </c>
      <c r="E454" s="94" t="e">
        <v>#N/A</v>
      </c>
      <c r="F454" s="94" t="e">
        <v>#N/A</v>
      </c>
      <c r="G454" s="94" t="e">
        <v>#N/A</v>
      </c>
      <c r="H454" s="59" t="e">
        <v>#N/A</v>
      </c>
      <c r="I454" s="94" t="e">
        <v>#N/A</v>
      </c>
      <c r="J454" s="59" t="e">
        <v>#N/A</v>
      </c>
      <c r="K454" s="94">
        <v>50.27</v>
      </c>
      <c r="L454" s="94">
        <v>48.63</v>
      </c>
      <c r="M454" s="94">
        <v>111.93</v>
      </c>
      <c r="N454" s="59">
        <v>69.54</v>
      </c>
      <c r="O454" s="88" t="e">
        <v>#N/A</v>
      </c>
      <c r="P454" s="95" t="e">
        <v>#N/A</v>
      </c>
      <c r="Q454" s="88" t="e">
        <v>#N/A</v>
      </c>
      <c r="R454" s="88">
        <v>-0.033724038659263836</v>
      </c>
      <c r="S454" s="88">
        <v>-0.6095772217428818</v>
      </c>
      <c r="T454" s="59"/>
      <c r="U454" s="59"/>
      <c r="V454" s="91"/>
      <c r="W454" s="91"/>
      <c r="X454" s="91"/>
      <c r="Y454" s="91"/>
      <c r="Z454" s="91"/>
      <c r="AA454" s="96"/>
      <c r="AB454" s="97"/>
      <c r="AC454" s="91"/>
      <c r="AD454" s="91"/>
      <c r="AE454" s="91"/>
      <c r="AF454" s="91"/>
    </row>
    <row r="455">
      <c r="A455" s="59" t="s">
        <v>1070</v>
      </c>
      <c r="B455" s="59" t="s">
        <v>1071</v>
      </c>
      <c r="C455" s="70">
        <v>2.7283463217E10</v>
      </c>
      <c r="D455" s="86">
        <v>-0.32449420038307203</v>
      </c>
      <c r="E455" s="94">
        <v>48.0</v>
      </c>
      <c r="F455" s="94">
        <v>47.05</v>
      </c>
      <c r="G455" s="94">
        <v>45.94</v>
      </c>
      <c r="H455" s="59">
        <v>40.55</v>
      </c>
      <c r="I455" s="94">
        <v>45.7</v>
      </c>
      <c r="J455" s="59">
        <v>41.11</v>
      </c>
      <c r="K455" s="94">
        <v>68.42</v>
      </c>
      <c r="L455" s="94">
        <v>65.76</v>
      </c>
      <c r="M455" s="94">
        <v>89.84</v>
      </c>
      <c r="N455" s="59">
        <v>38.77</v>
      </c>
      <c r="O455" s="88">
        <v>-0.020191285866099955</v>
      </c>
      <c r="P455" s="95">
        <v>-0.13292231812577068</v>
      </c>
      <c r="Q455" s="88">
        <v>-0.11165166626125039</v>
      </c>
      <c r="R455" s="88">
        <v>-0.04045012165450116</v>
      </c>
      <c r="S455" s="88">
        <v>-1.317255610007738</v>
      </c>
      <c r="T455" s="59"/>
      <c r="U455" s="59"/>
      <c r="V455" s="91"/>
      <c r="W455" s="91"/>
      <c r="X455" s="91"/>
      <c r="Y455" s="91"/>
      <c r="Z455" s="91"/>
      <c r="AA455" s="96"/>
      <c r="AB455" s="97"/>
      <c r="AC455" s="91"/>
      <c r="AD455" s="91"/>
      <c r="AE455" s="91"/>
      <c r="AF455" s="91"/>
    </row>
    <row r="456">
      <c r="A456" s="59" t="s">
        <v>1072</v>
      </c>
      <c r="B456" s="59" t="s">
        <v>1073</v>
      </c>
      <c r="C456" s="70">
        <v>1.7506244919E10</v>
      </c>
      <c r="D456" s="86">
        <v>-0.3246445374024779</v>
      </c>
      <c r="E456" s="94">
        <v>26.23</v>
      </c>
      <c r="F456" s="94">
        <v>26.43</v>
      </c>
      <c r="G456" s="94">
        <v>40.71</v>
      </c>
      <c r="H456" s="59">
        <v>38.15</v>
      </c>
      <c r="I456" s="94">
        <v>42.94</v>
      </c>
      <c r="J456" s="59">
        <v>40.35</v>
      </c>
      <c r="K456" s="94">
        <v>62.84</v>
      </c>
      <c r="L456" s="94">
        <v>59.79</v>
      </c>
      <c r="M456" s="94">
        <v>120.49</v>
      </c>
      <c r="N456" s="59">
        <v>49.21</v>
      </c>
      <c r="O456" s="88">
        <v>0.007567158531971218</v>
      </c>
      <c r="P456" s="95">
        <v>-0.06710353866317176</v>
      </c>
      <c r="Q456" s="88">
        <v>-0.06418835192069383</v>
      </c>
      <c r="R456" s="88">
        <v>-0.05101187489546754</v>
      </c>
      <c r="S456" s="88">
        <v>-1.4484860800650274</v>
      </c>
      <c r="T456" s="59"/>
      <c r="U456" s="59"/>
      <c r="V456" s="91"/>
      <c r="W456" s="91"/>
      <c r="X456" s="91"/>
      <c r="Y456" s="91"/>
      <c r="Z456" s="91"/>
      <c r="AA456" s="96"/>
      <c r="AB456" s="97"/>
      <c r="AC456" s="91"/>
      <c r="AD456" s="91"/>
      <c r="AE456" s="91"/>
      <c r="AF456" s="91"/>
    </row>
    <row r="457">
      <c r="A457" s="59" t="s">
        <v>1074</v>
      </c>
      <c r="B457" s="59" t="s">
        <v>1075</v>
      </c>
      <c r="C457" s="70">
        <v>3.8892103416E10</v>
      </c>
      <c r="D457" s="86">
        <v>-0.3272502984241602</v>
      </c>
      <c r="E457" s="94" t="e">
        <v>#N/A</v>
      </c>
      <c r="F457" s="94" t="e">
        <v>#N/A</v>
      </c>
      <c r="G457" s="94" t="e">
        <v>#N/A</v>
      </c>
      <c r="H457" s="59" t="e">
        <v>#N/A</v>
      </c>
      <c r="I457" s="94" t="e">
        <v>#N/A</v>
      </c>
      <c r="J457" s="59" t="e">
        <v>#N/A</v>
      </c>
      <c r="K457" s="94">
        <v>72.94</v>
      </c>
      <c r="L457" s="94">
        <v>70.24</v>
      </c>
      <c r="M457" s="94">
        <v>165.42</v>
      </c>
      <c r="N457" s="59">
        <v>102.36</v>
      </c>
      <c r="O457" s="88" t="e">
        <v>#N/A</v>
      </c>
      <c r="P457" s="95" t="e">
        <v>#N/A</v>
      </c>
      <c r="Q457" s="88" t="e">
        <v>#N/A</v>
      </c>
      <c r="R457" s="88">
        <v>-0.03843963553530756</v>
      </c>
      <c r="S457" s="88">
        <v>-0.6160609613130128</v>
      </c>
      <c r="T457" s="59"/>
      <c r="U457" s="59"/>
      <c r="V457" s="91"/>
      <c r="W457" s="91"/>
      <c r="X457" s="91"/>
      <c r="Y457" s="91"/>
      <c r="Z457" s="91"/>
      <c r="AA457" s="96"/>
      <c r="AB457" s="97"/>
      <c r="AC457" s="91"/>
      <c r="AD457" s="91"/>
      <c r="AE457" s="91"/>
      <c r="AF457" s="91"/>
    </row>
    <row r="458">
      <c r="A458" s="59" t="s">
        <v>1076</v>
      </c>
      <c r="B458" s="59" t="s">
        <v>1077</v>
      </c>
      <c r="C458" s="70">
        <v>6.3469794024E10</v>
      </c>
      <c r="D458" s="86">
        <v>-0.32905203274006684</v>
      </c>
      <c r="E458" s="94" t="e">
        <v>#N/A</v>
      </c>
      <c r="F458" s="94" t="e">
        <v>#N/A</v>
      </c>
      <c r="G458" s="94" t="e">
        <v>#N/A</v>
      </c>
      <c r="H458" s="59" t="e">
        <v>#N/A</v>
      </c>
      <c r="I458" s="94">
        <v>21.99</v>
      </c>
      <c r="J458" s="59">
        <v>18.19</v>
      </c>
      <c r="K458" s="94">
        <v>86.25</v>
      </c>
      <c r="L458" s="94">
        <v>84.31</v>
      </c>
      <c r="M458" s="94">
        <v>148.23</v>
      </c>
      <c r="N458" s="59">
        <v>84.45</v>
      </c>
      <c r="O458" s="88" t="e">
        <v>#N/A</v>
      </c>
      <c r="P458" s="95" t="e">
        <v>#N/A</v>
      </c>
      <c r="Q458" s="88">
        <v>-0.20890599230346327</v>
      </c>
      <c r="R458" s="88">
        <v>-0.023010319060609626</v>
      </c>
      <c r="S458" s="88">
        <v>-0.7552397868561277</v>
      </c>
      <c r="T458" s="59"/>
      <c r="U458" s="59"/>
      <c r="V458" s="91"/>
      <c r="W458" s="91"/>
      <c r="X458" s="91"/>
      <c r="Y458" s="91"/>
      <c r="Z458" s="91"/>
      <c r="AA458" s="96"/>
      <c r="AB458" s="97"/>
      <c r="AC458" s="91"/>
      <c r="AD458" s="91"/>
      <c r="AE458" s="91"/>
      <c r="AF458" s="91"/>
    </row>
    <row r="459">
      <c r="A459" s="59" t="s">
        <v>1078</v>
      </c>
      <c r="B459" s="59" t="s">
        <v>1079</v>
      </c>
      <c r="C459" s="70">
        <v>7.3097579101E10</v>
      </c>
      <c r="D459" s="86">
        <v>-0.3324618078518279</v>
      </c>
      <c r="E459" s="94">
        <v>86.74</v>
      </c>
      <c r="F459" s="94">
        <v>82.95</v>
      </c>
      <c r="G459" s="94">
        <v>71.31</v>
      </c>
      <c r="H459" s="59">
        <v>62.86</v>
      </c>
      <c r="I459" s="94">
        <v>80.88</v>
      </c>
      <c r="J459" s="59">
        <v>73.67</v>
      </c>
      <c r="K459" s="94">
        <v>77.5</v>
      </c>
      <c r="L459" s="94">
        <v>73.87</v>
      </c>
      <c r="M459" s="94">
        <v>33.65</v>
      </c>
      <c r="N459" s="59">
        <v>14.41</v>
      </c>
      <c r="O459" s="88">
        <v>-0.04569017480409876</v>
      </c>
      <c r="P459" s="95">
        <v>-0.13442570792236722</v>
      </c>
      <c r="Q459" s="88">
        <v>-0.09786887471155142</v>
      </c>
      <c r="R459" s="88">
        <v>-0.04914038175172594</v>
      </c>
      <c r="S459" s="88">
        <v>-1.3351839000693961</v>
      </c>
      <c r="T459" s="59"/>
      <c r="U459" s="59"/>
      <c r="V459" s="91"/>
      <c r="W459" s="91"/>
      <c r="X459" s="91"/>
      <c r="Y459" s="91"/>
      <c r="Z459" s="91"/>
      <c r="AA459" s="96"/>
      <c r="AB459" s="97"/>
      <c r="AC459" s="91"/>
      <c r="AD459" s="91"/>
      <c r="AE459" s="91"/>
      <c r="AF459" s="91"/>
    </row>
    <row r="460">
      <c r="A460" s="59" t="s">
        <v>264</v>
      </c>
      <c r="B460" s="59" t="s">
        <v>1080</v>
      </c>
      <c r="C460" s="70">
        <v>7.13867145652E11</v>
      </c>
      <c r="D460" s="86">
        <v>-0.336115842171115</v>
      </c>
      <c r="E460" s="94" t="e">
        <v>#N/A</v>
      </c>
      <c r="F460" s="94" t="e">
        <v>#N/A</v>
      </c>
      <c r="G460" s="94" t="e">
        <v>#N/A</v>
      </c>
      <c r="H460" s="59" t="e">
        <v>#N/A</v>
      </c>
      <c r="I460" s="94">
        <v>1.62</v>
      </c>
      <c r="J460" s="59">
        <v>1.58</v>
      </c>
      <c r="K460" s="94">
        <v>15.38</v>
      </c>
      <c r="L460" s="94">
        <v>14.59</v>
      </c>
      <c r="M460" s="94">
        <v>57.23</v>
      </c>
      <c r="N460" s="59">
        <v>29.67</v>
      </c>
      <c r="O460" s="88" t="e">
        <v>#N/A</v>
      </c>
      <c r="P460" s="95" t="e">
        <v>#N/A</v>
      </c>
      <c r="Q460" s="88">
        <v>-0.025316455696202552</v>
      </c>
      <c r="R460" s="88">
        <v>-0.05414667580534619</v>
      </c>
      <c r="S460" s="88">
        <v>-0.9288843950117962</v>
      </c>
      <c r="T460" s="59"/>
      <c r="U460" s="59"/>
      <c r="V460" s="91"/>
      <c r="W460" s="91"/>
      <c r="X460" s="91"/>
      <c r="Y460" s="91"/>
      <c r="Z460" s="91"/>
      <c r="AA460" s="96"/>
      <c r="AB460" s="97"/>
      <c r="AC460" s="91"/>
      <c r="AD460" s="91"/>
      <c r="AE460" s="91"/>
      <c r="AF460" s="91"/>
    </row>
    <row r="461">
      <c r="A461" s="59" t="s">
        <v>1081</v>
      </c>
      <c r="B461" s="59" t="s">
        <v>1082</v>
      </c>
      <c r="C461" s="70">
        <v>1.5352967227E10</v>
      </c>
      <c r="D461" s="86">
        <v>-0.34457876893519235</v>
      </c>
      <c r="E461" s="94">
        <v>33.32</v>
      </c>
      <c r="F461" s="94">
        <v>32.96</v>
      </c>
      <c r="G461" s="94">
        <v>36.86</v>
      </c>
      <c r="H461" s="59">
        <v>34.5</v>
      </c>
      <c r="I461" s="94">
        <v>41.71</v>
      </c>
      <c r="J461" s="59">
        <v>38.5</v>
      </c>
      <c r="K461" s="94">
        <v>59.6</v>
      </c>
      <c r="L461" s="94">
        <v>56.87</v>
      </c>
      <c r="M461" s="94">
        <v>59.79</v>
      </c>
      <c r="N461" s="59">
        <v>23.8</v>
      </c>
      <c r="O461" s="88">
        <v>-0.010922330097087362</v>
      </c>
      <c r="P461" s="95">
        <v>-0.06840579710144926</v>
      </c>
      <c r="Q461" s="88">
        <v>-0.0833766233766234</v>
      </c>
      <c r="R461" s="88">
        <v>-0.04800422015122216</v>
      </c>
      <c r="S461" s="88">
        <v>-1.5121848739495796</v>
      </c>
      <c r="T461" s="59"/>
      <c r="U461" s="59"/>
      <c r="V461" s="91"/>
      <c r="W461" s="91"/>
      <c r="X461" s="91"/>
      <c r="Y461" s="91"/>
      <c r="Z461" s="91"/>
      <c r="AA461" s="96"/>
      <c r="AB461" s="97"/>
      <c r="AC461" s="91"/>
      <c r="AD461" s="91"/>
      <c r="AE461" s="91"/>
      <c r="AF461" s="91"/>
    </row>
    <row r="462">
      <c r="A462" s="59" t="s">
        <v>1083</v>
      </c>
      <c r="B462" s="59" t="s">
        <v>1084</v>
      </c>
      <c r="C462" s="70">
        <v>6.1198686076E10</v>
      </c>
      <c r="D462" s="86">
        <v>-0.34786866194062516</v>
      </c>
      <c r="E462" s="94">
        <v>56.94</v>
      </c>
      <c r="F462" s="94">
        <v>49.36</v>
      </c>
      <c r="G462" s="94">
        <v>66.23</v>
      </c>
      <c r="H462" s="59">
        <v>58.5</v>
      </c>
      <c r="I462" s="94">
        <v>78.58</v>
      </c>
      <c r="J462" s="59">
        <v>70.58</v>
      </c>
      <c r="K462" s="94">
        <v>118.95</v>
      </c>
      <c r="L462" s="94">
        <v>111.13</v>
      </c>
      <c r="M462" s="94">
        <v>135.56</v>
      </c>
      <c r="N462" s="59">
        <v>59.72</v>
      </c>
      <c r="O462" s="88">
        <v>-0.15356564019448943</v>
      </c>
      <c r="P462" s="95">
        <v>-0.13213675213675222</v>
      </c>
      <c r="Q462" s="88">
        <v>-0.11334655709832814</v>
      </c>
      <c r="R462" s="88">
        <v>-0.07036803743363636</v>
      </c>
      <c r="S462" s="88">
        <v>-1.2699263228399198</v>
      </c>
      <c r="T462" s="59"/>
      <c r="U462" s="59"/>
      <c r="V462" s="91"/>
      <c r="W462" s="91"/>
      <c r="X462" s="91"/>
      <c r="Y462" s="91"/>
      <c r="Z462" s="91"/>
      <c r="AA462" s="96"/>
      <c r="AB462" s="97"/>
      <c r="AC462" s="91"/>
      <c r="AD462" s="91"/>
      <c r="AE462" s="91"/>
      <c r="AF462" s="91"/>
    </row>
    <row r="463">
      <c r="A463" s="59" t="s">
        <v>1085</v>
      </c>
      <c r="B463" s="59" t="s">
        <v>1086</v>
      </c>
      <c r="C463" s="70">
        <v>7.784318867E9</v>
      </c>
      <c r="D463" s="86">
        <v>-0.3553641017308352</v>
      </c>
      <c r="E463" s="94">
        <v>28.64</v>
      </c>
      <c r="F463" s="94">
        <v>28.61</v>
      </c>
      <c r="G463" s="94">
        <v>43.03</v>
      </c>
      <c r="H463" s="59">
        <v>38.28</v>
      </c>
      <c r="I463" s="94">
        <v>56.96</v>
      </c>
      <c r="J463" s="59">
        <v>50.2</v>
      </c>
      <c r="K463" s="94">
        <v>30.71</v>
      </c>
      <c r="L463" s="94">
        <v>28.72</v>
      </c>
      <c r="M463" s="94">
        <v>28.1</v>
      </c>
      <c r="N463" s="59">
        <v>11.48</v>
      </c>
      <c r="O463" s="88">
        <v>-0.001048584411045129</v>
      </c>
      <c r="P463" s="95">
        <v>-0.12408568443051202</v>
      </c>
      <c r="Q463" s="88">
        <v>-0.13466135458167325</v>
      </c>
      <c r="R463" s="88">
        <v>-0.06928969359331484</v>
      </c>
      <c r="S463" s="88">
        <v>-1.4477351916376306</v>
      </c>
      <c r="T463" s="59"/>
      <c r="U463" s="59"/>
      <c r="V463" s="91"/>
      <c r="W463" s="91"/>
      <c r="X463" s="91"/>
      <c r="Y463" s="91"/>
      <c r="Z463" s="91"/>
      <c r="AA463" s="96"/>
      <c r="AB463" s="97"/>
      <c r="AC463" s="91"/>
      <c r="AD463" s="91"/>
      <c r="AE463" s="91"/>
      <c r="AF463" s="91"/>
    </row>
    <row r="464">
      <c r="A464" s="59" t="s">
        <v>1087</v>
      </c>
      <c r="B464" s="59" t="s">
        <v>1088</v>
      </c>
      <c r="C464" s="70">
        <v>7.9883728794E10</v>
      </c>
      <c r="D464" s="86">
        <v>-0.35619378490631526</v>
      </c>
      <c r="E464" s="94">
        <v>46.73</v>
      </c>
      <c r="F464" s="94">
        <v>42.68</v>
      </c>
      <c r="G464" s="94">
        <v>56.78</v>
      </c>
      <c r="H464" s="59">
        <v>50.42</v>
      </c>
      <c r="I464" s="94">
        <v>47.96</v>
      </c>
      <c r="J464" s="59">
        <v>44.3</v>
      </c>
      <c r="K464" s="94">
        <v>74.86</v>
      </c>
      <c r="L464" s="94">
        <v>69.26</v>
      </c>
      <c r="M464" s="94">
        <v>74.53</v>
      </c>
      <c r="N464" s="59">
        <v>31.1</v>
      </c>
      <c r="O464" s="88">
        <v>-0.0948922211808809</v>
      </c>
      <c r="P464" s="95">
        <v>-0.1261404204680682</v>
      </c>
      <c r="Q464" s="88">
        <v>-0.08261851015801364</v>
      </c>
      <c r="R464" s="88">
        <v>-0.08085475021657514</v>
      </c>
      <c r="S464" s="88">
        <v>-1.3964630225080386</v>
      </c>
      <c r="T464" s="59"/>
      <c r="U464" s="59"/>
      <c r="V464" s="91"/>
      <c r="W464" s="91"/>
      <c r="X464" s="91"/>
      <c r="Y464" s="91"/>
      <c r="Z464" s="91"/>
      <c r="AA464" s="96"/>
      <c r="AB464" s="97"/>
      <c r="AC464" s="91"/>
      <c r="AD464" s="91"/>
      <c r="AE464" s="91"/>
      <c r="AF464" s="91"/>
    </row>
    <row r="465">
      <c r="A465" s="59" t="s">
        <v>1089</v>
      </c>
      <c r="B465" s="59" t="s">
        <v>1090</v>
      </c>
      <c r="C465" s="70">
        <v>8.5140645411E10</v>
      </c>
      <c r="D465" s="86">
        <v>-0.36929028355392274</v>
      </c>
      <c r="E465" s="94">
        <v>63.03</v>
      </c>
      <c r="F465" s="94">
        <v>62.25</v>
      </c>
      <c r="G465" s="94">
        <v>74.39</v>
      </c>
      <c r="H465" s="59">
        <v>66.72</v>
      </c>
      <c r="I465" s="94">
        <v>62.75</v>
      </c>
      <c r="J465" s="59">
        <v>58.71</v>
      </c>
      <c r="K465" s="94">
        <v>131.71</v>
      </c>
      <c r="L465" s="94">
        <v>127.19</v>
      </c>
      <c r="M465" s="94">
        <v>338.88</v>
      </c>
      <c r="N465" s="59">
        <v>129.61</v>
      </c>
      <c r="O465" s="88">
        <v>-0.012530120481927729</v>
      </c>
      <c r="P465" s="95">
        <v>-0.11495803357314151</v>
      </c>
      <c r="Q465" s="88">
        <v>-0.06881280872083119</v>
      </c>
      <c r="R465" s="88">
        <v>-0.03553738501454525</v>
      </c>
      <c r="S465" s="88">
        <v>-1.6146130699791679</v>
      </c>
      <c r="T465" s="59"/>
      <c r="U465" s="59"/>
      <c r="V465" s="91"/>
      <c r="W465" s="91"/>
      <c r="X465" s="91"/>
      <c r="Y465" s="91"/>
      <c r="Z465" s="91"/>
      <c r="AA465" s="96"/>
      <c r="AB465" s="97"/>
      <c r="AC465" s="91"/>
      <c r="AD465" s="91"/>
      <c r="AE465" s="91"/>
      <c r="AF465" s="91"/>
    </row>
    <row r="466">
      <c r="A466" s="59" t="s">
        <v>1091</v>
      </c>
      <c r="B466" s="59" t="s">
        <v>1092</v>
      </c>
      <c r="C466" s="70">
        <v>2.4814563421E10</v>
      </c>
      <c r="D466" s="86">
        <v>-0.37183474130716243</v>
      </c>
      <c r="E466" s="94" t="e">
        <v>#N/A</v>
      </c>
      <c r="F466" s="94" t="e">
        <v>#N/A</v>
      </c>
      <c r="G466" s="94" t="e">
        <v>#N/A</v>
      </c>
      <c r="H466" s="59" t="e">
        <v>#N/A</v>
      </c>
      <c r="I466" s="94" t="e">
        <v>#N/A</v>
      </c>
      <c r="J466" s="59" t="e">
        <v>#N/A</v>
      </c>
      <c r="K466" s="94">
        <v>60.36</v>
      </c>
      <c r="L466" s="94">
        <v>59.07</v>
      </c>
      <c r="M466" s="94">
        <v>88.02</v>
      </c>
      <c r="N466" s="59">
        <v>51.12</v>
      </c>
      <c r="O466" s="88" t="e">
        <v>#N/A</v>
      </c>
      <c r="P466" s="95" t="e">
        <v>#N/A</v>
      </c>
      <c r="Q466" s="88" t="e">
        <v>#N/A</v>
      </c>
      <c r="R466" s="88">
        <v>-0.02183849669883188</v>
      </c>
      <c r="S466" s="88">
        <v>-0.721830985915493</v>
      </c>
      <c r="T466" s="59"/>
      <c r="U466" s="59"/>
      <c r="V466" s="91"/>
      <c r="W466" s="91"/>
      <c r="X466" s="91"/>
      <c r="Y466" s="91"/>
      <c r="Z466" s="91"/>
      <c r="AA466" s="96"/>
      <c r="AB466" s="97"/>
      <c r="AC466" s="91"/>
      <c r="AD466" s="91"/>
      <c r="AE466" s="91"/>
      <c r="AF466" s="91"/>
    </row>
    <row r="467">
      <c r="A467" s="59" t="s">
        <v>1093</v>
      </c>
      <c r="B467" s="59" t="s">
        <v>1094</v>
      </c>
      <c r="C467" s="70">
        <v>4.1093718362E10</v>
      </c>
      <c r="D467" s="86">
        <v>-0.37276785714285715</v>
      </c>
      <c r="E467" s="94" t="e">
        <v>#N/A</v>
      </c>
      <c r="F467" s="94" t="e">
        <v>#N/A</v>
      </c>
      <c r="G467" s="94" t="e">
        <v>#N/A</v>
      </c>
      <c r="H467" s="59" t="e">
        <v>#N/A</v>
      </c>
      <c r="I467" s="94" t="e">
        <v>#N/A</v>
      </c>
      <c r="J467" s="59" t="e">
        <v>#N/A</v>
      </c>
      <c r="K467" s="94" t="e">
        <v>#N/A</v>
      </c>
      <c r="L467" s="94" t="e">
        <v>#N/A</v>
      </c>
      <c r="M467" s="94">
        <v>3075.0</v>
      </c>
      <c r="N467" s="59">
        <v>2240.0</v>
      </c>
      <c r="O467" s="88" t="e">
        <v>#N/A</v>
      </c>
      <c r="P467" s="95" t="e">
        <v>#N/A</v>
      </c>
      <c r="Q467" s="88" t="e">
        <v>#N/A</v>
      </c>
      <c r="R467" s="88" t="e">
        <v>#N/A</v>
      </c>
      <c r="S467" s="88">
        <v>-0.37276785714285715</v>
      </c>
      <c r="T467" s="59"/>
      <c r="U467" s="59"/>
      <c r="V467" s="91"/>
      <c r="W467" s="91"/>
      <c r="X467" s="91"/>
      <c r="Y467" s="91"/>
      <c r="Z467" s="91"/>
      <c r="AA467" s="96"/>
      <c r="AB467" s="97"/>
      <c r="AC467" s="91"/>
      <c r="AD467" s="91"/>
      <c r="AE467" s="91"/>
      <c r="AF467" s="91"/>
    </row>
    <row r="468">
      <c r="A468" s="59" t="s">
        <v>1095</v>
      </c>
      <c r="B468" s="59" t="s">
        <v>1096</v>
      </c>
      <c r="C468" s="70">
        <v>7.717691945E9</v>
      </c>
      <c r="D468" s="86">
        <v>-0.37612758503526883</v>
      </c>
      <c r="E468" s="94">
        <v>90.37</v>
      </c>
      <c r="F468" s="94">
        <v>83.67</v>
      </c>
      <c r="G468" s="94">
        <v>91.88</v>
      </c>
      <c r="H468" s="59">
        <v>76.98</v>
      </c>
      <c r="I468" s="94">
        <v>139.91</v>
      </c>
      <c r="J468" s="59">
        <v>126.91</v>
      </c>
      <c r="K468" s="94">
        <v>81.77</v>
      </c>
      <c r="L468" s="94">
        <v>76.48</v>
      </c>
      <c r="M468" s="94">
        <v>133.46</v>
      </c>
      <c r="N468" s="59">
        <v>54.8</v>
      </c>
      <c r="O468" s="88">
        <v>-0.08007649097645515</v>
      </c>
      <c r="P468" s="95">
        <v>-0.19355676799168603</v>
      </c>
      <c r="Q468" s="88">
        <v>-0.10243479631234734</v>
      </c>
      <c r="R468" s="88">
        <v>-0.06916841004184089</v>
      </c>
      <c r="S468" s="88">
        <v>-1.4354014598540148</v>
      </c>
      <c r="T468" s="59"/>
      <c r="U468" s="59"/>
      <c r="V468" s="91"/>
      <c r="W468" s="91"/>
      <c r="X468" s="91"/>
      <c r="Y468" s="91"/>
      <c r="Z468" s="91"/>
      <c r="AA468" s="96"/>
      <c r="AB468" s="97"/>
      <c r="AC468" s="91"/>
      <c r="AD468" s="91"/>
      <c r="AE468" s="91"/>
      <c r="AF468" s="91"/>
    </row>
    <row r="469">
      <c r="A469" s="59" t="s">
        <v>1097</v>
      </c>
      <c r="B469" s="59" t="s">
        <v>1098</v>
      </c>
      <c r="C469" s="70">
        <v>1.2561808561E10</v>
      </c>
      <c r="D469" s="86">
        <v>-0.3794128339645191</v>
      </c>
      <c r="E469" s="94">
        <v>16.18</v>
      </c>
      <c r="F469" s="94">
        <v>16.16</v>
      </c>
      <c r="G469" s="94">
        <v>16.71</v>
      </c>
      <c r="H469" s="59">
        <v>14.21</v>
      </c>
      <c r="I469" s="94">
        <v>23.76</v>
      </c>
      <c r="J469" s="59">
        <v>21.31</v>
      </c>
      <c r="K469" s="94">
        <v>45.09</v>
      </c>
      <c r="L469" s="94">
        <v>43.95</v>
      </c>
      <c r="M469" s="94">
        <v>35.1</v>
      </c>
      <c r="N469" s="59">
        <v>13.61</v>
      </c>
      <c r="O469" s="88">
        <v>-0.0012376237623762112</v>
      </c>
      <c r="P469" s="95">
        <v>-0.17593244194229415</v>
      </c>
      <c r="Q469" s="88">
        <v>-0.11496949788831548</v>
      </c>
      <c r="R469" s="88">
        <v>-0.025938566552901034</v>
      </c>
      <c r="S469" s="88">
        <v>-1.5789860396767086</v>
      </c>
      <c r="T469" s="59"/>
      <c r="U469" s="59"/>
      <c r="V469" s="91"/>
      <c r="W469" s="91"/>
      <c r="X469" s="91"/>
      <c r="Y469" s="91"/>
      <c r="Z469" s="91"/>
      <c r="AA469" s="96"/>
      <c r="AB469" s="97"/>
      <c r="AC469" s="91"/>
      <c r="AD469" s="91"/>
      <c r="AE469" s="91"/>
      <c r="AF469" s="91"/>
    </row>
    <row r="470">
      <c r="A470" s="59" t="s">
        <v>1099</v>
      </c>
      <c r="B470" s="59" t="s">
        <v>1100</v>
      </c>
      <c r="C470" s="70">
        <v>2.1888878269E10</v>
      </c>
      <c r="D470" s="86">
        <v>-0.3836186121452094</v>
      </c>
      <c r="E470" s="94">
        <v>26.57</v>
      </c>
      <c r="F470" s="94">
        <v>24.78</v>
      </c>
      <c r="G470" s="94">
        <v>19.59</v>
      </c>
      <c r="H470" s="59">
        <v>18.48</v>
      </c>
      <c r="I470" s="94">
        <v>26.12</v>
      </c>
      <c r="J470" s="59">
        <v>23.37</v>
      </c>
      <c r="K470" s="94">
        <v>15.73</v>
      </c>
      <c r="L470" s="94">
        <v>14.39</v>
      </c>
      <c r="M470" s="94">
        <v>10.3</v>
      </c>
      <c r="N470" s="59">
        <v>4.0</v>
      </c>
      <c r="O470" s="88">
        <v>-0.07223567393058915</v>
      </c>
      <c r="P470" s="95">
        <v>-0.06006493506493503</v>
      </c>
      <c r="Q470" s="88">
        <v>-0.11767222935387248</v>
      </c>
      <c r="R470" s="88">
        <v>-0.09312022237665044</v>
      </c>
      <c r="S470" s="88">
        <v>-1.5750000000000002</v>
      </c>
      <c r="T470" s="59"/>
      <c r="U470" s="59"/>
      <c r="V470" s="91"/>
      <c r="W470" s="91"/>
      <c r="X470" s="91"/>
      <c r="Y470" s="91"/>
      <c r="Z470" s="91"/>
      <c r="AA470" s="96"/>
      <c r="AB470" s="97"/>
      <c r="AC470" s="91"/>
      <c r="AD470" s="91"/>
      <c r="AE470" s="91"/>
      <c r="AF470" s="91"/>
    </row>
    <row r="471">
      <c r="A471" s="59" t="s">
        <v>1101</v>
      </c>
      <c r="B471" s="59" t="s">
        <v>1102</v>
      </c>
      <c r="C471" s="70">
        <v>7.699681441E9</v>
      </c>
      <c r="D471" s="86">
        <v>-0.4154896158158393</v>
      </c>
      <c r="E471" s="94" t="e">
        <v>#N/A</v>
      </c>
      <c r="F471" s="94" t="e">
        <v>#N/A</v>
      </c>
      <c r="G471" s="94" t="e">
        <v>#N/A</v>
      </c>
      <c r="H471" s="59" t="e">
        <v>#N/A</v>
      </c>
      <c r="I471" s="94" t="e">
        <v>#N/A</v>
      </c>
      <c r="J471" s="59" t="e">
        <v>#N/A</v>
      </c>
      <c r="K471" s="94">
        <v>49.68</v>
      </c>
      <c r="L471" s="94">
        <v>47.06</v>
      </c>
      <c r="M471" s="94">
        <v>72.61</v>
      </c>
      <c r="N471" s="59">
        <v>40.9</v>
      </c>
      <c r="O471" s="88" t="e">
        <v>#N/A</v>
      </c>
      <c r="P471" s="95" t="e">
        <v>#N/A</v>
      </c>
      <c r="Q471" s="88" t="e">
        <v>#N/A</v>
      </c>
      <c r="R471" s="88">
        <v>-0.05567360815979595</v>
      </c>
      <c r="S471" s="88">
        <v>-0.7753056234718827</v>
      </c>
      <c r="T471" s="59"/>
      <c r="U471" s="59"/>
      <c r="V471" s="91"/>
      <c r="W471" s="91"/>
      <c r="X471" s="91"/>
      <c r="Y471" s="91"/>
      <c r="Z471" s="91"/>
      <c r="AA471" s="96"/>
      <c r="AB471" s="97"/>
      <c r="AC471" s="91"/>
      <c r="AD471" s="91"/>
      <c r="AE471" s="91"/>
      <c r="AF471" s="91"/>
    </row>
    <row r="472">
      <c r="A472" s="59" t="s">
        <v>1103</v>
      </c>
      <c r="B472" s="59" t="s">
        <v>1104</v>
      </c>
      <c r="C472" s="70">
        <v>1.0069996585E10</v>
      </c>
      <c r="D472" s="86">
        <v>-0.42448805485819624</v>
      </c>
      <c r="E472" s="94">
        <v>37.9</v>
      </c>
      <c r="F472" s="94">
        <v>41.02</v>
      </c>
      <c r="G472" s="94">
        <v>42.42</v>
      </c>
      <c r="H472" s="59">
        <v>36.68</v>
      </c>
      <c r="I472" s="94">
        <v>32.22</v>
      </c>
      <c r="J472" s="59">
        <v>30.53</v>
      </c>
      <c r="K472" s="94">
        <v>48.38</v>
      </c>
      <c r="L472" s="94">
        <v>46.48</v>
      </c>
      <c r="M472" s="94">
        <v>42.92</v>
      </c>
      <c r="N472" s="59">
        <v>14.57</v>
      </c>
      <c r="O472" s="88">
        <v>0.07606045831301815</v>
      </c>
      <c r="P472" s="95">
        <v>-0.15648854961832068</v>
      </c>
      <c r="Q472" s="88">
        <v>-0.055355388142810276</v>
      </c>
      <c r="R472" s="88">
        <v>-0.040877796901893415</v>
      </c>
      <c r="S472" s="88">
        <v>-1.9457789979409748</v>
      </c>
      <c r="T472" s="59"/>
      <c r="U472" s="59"/>
      <c r="V472" s="91"/>
      <c r="W472" s="91"/>
      <c r="X472" s="91"/>
      <c r="Y472" s="91"/>
      <c r="Z472" s="91"/>
      <c r="AA472" s="96"/>
      <c r="AB472" s="97"/>
      <c r="AC472" s="91"/>
      <c r="AD472" s="91"/>
      <c r="AE472" s="91"/>
      <c r="AF472" s="91"/>
    </row>
    <row r="473">
      <c r="A473" s="59" t="s">
        <v>1105</v>
      </c>
      <c r="B473" s="59" t="s">
        <v>1106</v>
      </c>
      <c r="C473" s="70">
        <v>9.170101516E9</v>
      </c>
      <c r="D473" s="86">
        <v>-0.4274928269737844</v>
      </c>
      <c r="E473" s="94" t="e">
        <v>#N/A</v>
      </c>
      <c r="F473" s="94" t="e">
        <v>#N/A</v>
      </c>
      <c r="G473" s="94" t="e">
        <v>#N/A</v>
      </c>
      <c r="H473" s="59" t="e">
        <v>#N/A</v>
      </c>
      <c r="I473" s="94" t="e">
        <v>#N/A</v>
      </c>
      <c r="J473" s="59" t="e">
        <v>#N/A</v>
      </c>
      <c r="K473" s="94">
        <v>39.75</v>
      </c>
      <c r="L473" s="94">
        <v>37.62</v>
      </c>
      <c r="M473" s="94">
        <v>28.63</v>
      </c>
      <c r="N473" s="59">
        <v>15.92</v>
      </c>
      <c r="O473" s="88" t="e">
        <v>#N/A</v>
      </c>
      <c r="P473" s="95" t="e">
        <v>#N/A</v>
      </c>
      <c r="Q473" s="88" t="e">
        <v>#N/A</v>
      </c>
      <c r="R473" s="88">
        <v>-0.05661881977671458</v>
      </c>
      <c r="S473" s="88">
        <v>-0.7983668341708542</v>
      </c>
      <c r="T473" s="59"/>
      <c r="U473" s="59"/>
      <c r="V473" s="91"/>
      <c r="W473" s="91"/>
      <c r="X473" s="91"/>
      <c r="Y473" s="91"/>
      <c r="Z473" s="91"/>
      <c r="AA473" s="96"/>
      <c r="AB473" s="97"/>
      <c r="AC473" s="91"/>
      <c r="AD473" s="91"/>
      <c r="AE473" s="91"/>
      <c r="AF473" s="91"/>
    </row>
    <row r="474">
      <c r="A474" s="59" t="s">
        <v>1107</v>
      </c>
      <c r="B474" s="59" t="s">
        <v>1108</v>
      </c>
      <c r="C474" s="70">
        <v>9.185398899E9</v>
      </c>
      <c r="D474" s="86">
        <v>-0.4295580624974521</v>
      </c>
      <c r="E474" s="94">
        <v>49.48</v>
      </c>
      <c r="F474" s="94">
        <v>49.1</v>
      </c>
      <c r="G474" s="94">
        <v>31.2</v>
      </c>
      <c r="H474" s="59">
        <v>26.64</v>
      </c>
      <c r="I474" s="94">
        <v>23.53</v>
      </c>
      <c r="J474" s="59">
        <v>20.65</v>
      </c>
      <c r="K474" s="94">
        <v>50.68</v>
      </c>
      <c r="L474" s="94">
        <v>48.14</v>
      </c>
      <c r="M474" s="94">
        <v>60.17</v>
      </c>
      <c r="N474" s="59">
        <v>21.67</v>
      </c>
      <c r="O474" s="88">
        <v>-0.007739307535641455</v>
      </c>
      <c r="P474" s="95">
        <v>-0.17117117117117112</v>
      </c>
      <c r="Q474" s="88">
        <v>-0.1394673123486684</v>
      </c>
      <c r="R474" s="88">
        <v>-0.05276277523888656</v>
      </c>
      <c r="S474" s="88">
        <v>-1.7766497461928932</v>
      </c>
      <c r="T474" s="59"/>
      <c r="U474" s="59"/>
      <c r="V474" s="91"/>
      <c r="W474" s="91"/>
      <c r="X474" s="91"/>
      <c r="Y474" s="91"/>
      <c r="Z474" s="91"/>
      <c r="AA474" s="96"/>
      <c r="AB474" s="97"/>
      <c r="AC474" s="91"/>
      <c r="AD474" s="91"/>
      <c r="AE474" s="91"/>
      <c r="AF474" s="91"/>
    </row>
    <row r="475">
      <c r="A475" s="59" t="s">
        <v>1109</v>
      </c>
      <c r="B475" s="59" t="s">
        <v>1110</v>
      </c>
      <c r="C475" s="70">
        <v>8.67770951E9</v>
      </c>
      <c r="D475" s="86">
        <v>-0.4315093765076638</v>
      </c>
      <c r="E475" s="94" t="e">
        <v>#N/A</v>
      </c>
      <c r="F475" s="94" t="e">
        <v>#N/A</v>
      </c>
      <c r="G475" s="94" t="e">
        <v>#N/A</v>
      </c>
      <c r="H475" s="59" t="e">
        <v>#N/A</v>
      </c>
      <c r="I475" s="94" t="e">
        <v>#N/A</v>
      </c>
      <c r="J475" s="59" t="e">
        <v>#N/A</v>
      </c>
      <c r="K475" s="94">
        <v>53.23</v>
      </c>
      <c r="L475" s="94">
        <v>50.93</v>
      </c>
      <c r="M475" s="94">
        <v>40.92</v>
      </c>
      <c r="N475" s="59">
        <v>22.51</v>
      </c>
      <c r="O475" s="88" t="e">
        <v>#N/A</v>
      </c>
      <c r="P475" s="95" t="e">
        <v>#N/A</v>
      </c>
      <c r="Q475" s="88" t="e">
        <v>#N/A</v>
      </c>
      <c r="R475" s="88">
        <v>-0.04516002356175137</v>
      </c>
      <c r="S475" s="88">
        <v>-0.8178587294535762</v>
      </c>
      <c r="T475" s="59"/>
      <c r="U475" s="59"/>
      <c r="V475" s="91"/>
      <c r="W475" s="91"/>
      <c r="X475" s="91"/>
      <c r="Y475" s="91"/>
      <c r="Z475" s="91"/>
      <c r="AA475" s="96"/>
      <c r="AB475" s="97"/>
      <c r="AC475" s="91"/>
      <c r="AD475" s="91"/>
      <c r="AE475" s="91"/>
      <c r="AF475" s="91"/>
    </row>
    <row r="476">
      <c r="A476" s="59" t="s">
        <v>1111</v>
      </c>
      <c r="B476" s="59" t="s">
        <v>1112</v>
      </c>
      <c r="C476" s="70">
        <v>5.061604E10</v>
      </c>
      <c r="D476" s="86">
        <v>-0.4354888514540513</v>
      </c>
      <c r="E476" s="94">
        <v>93.7</v>
      </c>
      <c r="F476" s="94">
        <v>89.54</v>
      </c>
      <c r="G476" s="94">
        <v>68.13</v>
      </c>
      <c r="H476" s="59">
        <v>64.58</v>
      </c>
      <c r="I476" s="94">
        <v>69.9</v>
      </c>
      <c r="J476" s="59">
        <v>65.35</v>
      </c>
      <c r="K476" s="94">
        <v>41.09</v>
      </c>
      <c r="L476" s="94">
        <v>38.08</v>
      </c>
      <c r="M476" s="94">
        <v>22.16</v>
      </c>
      <c r="N476" s="59">
        <v>7.57</v>
      </c>
      <c r="O476" s="88">
        <v>-0.046459682823319144</v>
      </c>
      <c r="P476" s="95">
        <v>-0.05497057912666456</v>
      </c>
      <c r="Q476" s="88">
        <v>-0.06962509563886782</v>
      </c>
      <c r="R476" s="88">
        <v>-0.07904411764705896</v>
      </c>
      <c r="S476" s="88">
        <v>-1.9273447820343461</v>
      </c>
      <c r="T476" s="59"/>
      <c r="U476" s="59"/>
      <c r="V476" s="91"/>
      <c r="W476" s="91"/>
      <c r="X476" s="91"/>
      <c r="Y476" s="91"/>
      <c r="Z476" s="91"/>
      <c r="AA476" s="96"/>
      <c r="AB476" s="97"/>
      <c r="AC476" s="91"/>
      <c r="AD476" s="91"/>
      <c r="AE476" s="91"/>
      <c r="AF476" s="91"/>
    </row>
    <row r="477">
      <c r="A477" s="59" t="s">
        <v>1113</v>
      </c>
      <c r="B477" s="59" t="s">
        <v>1114</v>
      </c>
      <c r="C477" s="70">
        <v>2.5551749258E10</v>
      </c>
      <c r="D477" s="86">
        <v>-0.43942648422301966</v>
      </c>
      <c r="E477" s="94" t="e">
        <v>#N/A</v>
      </c>
      <c r="F477" s="94" t="e">
        <v>#N/A</v>
      </c>
      <c r="G477" s="94">
        <v>22.8</v>
      </c>
      <c r="H477" s="59">
        <v>18.6</v>
      </c>
      <c r="I477" s="94">
        <v>33.11</v>
      </c>
      <c r="J477" s="59">
        <v>28.47</v>
      </c>
      <c r="K477" s="94">
        <v>80.25</v>
      </c>
      <c r="L477" s="94">
        <v>77.25</v>
      </c>
      <c r="M477" s="94">
        <v>81.32</v>
      </c>
      <c r="N477" s="59">
        <v>34.9</v>
      </c>
      <c r="O477" s="88" t="e">
        <v>#N/A</v>
      </c>
      <c r="P477" s="95">
        <v>-0.22580645161290316</v>
      </c>
      <c r="Q477" s="88">
        <v>-0.16297857393747808</v>
      </c>
      <c r="R477" s="88">
        <v>-0.038834951456310676</v>
      </c>
      <c r="S477" s="88">
        <v>-1.3300859598853867</v>
      </c>
      <c r="T477" s="59"/>
      <c r="U477" s="59"/>
      <c r="V477" s="91"/>
      <c r="W477" s="91"/>
      <c r="X477" s="91"/>
      <c r="Y477" s="91"/>
      <c r="Z477" s="91"/>
      <c r="AA477" s="96"/>
      <c r="AB477" s="97"/>
      <c r="AC477" s="91"/>
      <c r="AD477" s="91"/>
      <c r="AE477" s="91"/>
      <c r="AF477" s="91"/>
    </row>
    <row r="478">
      <c r="A478" s="59" t="s">
        <v>1115</v>
      </c>
      <c r="B478" s="59" t="s">
        <v>1116</v>
      </c>
      <c r="C478" s="70">
        <v>5.1655266796E10</v>
      </c>
      <c r="D478" s="86">
        <v>-0.44000702278171644</v>
      </c>
      <c r="E478" s="94" t="e">
        <v>#N/A</v>
      </c>
      <c r="F478" s="94" t="e">
        <v>#N/A</v>
      </c>
      <c r="G478" s="94" t="e">
        <v>#N/A</v>
      </c>
      <c r="H478" s="59" t="e">
        <v>#N/A</v>
      </c>
      <c r="I478" s="94" t="e">
        <v>#N/A</v>
      </c>
      <c r="J478" s="59" t="e">
        <v>#N/A</v>
      </c>
      <c r="K478" s="94">
        <v>75.74</v>
      </c>
      <c r="L478" s="94">
        <v>71.66</v>
      </c>
      <c r="M478" s="94">
        <v>88.0</v>
      </c>
      <c r="N478" s="59">
        <v>48.27</v>
      </c>
      <c r="O478" s="88" t="e">
        <v>#N/A</v>
      </c>
      <c r="P478" s="95" t="e">
        <v>#N/A</v>
      </c>
      <c r="Q478" s="88" t="e">
        <v>#N/A</v>
      </c>
      <c r="R478" s="88">
        <v>-0.056935528886408016</v>
      </c>
      <c r="S478" s="88">
        <v>-0.8230785166770249</v>
      </c>
      <c r="T478" s="59"/>
      <c r="U478" s="59"/>
      <c r="V478" s="91"/>
      <c r="W478" s="91"/>
      <c r="X478" s="91"/>
      <c r="Y478" s="91"/>
      <c r="Z478" s="91"/>
      <c r="AA478" s="96"/>
      <c r="AB478" s="97"/>
      <c r="AC478" s="91"/>
      <c r="AD478" s="91"/>
      <c r="AE478" s="91"/>
      <c r="AF478" s="91"/>
    </row>
    <row r="479">
      <c r="A479" s="59" t="s">
        <v>1117</v>
      </c>
      <c r="B479" s="59" t="s">
        <v>1118</v>
      </c>
      <c r="C479" s="70">
        <v>1.6174437265E10</v>
      </c>
      <c r="D479" s="86">
        <v>-0.44053005817711705</v>
      </c>
      <c r="E479" s="94" t="e">
        <v>#N/A</v>
      </c>
      <c r="F479" s="94" t="e">
        <v>#N/A</v>
      </c>
      <c r="G479" s="94" t="e">
        <v>#N/A</v>
      </c>
      <c r="H479" s="59" t="e">
        <v>#N/A</v>
      </c>
      <c r="I479" s="94" t="e">
        <v>#N/A</v>
      </c>
      <c r="J479" s="59" t="e">
        <v>#N/A</v>
      </c>
      <c r="K479" s="94">
        <v>33.72</v>
      </c>
      <c r="L479" s="94">
        <v>33.15</v>
      </c>
      <c r="M479" s="94">
        <v>33.27</v>
      </c>
      <c r="N479" s="59">
        <v>17.85</v>
      </c>
      <c r="O479" s="88" t="e">
        <v>#N/A</v>
      </c>
      <c r="P479" s="95" t="e">
        <v>#N/A</v>
      </c>
      <c r="Q479" s="88" t="e">
        <v>#N/A</v>
      </c>
      <c r="R479" s="88">
        <v>-0.017194570135746615</v>
      </c>
      <c r="S479" s="88">
        <v>-0.8638655462184874</v>
      </c>
      <c r="T479" s="59"/>
      <c r="U479" s="59"/>
      <c r="V479" s="91"/>
      <c r="W479" s="91"/>
      <c r="X479" s="91"/>
      <c r="Y479" s="91"/>
      <c r="Z479" s="91"/>
      <c r="AA479" s="96"/>
      <c r="AB479" s="97"/>
      <c r="AC479" s="91"/>
      <c r="AD479" s="91"/>
      <c r="AE479" s="91"/>
      <c r="AF479" s="91"/>
    </row>
    <row r="480">
      <c r="A480" s="59" t="s">
        <v>1119</v>
      </c>
      <c r="B480" s="59" t="s">
        <v>1120</v>
      </c>
      <c r="C480" s="70">
        <v>2.6838545354E10</v>
      </c>
      <c r="D480" s="86">
        <v>-0.4849077241023683</v>
      </c>
      <c r="E480" s="94">
        <v>18.7</v>
      </c>
      <c r="F480" s="94">
        <v>16.84</v>
      </c>
      <c r="G480" s="94">
        <v>22.2</v>
      </c>
      <c r="H480" s="59">
        <v>20.13</v>
      </c>
      <c r="I480" s="94">
        <v>27.88</v>
      </c>
      <c r="J480" s="59">
        <v>25.96</v>
      </c>
      <c r="K480" s="94">
        <v>34.13</v>
      </c>
      <c r="L480" s="94">
        <v>32.17</v>
      </c>
      <c r="M480" s="94">
        <v>76.94</v>
      </c>
      <c r="N480" s="59">
        <v>25.01</v>
      </c>
      <c r="O480" s="88">
        <v>-0.11045130641330163</v>
      </c>
      <c r="P480" s="95">
        <v>-0.10283159463487335</v>
      </c>
      <c r="Q480" s="88">
        <v>-0.07395993836671795</v>
      </c>
      <c r="R480" s="88">
        <v>-0.060926328877836514</v>
      </c>
      <c r="S480" s="88">
        <v>-2.076369452219112</v>
      </c>
      <c r="T480" s="59"/>
      <c r="U480" s="59"/>
      <c r="V480" s="91"/>
      <c r="W480" s="91"/>
      <c r="X480" s="91"/>
      <c r="Y480" s="91"/>
      <c r="Z480" s="91"/>
      <c r="AA480" s="96"/>
      <c r="AB480" s="97"/>
      <c r="AC480" s="91"/>
      <c r="AD480" s="91"/>
      <c r="AE480" s="91"/>
      <c r="AF480" s="91"/>
    </row>
    <row r="481">
      <c r="A481" s="59" t="s">
        <v>1121</v>
      </c>
      <c r="B481" s="59" t="s">
        <v>1122</v>
      </c>
      <c r="C481" s="70">
        <v>2.2622499697E10</v>
      </c>
      <c r="D481" s="86">
        <v>-0.4978085351787775</v>
      </c>
      <c r="E481" s="94" t="e">
        <v>#N/A</v>
      </c>
      <c r="F481" s="94" t="e">
        <v>#N/A</v>
      </c>
      <c r="G481" s="94" t="e">
        <v>#N/A</v>
      </c>
      <c r="H481" s="59" t="e">
        <v>#N/A</v>
      </c>
      <c r="I481" s="94" t="e">
        <v>#N/A</v>
      </c>
      <c r="J481" s="59" t="e">
        <v>#N/A</v>
      </c>
      <c r="K481" s="94" t="e">
        <v>#N/A</v>
      </c>
      <c r="L481" s="94" t="e">
        <v>#N/A</v>
      </c>
      <c r="M481" s="94">
        <v>64.93</v>
      </c>
      <c r="N481" s="59">
        <v>43.35</v>
      </c>
      <c r="O481" s="88" t="e">
        <v>#N/A</v>
      </c>
      <c r="P481" s="95" t="e">
        <v>#N/A</v>
      </c>
      <c r="Q481" s="88" t="e">
        <v>#N/A</v>
      </c>
      <c r="R481" s="88" t="e">
        <v>#N/A</v>
      </c>
      <c r="S481" s="88">
        <v>-0.4978085351787775</v>
      </c>
      <c r="T481" s="59"/>
      <c r="U481" s="59"/>
      <c r="V481" s="91"/>
      <c r="W481" s="91"/>
      <c r="X481" s="91"/>
      <c r="Y481" s="91"/>
      <c r="Z481" s="91"/>
      <c r="AA481" s="96"/>
      <c r="AB481" s="97"/>
      <c r="AC481" s="91"/>
      <c r="AD481" s="91"/>
      <c r="AE481" s="91"/>
      <c r="AF481" s="91"/>
    </row>
    <row r="482">
      <c r="A482" s="59" t="s">
        <v>1123</v>
      </c>
      <c r="B482" s="59" t="s">
        <v>1124</v>
      </c>
      <c r="C482" s="70">
        <v>4.8567507E10</v>
      </c>
      <c r="D482" s="86">
        <v>-0.5139826422372228</v>
      </c>
      <c r="E482" s="94" t="e">
        <v>#N/A</v>
      </c>
      <c r="F482" s="94" t="e">
        <v>#N/A</v>
      </c>
      <c r="G482" s="94" t="e">
        <v>#N/A</v>
      </c>
      <c r="H482" s="59" t="e">
        <v>#N/A</v>
      </c>
      <c r="I482" s="94" t="e">
        <v>#N/A</v>
      </c>
      <c r="J482" s="59" t="e">
        <v>#N/A</v>
      </c>
      <c r="K482" s="94" t="e">
        <v>#N/A</v>
      </c>
      <c r="L482" s="94" t="e">
        <v>#N/A</v>
      </c>
      <c r="M482" s="94">
        <v>31.4</v>
      </c>
      <c r="N482" s="59">
        <v>20.74</v>
      </c>
      <c r="O482" s="88" t="e">
        <v>#N/A</v>
      </c>
      <c r="P482" s="95" t="e">
        <v>#N/A</v>
      </c>
      <c r="Q482" s="88" t="e">
        <v>#N/A</v>
      </c>
      <c r="R482" s="88" t="e">
        <v>#N/A</v>
      </c>
      <c r="S482" s="88">
        <v>-0.5139826422372228</v>
      </c>
      <c r="T482" s="59"/>
      <c r="U482" s="59"/>
      <c r="V482" s="91"/>
      <c r="W482" s="91"/>
      <c r="X482" s="91"/>
      <c r="Y482" s="91"/>
      <c r="Z482" s="91"/>
      <c r="AA482" s="96"/>
      <c r="AB482" s="97"/>
      <c r="AC482" s="91"/>
      <c r="AD482" s="91"/>
      <c r="AE482" s="91"/>
      <c r="AF482" s="91"/>
    </row>
    <row r="483">
      <c r="A483" s="59" t="s">
        <v>1125</v>
      </c>
      <c r="B483" s="59" t="s">
        <v>1126</v>
      </c>
      <c r="C483" s="70">
        <v>1.4128091163E10</v>
      </c>
      <c r="D483" s="86">
        <v>-0.522590019241773</v>
      </c>
      <c r="E483" s="94">
        <v>32.44</v>
      </c>
      <c r="F483" s="94">
        <v>29.83</v>
      </c>
      <c r="G483" s="94">
        <v>16.41</v>
      </c>
      <c r="H483" s="59">
        <v>13.12</v>
      </c>
      <c r="I483" s="94">
        <v>12.66</v>
      </c>
      <c r="J483" s="59">
        <v>11.54</v>
      </c>
      <c r="K483" s="94">
        <v>20.59</v>
      </c>
      <c r="L483" s="94">
        <v>19.54</v>
      </c>
      <c r="M483" s="94">
        <v>32.02</v>
      </c>
      <c r="N483" s="59">
        <v>10.25</v>
      </c>
      <c r="O483" s="88">
        <v>-0.08749580958766341</v>
      </c>
      <c r="P483" s="95">
        <v>-0.2507621951219513</v>
      </c>
      <c r="Q483" s="88">
        <v>-0.09705372616984412</v>
      </c>
      <c r="R483" s="88">
        <v>-0.05373592630501539</v>
      </c>
      <c r="S483" s="88">
        <v>-2.1239024390243904</v>
      </c>
      <c r="T483" s="59"/>
      <c r="U483" s="59"/>
      <c r="V483" s="91"/>
      <c r="W483" s="91"/>
      <c r="X483" s="91"/>
      <c r="Y483" s="91"/>
      <c r="Z483" s="91"/>
      <c r="AA483" s="96"/>
      <c r="AB483" s="97"/>
      <c r="AC483" s="91"/>
      <c r="AD483" s="91"/>
      <c r="AE483" s="91"/>
      <c r="AF483" s="91"/>
    </row>
    <row r="484">
      <c r="A484" s="59" t="s">
        <v>1127</v>
      </c>
      <c r="B484" s="59" t="s">
        <v>1128</v>
      </c>
      <c r="C484" s="70">
        <v>1.0017592431E10</v>
      </c>
      <c r="D484" s="86">
        <v>-0.5584524810765349</v>
      </c>
      <c r="E484" s="94" t="e">
        <v>#N/A</v>
      </c>
      <c r="F484" s="94" t="e">
        <v>#N/A</v>
      </c>
      <c r="G484" s="94" t="e">
        <v>#N/A</v>
      </c>
      <c r="H484" s="59" t="e">
        <v>#N/A</v>
      </c>
      <c r="I484" s="94" t="e">
        <v>#N/A</v>
      </c>
      <c r="J484" s="59" t="e">
        <v>#N/A</v>
      </c>
      <c r="K484" s="94" t="e">
        <v>#N/A</v>
      </c>
      <c r="L484" s="94" t="e">
        <v>#N/A</v>
      </c>
      <c r="M484" s="94">
        <v>74.12</v>
      </c>
      <c r="N484" s="59">
        <v>47.56</v>
      </c>
      <c r="O484" s="88" t="e">
        <v>#N/A</v>
      </c>
      <c r="P484" s="95" t="e">
        <v>#N/A</v>
      </c>
      <c r="Q484" s="88" t="e">
        <v>#N/A</v>
      </c>
      <c r="R484" s="88" t="e">
        <v>#N/A</v>
      </c>
      <c r="S484" s="88">
        <v>-0.5584524810765349</v>
      </c>
      <c r="T484" s="59"/>
      <c r="U484" s="59"/>
      <c r="V484" s="91"/>
      <c r="W484" s="91"/>
      <c r="X484" s="91"/>
      <c r="Y484" s="91"/>
      <c r="Z484" s="91"/>
      <c r="AA484" s="96"/>
      <c r="AB484" s="97"/>
      <c r="AC484" s="91"/>
      <c r="AD484" s="91"/>
      <c r="AE484" s="91"/>
      <c r="AF484" s="91"/>
    </row>
    <row r="485">
      <c r="A485" s="59" t="s">
        <v>1129</v>
      </c>
      <c r="B485" s="59" t="s">
        <v>1130</v>
      </c>
      <c r="C485" s="70">
        <v>2.0063644872E10</v>
      </c>
      <c r="D485" s="86">
        <v>-0.5588263306288066</v>
      </c>
      <c r="E485" s="94" t="e">
        <v>#N/A</v>
      </c>
      <c r="F485" s="94" t="e">
        <v>#N/A</v>
      </c>
      <c r="G485" s="94" t="e">
        <v>#N/A</v>
      </c>
      <c r="H485" s="59" t="e">
        <v>#N/A</v>
      </c>
      <c r="I485" s="94" t="e">
        <v>#N/A</v>
      </c>
      <c r="J485" s="59" t="e">
        <v>#N/A</v>
      </c>
      <c r="K485" s="94">
        <v>24.57</v>
      </c>
      <c r="L485" s="94">
        <v>23.03</v>
      </c>
      <c r="M485" s="94">
        <v>37.96</v>
      </c>
      <c r="N485" s="59">
        <v>18.51</v>
      </c>
      <c r="O485" s="88" t="e">
        <v>#N/A</v>
      </c>
      <c r="P485" s="95" t="e">
        <v>#N/A</v>
      </c>
      <c r="Q485" s="88" t="e">
        <v>#N/A</v>
      </c>
      <c r="R485" s="88">
        <v>-0.06686930091185406</v>
      </c>
      <c r="S485" s="88">
        <v>-1.050783360345759</v>
      </c>
      <c r="T485" s="59"/>
      <c r="U485" s="59"/>
      <c r="V485" s="91"/>
      <c r="W485" s="91"/>
      <c r="X485" s="91"/>
      <c r="Y485" s="91"/>
      <c r="Z485" s="91"/>
      <c r="AA485" s="96"/>
      <c r="AB485" s="97"/>
      <c r="AC485" s="91"/>
      <c r="AD485" s="91"/>
      <c r="AE485" s="91"/>
      <c r="AF485" s="91"/>
    </row>
    <row r="486">
      <c r="A486" s="59" t="s">
        <v>1131</v>
      </c>
      <c r="B486" s="59" t="s">
        <v>1132</v>
      </c>
      <c r="C486" s="70">
        <v>6.9164694472E10</v>
      </c>
      <c r="D486" s="86">
        <v>-0.5624513021735507</v>
      </c>
      <c r="E486" s="94">
        <v>70.59</v>
      </c>
      <c r="F486" s="94">
        <v>64.9</v>
      </c>
      <c r="G486" s="94">
        <v>86.32</v>
      </c>
      <c r="H486" s="59">
        <v>77.32</v>
      </c>
      <c r="I486" s="94">
        <v>83.78</v>
      </c>
      <c r="J486" s="59">
        <v>76.38</v>
      </c>
      <c r="K486" s="94">
        <v>69.23</v>
      </c>
      <c r="L486" s="94">
        <v>65.7</v>
      </c>
      <c r="M486" s="94">
        <v>41.56</v>
      </c>
      <c r="N486" s="59">
        <v>12.02</v>
      </c>
      <c r="O486" s="88">
        <v>-0.08767334360554695</v>
      </c>
      <c r="P486" s="95">
        <v>-0.11639937920331092</v>
      </c>
      <c r="Q486" s="88">
        <v>-0.09688400104739468</v>
      </c>
      <c r="R486" s="88">
        <v>-0.05372907153729073</v>
      </c>
      <c r="S486" s="88">
        <v>-2.45757071547421</v>
      </c>
      <c r="T486" s="59"/>
      <c r="U486" s="59"/>
      <c r="V486" s="91"/>
      <c r="W486" s="91"/>
      <c r="X486" s="91"/>
      <c r="Y486" s="91"/>
      <c r="Z486" s="91"/>
      <c r="AA486" s="96"/>
      <c r="AB486" s="97"/>
      <c r="AC486" s="91"/>
      <c r="AD486" s="91"/>
      <c r="AE486" s="91"/>
      <c r="AF486" s="91"/>
    </row>
    <row r="487">
      <c r="A487" s="59" t="s">
        <v>1133</v>
      </c>
      <c r="B487" s="59" t="s">
        <v>1134</v>
      </c>
      <c r="C487" s="70">
        <v>1.6234262998E10</v>
      </c>
      <c r="D487" s="86">
        <v>-0.5735110370678883</v>
      </c>
      <c r="E487" s="94" t="e">
        <v>#N/A</v>
      </c>
      <c r="F487" s="94" t="e">
        <v>#N/A</v>
      </c>
      <c r="G487" s="94" t="e">
        <v>#N/A</v>
      </c>
      <c r="H487" s="59" t="e">
        <v>#N/A</v>
      </c>
      <c r="I487" s="94" t="e">
        <v>#N/A</v>
      </c>
      <c r="J487" s="59" t="e">
        <v>#N/A</v>
      </c>
      <c r="K487" s="94" t="e">
        <v>#N/A</v>
      </c>
      <c r="L487" s="94" t="e">
        <v>#N/A</v>
      </c>
      <c r="M487" s="94">
        <v>37.78</v>
      </c>
      <c r="N487" s="59">
        <v>24.01</v>
      </c>
      <c r="O487" s="88" t="e">
        <v>#N/A</v>
      </c>
      <c r="P487" s="95" t="e">
        <v>#N/A</v>
      </c>
      <c r="Q487" s="88" t="e">
        <v>#N/A</v>
      </c>
      <c r="R487" s="88" t="e">
        <v>#N/A</v>
      </c>
      <c r="S487" s="88">
        <v>-0.5735110370678883</v>
      </c>
      <c r="T487" s="59"/>
      <c r="U487" s="59"/>
      <c r="V487" s="91"/>
      <c r="W487" s="91"/>
      <c r="X487" s="91"/>
      <c r="Y487" s="91"/>
      <c r="Z487" s="91"/>
      <c r="AA487" s="96"/>
      <c r="AB487" s="97"/>
      <c r="AC487" s="91"/>
      <c r="AD487" s="91"/>
      <c r="AE487" s="91"/>
      <c r="AF487" s="91"/>
    </row>
    <row r="488">
      <c r="A488" s="59" t="s">
        <v>1135</v>
      </c>
      <c r="B488" s="59" t="s">
        <v>1136</v>
      </c>
      <c r="C488" s="70">
        <v>1.935112362E10</v>
      </c>
      <c r="D488" s="86">
        <v>-0.5768858800773694</v>
      </c>
      <c r="E488" s="94" t="e">
        <v>#N/A</v>
      </c>
      <c r="F488" s="94" t="e">
        <v>#N/A</v>
      </c>
      <c r="G488" s="94" t="e">
        <v>#N/A</v>
      </c>
      <c r="H488" s="59" t="e">
        <v>#N/A</v>
      </c>
      <c r="I488" s="94" t="e">
        <v>#N/A</v>
      </c>
      <c r="J488" s="59" t="e">
        <v>#N/A</v>
      </c>
      <c r="K488" s="94" t="e">
        <v>#N/A</v>
      </c>
      <c r="L488" s="94" t="e">
        <v>#N/A</v>
      </c>
      <c r="M488" s="94">
        <v>32.61</v>
      </c>
      <c r="N488" s="59">
        <v>20.68</v>
      </c>
      <c r="O488" s="88" t="e">
        <v>#N/A</v>
      </c>
      <c r="P488" s="95" t="e">
        <v>#N/A</v>
      </c>
      <c r="Q488" s="88" t="e">
        <v>#N/A</v>
      </c>
      <c r="R488" s="88" t="e">
        <v>#N/A</v>
      </c>
      <c r="S488" s="88">
        <v>-0.5768858800773694</v>
      </c>
      <c r="T488" s="59"/>
      <c r="U488" s="59"/>
      <c r="V488" s="91"/>
      <c r="W488" s="91"/>
      <c r="X488" s="91"/>
      <c r="Y488" s="91"/>
      <c r="Z488" s="91"/>
      <c r="AA488" s="96"/>
      <c r="AB488" s="97"/>
      <c r="AC488" s="91"/>
      <c r="AD488" s="91"/>
      <c r="AE488" s="91"/>
      <c r="AF488" s="91"/>
    </row>
    <row r="489">
      <c r="A489" s="59" t="s">
        <v>1137</v>
      </c>
      <c r="B489" s="59" t="s">
        <v>1138</v>
      </c>
      <c r="C489" s="70">
        <v>1.6234262998E10</v>
      </c>
      <c r="D489" s="86">
        <v>-0.6050021561017679</v>
      </c>
      <c r="E489" s="94" t="e">
        <v>#N/A</v>
      </c>
      <c r="F489" s="94" t="e">
        <v>#N/A</v>
      </c>
      <c r="G489" s="94" t="e">
        <v>#N/A</v>
      </c>
      <c r="H489" s="59" t="e">
        <v>#N/A</v>
      </c>
      <c r="I489" s="94" t="e">
        <v>#N/A</v>
      </c>
      <c r="J489" s="59" t="e">
        <v>#N/A</v>
      </c>
      <c r="K489" s="94" t="e">
        <v>#N/A</v>
      </c>
      <c r="L489" s="94" t="e">
        <v>#N/A</v>
      </c>
      <c r="M489" s="94">
        <v>37.22</v>
      </c>
      <c r="N489" s="59">
        <v>23.19</v>
      </c>
      <c r="O489" s="88" t="e">
        <v>#N/A</v>
      </c>
      <c r="P489" s="95" t="e">
        <v>#N/A</v>
      </c>
      <c r="Q489" s="88" t="e">
        <v>#N/A</v>
      </c>
      <c r="R489" s="88" t="e">
        <v>#N/A</v>
      </c>
      <c r="S489" s="88">
        <v>-0.6050021561017679</v>
      </c>
      <c r="T489" s="59"/>
      <c r="U489" s="59"/>
      <c r="V489" s="91"/>
      <c r="W489" s="91"/>
      <c r="X489" s="91"/>
      <c r="Y489" s="91"/>
      <c r="Z489" s="91"/>
      <c r="AA489" s="96"/>
      <c r="AB489" s="97"/>
      <c r="AC489" s="91"/>
      <c r="AD489" s="91"/>
      <c r="AE489" s="91"/>
      <c r="AF489" s="91"/>
    </row>
    <row r="490">
      <c r="A490" s="59" t="s">
        <v>1139</v>
      </c>
      <c r="B490" s="59" t="s">
        <v>1140</v>
      </c>
      <c r="C490" s="70">
        <v>1.325797706E10</v>
      </c>
      <c r="D490" s="86">
        <v>-0.6291755383226559</v>
      </c>
      <c r="E490" s="94">
        <v>28.3</v>
      </c>
      <c r="F490" s="94">
        <v>27.29</v>
      </c>
      <c r="G490" s="94">
        <v>36.61</v>
      </c>
      <c r="H490" s="59">
        <v>29.47</v>
      </c>
      <c r="I490" s="94">
        <v>27.0</v>
      </c>
      <c r="J490" s="59">
        <v>24.0</v>
      </c>
      <c r="K490" s="94">
        <v>85.71</v>
      </c>
      <c r="L490" s="94">
        <v>83.99</v>
      </c>
      <c r="M490" s="94">
        <v>111.41</v>
      </c>
      <c r="N490" s="59">
        <v>29.94</v>
      </c>
      <c r="O490" s="88">
        <v>-0.03700989373396855</v>
      </c>
      <c r="P490" s="95">
        <v>-0.24228028503562948</v>
      </c>
      <c r="Q490" s="88">
        <v>-0.125</v>
      </c>
      <c r="R490" s="88">
        <v>-0.020478628408143816</v>
      </c>
      <c r="S490" s="88">
        <v>-2.721108884435538</v>
      </c>
      <c r="T490" s="59"/>
      <c r="U490" s="59"/>
      <c r="V490" s="91"/>
      <c r="W490" s="91"/>
      <c r="X490" s="91"/>
      <c r="Y490" s="91"/>
      <c r="Z490" s="91"/>
      <c r="AA490" s="96"/>
      <c r="AB490" s="97"/>
      <c r="AC490" s="91"/>
      <c r="AD490" s="91"/>
      <c r="AE490" s="91"/>
      <c r="AF490" s="91"/>
    </row>
    <row r="491">
      <c r="A491" s="59" t="s">
        <v>1141</v>
      </c>
      <c r="B491" s="59" t="s">
        <v>1142</v>
      </c>
      <c r="C491" s="70">
        <v>3.3143707361E10</v>
      </c>
      <c r="D491" s="86">
        <v>-0.6326157412129916</v>
      </c>
      <c r="E491" s="94">
        <v>40.13</v>
      </c>
      <c r="F491" s="94">
        <v>34.34</v>
      </c>
      <c r="G491" s="94">
        <v>31.39</v>
      </c>
      <c r="H491" s="59">
        <v>27.51</v>
      </c>
      <c r="I491" s="94">
        <v>47.09</v>
      </c>
      <c r="J491" s="59">
        <v>42.43</v>
      </c>
      <c r="K491" s="94">
        <v>35.69</v>
      </c>
      <c r="L491" s="94">
        <v>33.56</v>
      </c>
      <c r="M491" s="94">
        <v>21.86</v>
      </c>
      <c r="N491" s="59">
        <v>5.94</v>
      </c>
      <c r="O491" s="88">
        <v>-0.16860803727431561</v>
      </c>
      <c r="P491" s="95">
        <v>-0.14103962195565245</v>
      </c>
      <c r="Q491" s="88">
        <v>-0.10982795192081084</v>
      </c>
      <c r="R491" s="88">
        <v>-0.06346841477949926</v>
      </c>
      <c r="S491" s="88">
        <v>-2.6801346801346795</v>
      </c>
      <c r="T491" s="59"/>
      <c r="U491" s="59"/>
      <c r="V491" s="91"/>
      <c r="W491" s="91"/>
      <c r="X491" s="91"/>
      <c r="Y491" s="91"/>
      <c r="Z491" s="91"/>
      <c r="AA491" s="96"/>
      <c r="AB491" s="97"/>
      <c r="AC491" s="91"/>
      <c r="AD491" s="91"/>
      <c r="AE491" s="91"/>
      <c r="AF491" s="91"/>
    </row>
    <row r="492">
      <c r="A492" s="59" t="s">
        <v>1143</v>
      </c>
      <c r="B492" s="59" t="s">
        <v>1144</v>
      </c>
      <c r="C492" s="70">
        <v>5.9435987356E10</v>
      </c>
      <c r="D492" s="86">
        <v>-0.6643346910545979</v>
      </c>
      <c r="E492" s="94" t="e">
        <v>#N/A</v>
      </c>
      <c r="F492" s="94" t="e">
        <v>#N/A</v>
      </c>
      <c r="G492" s="94" t="e">
        <v>#N/A</v>
      </c>
      <c r="H492" s="59" t="e">
        <v>#N/A</v>
      </c>
      <c r="I492" s="94">
        <v>18.66</v>
      </c>
      <c r="J492" s="59">
        <v>16.17</v>
      </c>
      <c r="K492" s="94">
        <v>48.38</v>
      </c>
      <c r="L492" s="94">
        <v>45.82</v>
      </c>
      <c r="M492" s="94">
        <v>56.47</v>
      </c>
      <c r="N492" s="59">
        <v>20.29</v>
      </c>
      <c r="O492" s="88" t="e">
        <v>#N/A</v>
      </c>
      <c r="P492" s="95" t="e">
        <v>#N/A</v>
      </c>
      <c r="Q492" s="88">
        <v>-0.15398886827458244</v>
      </c>
      <c r="R492" s="88">
        <v>-0.055870798777826323</v>
      </c>
      <c r="S492" s="88">
        <v>-1.783144406111385</v>
      </c>
      <c r="T492" s="59"/>
      <c r="U492" s="59"/>
      <c r="V492" s="91"/>
      <c r="W492" s="91"/>
      <c r="X492" s="91"/>
      <c r="Y492" s="91"/>
      <c r="Z492" s="91"/>
      <c r="AA492" s="96"/>
      <c r="AB492" s="97"/>
      <c r="AC492" s="91"/>
      <c r="AD492" s="91"/>
      <c r="AE492" s="91"/>
      <c r="AF492" s="91"/>
    </row>
    <row r="493">
      <c r="A493" s="59" t="s">
        <v>1145</v>
      </c>
      <c r="B493" s="59" t="s">
        <v>1146</v>
      </c>
      <c r="C493" s="70">
        <v>1.7257736654E10</v>
      </c>
      <c r="D493" s="86">
        <v>-0.715966386554622</v>
      </c>
      <c r="E493" s="94" t="e">
        <v>#N/A</v>
      </c>
      <c r="F493" s="94" t="e">
        <v>#N/A</v>
      </c>
      <c r="G493" s="94" t="e">
        <v>#N/A</v>
      </c>
      <c r="H493" s="59" t="e">
        <v>#N/A</v>
      </c>
      <c r="I493" s="94" t="e">
        <v>#N/A</v>
      </c>
      <c r="J493" s="59" t="e">
        <v>#N/A</v>
      </c>
      <c r="K493" s="94" t="e">
        <v>#N/A</v>
      </c>
      <c r="L493" s="94" t="e">
        <v>#N/A</v>
      </c>
      <c r="M493" s="94">
        <v>10.21</v>
      </c>
      <c r="N493" s="59">
        <v>5.95</v>
      </c>
      <c r="O493" s="88" t="e">
        <v>#N/A</v>
      </c>
      <c r="P493" s="95" t="e">
        <v>#N/A</v>
      </c>
      <c r="Q493" s="88" t="e">
        <v>#N/A</v>
      </c>
      <c r="R493" s="88" t="e">
        <v>#N/A</v>
      </c>
      <c r="S493" s="88">
        <v>-0.715966386554622</v>
      </c>
      <c r="T493" s="59"/>
      <c r="U493" s="59"/>
      <c r="V493" s="91"/>
      <c r="W493" s="91"/>
      <c r="X493" s="91"/>
      <c r="Y493" s="91"/>
      <c r="Z493" s="91"/>
      <c r="AA493" s="96"/>
      <c r="AB493" s="97"/>
      <c r="AC493" s="91"/>
      <c r="AD493" s="91"/>
      <c r="AE493" s="91"/>
      <c r="AF493" s="91"/>
    </row>
    <row r="494">
      <c r="A494" s="59" t="s">
        <v>1147</v>
      </c>
      <c r="B494" s="59" t="s">
        <v>1148</v>
      </c>
      <c r="C494" s="70">
        <v>1.8477024867E10</v>
      </c>
      <c r="D494" s="86">
        <v>-0.7221556886227547</v>
      </c>
      <c r="E494" s="94" t="e">
        <v>#N/A</v>
      </c>
      <c r="F494" s="94" t="e">
        <v>#N/A</v>
      </c>
      <c r="G494" s="94" t="e">
        <v>#N/A</v>
      </c>
      <c r="H494" s="59" t="e">
        <v>#N/A</v>
      </c>
      <c r="I494" s="94" t="e">
        <v>#N/A</v>
      </c>
      <c r="J494" s="59" t="e">
        <v>#N/A</v>
      </c>
      <c r="K494" s="94" t="e">
        <v>#N/A</v>
      </c>
      <c r="L494" s="94" t="e">
        <v>#N/A</v>
      </c>
      <c r="M494" s="94">
        <v>14.38</v>
      </c>
      <c r="N494" s="59">
        <v>8.35</v>
      </c>
      <c r="O494" s="88" t="e">
        <v>#N/A</v>
      </c>
      <c r="P494" s="95" t="e">
        <v>#N/A</v>
      </c>
      <c r="Q494" s="88" t="e">
        <v>#N/A</v>
      </c>
      <c r="R494" s="88" t="e">
        <v>#N/A</v>
      </c>
      <c r="S494" s="88">
        <v>-0.7221556886227547</v>
      </c>
      <c r="T494" s="59"/>
      <c r="U494" s="59"/>
      <c r="V494" s="91"/>
      <c r="W494" s="91"/>
      <c r="X494" s="91"/>
      <c r="Y494" s="91"/>
      <c r="Z494" s="91"/>
      <c r="AA494" s="96"/>
      <c r="AB494" s="97"/>
      <c r="AC494" s="91"/>
      <c r="AD494" s="91"/>
      <c r="AE494" s="91"/>
      <c r="AF494" s="91"/>
    </row>
    <row r="495">
      <c r="A495" s="59" t="s">
        <v>1149</v>
      </c>
      <c r="B495" s="59" t="s">
        <v>1150</v>
      </c>
      <c r="C495" s="70">
        <v>2.0280007117E10</v>
      </c>
      <c r="D495" s="86">
        <v>-0.7670588235294117</v>
      </c>
      <c r="E495" s="94" t="e">
        <v>#N/A</v>
      </c>
      <c r="F495" s="94" t="e">
        <v>#N/A</v>
      </c>
      <c r="G495" s="94" t="e">
        <v>#N/A</v>
      </c>
      <c r="H495" s="59" t="e">
        <v>#N/A</v>
      </c>
      <c r="I495" s="94" t="e">
        <v>#N/A</v>
      </c>
      <c r="J495" s="59" t="e">
        <v>#N/A</v>
      </c>
      <c r="K495" s="94" t="e">
        <v>#N/A</v>
      </c>
      <c r="L495" s="94" t="e">
        <v>#N/A</v>
      </c>
      <c r="M495" s="94">
        <v>37.55</v>
      </c>
      <c r="N495" s="59">
        <v>21.25</v>
      </c>
      <c r="O495" s="88" t="e">
        <v>#N/A</v>
      </c>
      <c r="P495" s="95" t="e">
        <v>#N/A</v>
      </c>
      <c r="Q495" s="88" t="e">
        <v>#N/A</v>
      </c>
      <c r="R495" s="88" t="e">
        <v>#N/A</v>
      </c>
      <c r="S495" s="88">
        <v>-0.7670588235294117</v>
      </c>
      <c r="T495" s="59"/>
      <c r="U495" s="59"/>
      <c r="V495" s="91"/>
      <c r="W495" s="91"/>
      <c r="X495" s="91"/>
      <c r="Y495" s="91"/>
      <c r="Z495" s="91"/>
      <c r="AA495" s="96"/>
      <c r="AB495" s="97"/>
      <c r="AC495" s="91"/>
      <c r="AD495" s="91"/>
      <c r="AE495" s="91"/>
      <c r="AF495" s="91"/>
    </row>
    <row r="496">
      <c r="A496" s="59" t="s">
        <v>1151</v>
      </c>
      <c r="B496" s="59" t="s">
        <v>1152</v>
      </c>
      <c r="C496" s="70">
        <v>1.2395373161E10</v>
      </c>
      <c r="D496" s="86">
        <v>-0.8281845919145692</v>
      </c>
      <c r="E496" s="94" t="e">
        <v>#N/A</v>
      </c>
      <c r="F496" s="94" t="e">
        <v>#N/A</v>
      </c>
      <c r="G496" s="94" t="e">
        <v>#N/A</v>
      </c>
      <c r="H496" s="59" t="e">
        <v>#N/A</v>
      </c>
      <c r="I496" s="94" t="e">
        <v>#N/A</v>
      </c>
      <c r="J496" s="59" t="e">
        <v>#N/A</v>
      </c>
      <c r="K496" s="94" t="e">
        <v>#N/A</v>
      </c>
      <c r="L496" s="94" t="e">
        <v>#N/A</v>
      </c>
      <c r="M496" s="94">
        <v>95.87</v>
      </c>
      <c r="N496" s="59">
        <v>52.44</v>
      </c>
      <c r="O496" s="88" t="e">
        <v>#N/A</v>
      </c>
      <c r="P496" s="95" t="e">
        <v>#N/A</v>
      </c>
      <c r="Q496" s="88" t="e">
        <v>#N/A</v>
      </c>
      <c r="R496" s="88" t="e">
        <v>#N/A</v>
      </c>
      <c r="S496" s="88">
        <v>-0.8281845919145692</v>
      </c>
      <c r="T496" s="59"/>
      <c r="U496" s="59"/>
      <c r="V496" s="91"/>
      <c r="W496" s="91"/>
      <c r="X496" s="91"/>
      <c r="Y496" s="91"/>
      <c r="Z496" s="91"/>
      <c r="AA496" s="96"/>
      <c r="AB496" s="97"/>
      <c r="AC496" s="91"/>
      <c r="AD496" s="91"/>
      <c r="AE496" s="91"/>
      <c r="AF496" s="91"/>
    </row>
    <row r="497">
      <c r="A497" s="59" t="s">
        <v>1153</v>
      </c>
      <c r="B497" s="59" t="s">
        <v>1154</v>
      </c>
      <c r="C497" s="70">
        <v>9.51796699E9</v>
      </c>
      <c r="D497" s="86">
        <v>-0.8783961930789953</v>
      </c>
      <c r="E497" s="94">
        <v>3.85</v>
      </c>
      <c r="F497" s="94">
        <v>3.09</v>
      </c>
      <c r="G497" s="94">
        <v>2.16</v>
      </c>
      <c r="H497" s="59">
        <v>2.21</v>
      </c>
      <c r="I497" s="94">
        <v>2.86</v>
      </c>
      <c r="J497" s="59">
        <v>2.56</v>
      </c>
      <c r="K497" s="94">
        <v>9.6</v>
      </c>
      <c r="L497" s="94">
        <v>9.08</v>
      </c>
      <c r="M497" s="94">
        <v>68.82</v>
      </c>
      <c r="N497" s="59">
        <v>13.78</v>
      </c>
      <c r="O497" s="88">
        <v>-0.24595469255663438</v>
      </c>
      <c r="P497" s="95">
        <v>0.02262443438914019</v>
      </c>
      <c r="Q497" s="88">
        <v>-0.11718749999999993</v>
      </c>
      <c r="R497" s="88">
        <v>-0.057268722466960305</v>
      </c>
      <c r="S497" s="88">
        <v>-3.994194484760522</v>
      </c>
      <c r="T497" s="59"/>
      <c r="U497" s="59"/>
      <c r="V497" s="91"/>
      <c r="W497" s="91"/>
      <c r="X497" s="91"/>
      <c r="Y497" s="91"/>
      <c r="Z497" s="91"/>
      <c r="AA497" s="96"/>
      <c r="AB497" s="97"/>
      <c r="AC497" s="91"/>
      <c r="AD497" s="91"/>
      <c r="AE497" s="91"/>
      <c r="AF497" s="91"/>
    </row>
    <row r="498">
      <c r="A498" s="59" t="s">
        <v>1155</v>
      </c>
      <c r="B498" s="59" t="s">
        <v>1156</v>
      </c>
      <c r="C498" s="70">
        <v>1.4951820239E10</v>
      </c>
      <c r="D498" s="86">
        <v>-0.8944888069515121</v>
      </c>
      <c r="E498" s="94">
        <v>110.03</v>
      </c>
      <c r="F498" s="94">
        <v>104.39</v>
      </c>
      <c r="G498" s="94">
        <v>104.55</v>
      </c>
      <c r="H498" s="59">
        <v>93.53</v>
      </c>
      <c r="I498" s="94">
        <v>106.7</v>
      </c>
      <c r="J498" s="59">
        <v>98.38</v>
      </c>
      <c r="K498" s="94">
        <v>43.23</v>
      </c>
      <c r="L498" s="94">
        <v>40.49</v>
      </c>
      <c r="M498" s="94">
        <v>28.11</v>
      </c>
      <c r="N498" s="59">
        <v>5.46</v>
      </c>
      <c r="O498" s="88">
        <v>-0.054028163617204715</v>
      </c>
      <c r="P498" s="95">
        <v>-0.11782315834491602</v>
      </c>
      <c r="Q498" s="88">
        <v>-0.08457003455986997</v>
      </c>
      <c r="R498" s="88">
        <v>-0.06767102988392183</v>
      </c>
      <c r="S498" s="88">
        <v>-4.148351648351648</v>
      </c>
      <c r="T498" s="59"/>
      <c r="U498" s="59"/>
      <c r="V498" s="91"/>
      <c r="W498" s="91"/>
      <c r="X498" s="91"/>
      <c r="Y498" s="91"/>
      <c r="Z498" s="91"/>
      <c r="AA498" s="96"/>
      <c r="AB498" s="97"/>
      <c r="AC498" s="91"/>
      <c r="AD498" s="91"/>
      <c r="AE498" s="91"/>
      <c r="AF498" s="91"/>
    </row>
    <row r="499">
      <c r="A499" s="59" t="s">
        <v>1157</v>
      </c>
      <c r="B499" s="59" t="s">
        <v>1158</v>
      </c>
      <c r="C499" s="70">
        <v>1.509635223E10</v>
      </c>
      <c r="D499" s="86">
        <v>-0.9026798307475318</v>
      </c>
      <c r="E499" s="94" t="e">
        <v>#N/A</v>
      </c>
      <c r="F499" s="94" t="e">
        <v>#N/A</v>
      </c>
      <c r="G499" s="94" t="e">
        <v>#N/A</v>
      </c>
      <c r="H499" s="59" t="e">
        <v>#N/A</v>
      </c>
      <c r="I499" s="94" t="e">
        <v>#N/A</v>
      </c>
      <c r="J499" s="59" t="e">
        <v>#N/A</v>
      </c>
      <c r="K499" s="94" t="e">
        <v>#N/A</v>
      </c>
      <c r="L499" s="94" t="e">
        <v>#N/A</v>
      </c>
      <c r="M499" s="94">
        <v>26.98</v>
      </c>
      <c r="N499" s="59">
        <v>14.18</v>
      </c>
      <c r="O499" s="88" t="e">
        <v>#N/A</v>
      </c>
      <c r="P499" s="95" t="e">
        <v>#N/A</v>
      </c>
      <c r="Q499" s="88" t="e">
        <v>#N/A</v>
      </c>
      <c r="R499" s="88" t="e">
        <v>#N/A</v>
      </c>
      <c r="S499" s="88">
        <v>-0.9026798307475318</v>
      </c>
      <c r="T499" s="59"/>
      <c r="U499" s="59"/>
      <c r="V499" s="91"/>
      <c r="W499" s="91"/>
      <c r="X499" s="91"/>
      <c r="Y499" s="91"/>
      <c r="Z499" s="91"/>
      <c r="AA499" s="96"/>
      <c r="AB499" s="97"/>
      <c r="AC499" s="91"/>
      <c r="AD499" s="91"/>
      <c r="AE499" s="91"/>
      <c r="AF499" s="91"/>
    </row>
    <row r="500">
      <c r="A500" s="59" t="s">
        <v>1159</v>
      </c>
      <c r="B500" s="59" t="s">
        <v>1160</v>
      </c>
      <c r="C500" s="70">
        <v>4.3396949281E10</v>
      </c>
      <c r="D500" s="86">
        <v>-0.9496665613443935</v>
      </c>
      <c r="E500" s="94">
        <v>355.56</v>
      </c>
      <c r="F500" s="94">
        <v>79.76</v>
      </c>
      <c r="G500" s="94">
        <v>33.13</v>
      </c>
      <c r="H500" s="59">
        <v>32.42</v>
      </c>
      <c r="I500" s="94">
        <v>25.1</v>
      </c>
      <c r="J500" s="59">
        <v>22.58</v>
      </c>
      <c r="K500" s="94">
        <v>59.73</v>
      </c>
      <c r="L500" s="94">
        <v>56.94</v>
      </c>
      <c r="M500" s="94">
        <v>49.01</v>
      </c>
      <c r="N500" s="59">
        <v>23.25</v>
      </c>
      <c r="O500" s="88">
        <v>-3.4578736208625878</v>
      </c>
      <c r="P500" s="95">
        <v>-0.021900061690314644</v>
      </c>
      <c r="Q500" s="88">
        <v>-0.11160318866253337</v>
      </c>
      <c r="R500" s="88">
        <v>-0.048998946259220216</v>
      </c>
      <c r="S500" s="88">
        <v>-1.1079569892473118</v>
      </c>
      <c r="T500" s="59"/>
      <c r="U500" s="59"/>
      <c r="V500" s="91"/>
      <c r="W500" s="91"/>
      <c r="X500" s="91"/>
      <c r="Y500" s="91"/>
      <c r="Z500" s="91"/>
      <c r="AA500" s="96"/>
      <c r="AB500" s="97"/>
      <c r="AC500" s="91"/>
      <c r="AD500" s="91"/>
      <c r="AE500" s="91"/>
      <c r="AF500" s="91"/>
    </row>
    <row r="501">
      <c r="A501" s="59" t="s">
        <v>1161</v>
      </c>
      <c r="B501" s="59" t="s">
        <v>1162</v>
      </c>
      <c r="C501" s="70">
        <v>1.5519182791E10</v>
      </c>
      <c r="D501" s="86">
        <v>-0.9915252140629804</v>
      </c>
      <c r="E501" s="94" t="e">
        <v>#N/A</v>
      </c>
      <c r="F501" s="94" t="e">
        <v>#N/A</v>
      </c>
      <c r="G501" s="94" t="e">
        <v>#N/A</v>
      </c>
      <c r="H501" s="59" t="e">
        <v>#N/A</v>
      </c>
      <c r="I501" s="94">
        <v>30.73</v>
      </c>
      <c r="J501" s="59">
        <v>26.68</v>
      </c>
      <c r="K501" s="94">
        <v>63.62</v>
      </c>
      <c r="L501" s="94">
        <v>59.29</v>
      </c>
      <c r="M501" s="94">
        <v>36.86</v>
      </c>
      <c r="N501" s="59">
        <v>9.83</v>
      </c>
      <c r="O501" s="88" t="e">
        <v>#N/A</v>
      </c>
      <c r="P501" s="95" t="e">
        <v>#N/A</v>
      </c>
      <c r="Q501" s="88">
        <v>-0.15179910044977515</v>
      </c>
      <c r="R501" s="88">
        <v>-0.07303086523865741</v>
      </c>
      <c r="S501" s="88">
        <v>-2.749745676500509</v>
      </c>
      <c r="T501" s="59"/>
      <c r="U501" s="59"/>
      <c r="V501" s="91"/>
      <c r="W501" s="91"/>
      <c r="X501" s="91"/>
      <c r="Y501" s="91"/>
      <c r="Z501" s="91"/>
      <c r="AA501" s="96"/>
      <c r="AB501" s="97"/>
      <c r="AC501" s="91"/>
      <c r="AD501" s="91"/>
      <c r="AE501" s="91"/>
      <c r="AF501" s="91"/>
    </row>
    <row r="502">
      <c r="A502" s="59" t="s">
        <v>1163</v>
      </c>
      <c r="B502" s="59" t="s">
        <v>1164</v>
      </c>
      <c r="C502" s="70">
        <v>2.7512955506E10</v>
      </c>
      <c r="D502" s="86">
        <v>-1.1259247194516404</v>
      </c>
      <c r="E502" s="94" t="e">
        <v>#N/A</v>
      </c>
      <c r="F502" s="94" t="e">
        <v>#N/A</v>
      </c>
      <c r="G502" s="94" t="e">
        <v>#N/A</v>
      </c>
      <c r="H502" s="59" t="e">
        <v>#N/A</v>
      </c>
      <c r="I502" s="94" t="e">
        <v>#N/A</v>
      </c>
      <c r="J502" s="59" t="e">
        <v>#N/A</v>
      </c>
      <c r="K502" s="94">
        <v>66.55</v>
      </c>
      <c r="L502" s="94">
        <v>61.75</v>
      </c>
      <c r="M502" s="94">
        <v>74.56</v>
      </c>
      <c r="N502" s="59">
        <v>23.49</v>
      </c>
      <c r="O502" s="88" t="e">
        <v>#N/A</v>
      </c>
      <c r="P502" s="95" t="e">
        <v>#N/A</v>
      </c>
      <c r="Q502" s="88" t="e">
        <v>#N/A</v>
      </c>
      <c r="R502" s="88">
        <v>-0.07773279352226715</v>
      </c>
      <c r="S502" s="88">
        <v>-2.1741166453810137</v>
      </c>
      <c r="T502" s="59"/>
      <c r="U502" s="59"/>
      <c r="V502" s="91"/>
      <c r="W502" s="91"/>
      <c r="X502" s="91"/>
      <c r="Y502" s="91"/>
      <c r="Z502" s="91"/>
      <c r="AA502" s="96"/>
      <c r="AB502" s="97"/>
      <c r="AC502" s="91"/>
      <c r="AD502" s="91"/>
      <c r="AE502" s="91"/>
      <c r="AF502" s="91"/>
    </row>
    <row r="503">
      <c r="A503" s="59" t="s">
        <v>1165</v>
      </c>
      <c r="B503" s="59" t="s">
        <v>1166</v>
      </c>
      <c r="C503" s="70">
        <v>3.3027422494E10</v>
      </c>
      <c r="D503" s="86">
        <v>-1.1700000000000002</v>
      </c>
      <c r="E503" s="94" t="e">
        <v>#N/A</v>
      </c>
      <c r="F503" s="94" t="e">
        <v>#N/A</v>
      </c>
      <c r="G503" s="94" t="e">
        <v>#N/A</v>
      </c>
      <c r="H503" s="59" t="e">
        <v>#N/A</v>
      </c>
      <c r="I503" s="94" t="e">
        <v>#N/A</v>
      </c>
      <c r="J503" s="59" t="e">
        <v>#N/A</v>
      </c>
      <c r="K503" s="94" t="e">
        <v>#N/A</v>
      </c>
      <c r="L503" s="94" t="e">
        <v>#N/A</v>
      </c>
      <c r="M503" s="94">
        <v>47.74</v>
      </c>
      <c r="N503" s="59">
        <v>22.0</v>
      </c>
      <c r="O503" s="88" t="e">
        <v>#N/A</v>
      </c>
      <c r="P503" s="95" t="e">
        <v>#N/A</v>
      </c>
      <c r="Q503" s="88" t="e">
        <v>#N/A</v>
      </c>
      <c r="R503" s="88" t="e">
        <v>#N/A</v>
      </c>
      <c r="S503" s="88">
        <v>-1.1700000000000002</v>
      </c>
      <c r="T503" s="59"/>
      <c r="U503" s="59"/>
      <c r="V503" s="91"/>
      <c r="W503" s="91"/>
      <c r="X503" s="91"/>
      <c r="Y503" s="91"/>
      <c r="Z503" s="91"/>
      <c r="AA503" s="96"/>
      <c r="AB503" s="97"/>
      <c r="AC503" s="91"/>
      <c r="AD503" s="91"/>
      <c r="AE503" s="91"/>
      <c r="AF503" s="91"/>
    </row>
    <row r="504">
      <c r="A504" s="59" t="s">
        <v>1167</v>
      </c>
      <c r="B504" s="59" t="s">
        <v>1168</v>
      </c>
      <c r="C504" s="70">
        <v>3.149329963E10</v>
      </c>
      <c r="D504" s="86">
        <v>-1.2197452229299361</v>
      </c>
      <c r="E504" s="94" t="e">
        <v>#N/A</v>
      </c>
      <c r="F504" s="94" t="e">
        <v>#N/A</v>
      </c>
      <c r="G504" s="94" t="e">
        <v>#N/A</v>
      </c>
      <c r="H504" s="59" t="e">
        <v>#N/A</v>
      </c>
      <c r="I504" s="94" t="e">
        <v>#N/A</v>
      </c>
      <c r="J504" s="59" t="e">
        <v>#N/A</v>
      </c>
      <c r="K504" s="94" t="e">
        <v>#N/A</v>
      </c>
      <c r="L504" s="94" t="e">
        <v>#N/A</v>
      </c>
      <c r="M504" s="94">
        <v>27.88</v>
      </c>
      <c r="N504" s="59">
        <v>12.56</v>
      </c>
      <c r="O504" s="88" t="e">
        <v>#N/A</v>
      </c>
      <c r="P504" s="95" t="e">
        <v>#N/A</v>
      </c>
      <c r="Q504" s="88" t="e">
        <v>#N/A</v>
      </c>
      <c r="R504" s="88" t="e">
        <v>#N/A</v>
      </c>
      <c r="S504" s="88">
        <v>-1.2197452229299361</v>
      </c>
      <c r="T504" s="59"/>
      <c r="U504" s="59"/>
      <c r="V504" s="91"/>
      <c r="W504" s="91"/>
      <c r="X504" s="91"/>
      <c r="Y504" s="91"/>
      <c r="Z504" s="91"/>
      <c r="AA504" s="96"/>
      <c r="AB504" s="97"/>
      <c r="AC504" s="91"/>
      <c r="AD504" s="91"/>
      <c r="AE504" s="91"/>
      <c r="AF504" s="91"/>
    </row>
    <row r="505">
      <c r="A505" s="59" t="s">
        <v>1169</v>
      </c>
      <c r="B505" s="59" t="s">
        <v>1170</v>
      </c>
      <c r="C505" s="70">
        <v>6.625050241E9</v>
      </c>
      <c r="D505" s="86">
        <v>-1.7447004608294931</v>
      </c>
      <c r="E505" s="94" t="e">
        <v>#N/A</v>
      </c>
      <c r="F505" s="94" t="e">
        <v>#N/A</v>
      </c>
      <c r="G505" s="94" t="e">
        <v>#N/A</v>
      </c>
      <c r="H505" s="59" t="e">
        <v>#N/A</v>
      </c>
      <c r="I505" s="94" t="e">
        <v>#N/A</v>
      </c>
      <c r="J505" s="59" t="e">
        <v>#N/A</v>
      </c>
      <c r="K505" s="94" t="e">
        <v>#N/A</v>
      </c>
      <c r="L505" s="94" t="e">
        <v>#N/A</v>
      </c>
      <c r="M505" s="94">
        <v>29.78</v>
      </c>
      <c r="N505" s="59">
        <v>10.85</v>
      </c>
      <c r="O505" s="88" t="e">
        <v>#N/A</v>
      </c>
      <c r="P505" s="95" t="e">
        <v>#N/A</v>
      </c>
      <c r="Q505" s="88" t="e">
        <v>#N/A</v>
      </c>
      <c r="R505" s="88" t="e">
        <v>#N/A</v>
      </c>
      <c r="S505" s="88">
        <v>-1.7447004608294931</v>
      </c>
      <c r="T505" s="59"/>
      <c r="U505" s="59"/>
      <c r="V505" s="91"/>
      <c r="W505" s="91"/>
      <c r="X505" s="91"/>
      <c r="Y505" s="91"/>
      <c r="Z505" s="91"/>
      <c r="AA505" s="96"/>
      <c r="AB505" s="97"/>
      <c r="AC505" s="91"/>
      <c r="AD505" s="91"/>
      <c r="AE505" s="91"/>
      <c r="AF505" s="91"/>
    </row>
    <row r="506">
      <c r="A506" s="59" t="s">
        <v>1171</v>
      </c>
      <c r="B506" s="59" t="s">
        <v>1172</v>
      </c>
      <c r="C506" s="70">
        <v>7.075124937E9</v>
      </c>
      <c r="D506" s="86">
        <v>-1.8730813623188696</v>
      </c>
      <c r="E506" s="94" t="e">
        <v>#N/A</v>
      </c>
      <c r="F506" s="94" t="e">
        <v>#N/A</v>
      </c>
      <c r="G506" s="94" t="e">
        <v>#N/A</v>
      </c>
      <c r="H506" s="59" t="e">
        <v>#N/A</v>
      </c>
      <c r="I506" s="94" t="e">
        <v>#N/A</v>
      </c>
      <c r="J506" s="59" t="e">
        <v>#N/A</v>
      </c>
      <c r="K506" s="94">
        <v>56.1</v>
      </c>
      <c r="L506" s="94">
        <v>54.93</v>
      </c>
      <c r="M506" s="94">
        <v>51.69</v>
      </c>
      <c r="N506" s="59">
        <v>10.94</v>
      </c>
      <c r="O506" s="88" t="e">
        <v>#N/A</v>
      </c>
      <c r="P506" s="95" t="e">
        <v>#N/A</v>
      </c>
      <c r="Q506" s="88" t="e">
        <v>#N/A</v>
      </c>
      <c r="R506" s="88">
        <v>-0.02129983615510653</v>
      </c>
      <c r="S506" s="88">
        <v>-3.7248628884826327</v>
      </c>
      <c r="T506" s="59"/>
      <c r="U506" s="59"/>
      <c r="V506" s="91"/>
      <c r="W506" s="91"/>
      <c r="X506" s="91"/>
      <c r="Y506" s="91"/>
      <c r="Z506" s="91"/>
      <c r="AA506" s="96"/>
      <c r="AB506" s="97"/>
      <c r="AC506" s="91"/>
      <c r="AD506" s="91"/>
      <c r="AE506" s="91"/>
      <c r="AF506" s="91"/>
    </row>
    <row r="507">
      <c r="A507" s="59"/>
      <c r="B507" s="59"/>
      <c r="C507" s="70"/>
      <c r="D507" s="59"/>
      <c r="E507" s="94"/>
      <c r="F507" s="94"/>
      <c r="G507" s="94"/>
      <c r="H507" s="59"/>
      <c r="I507" s="94"/>
      <c r="J507" s="59"/>
      <c r="K507" s="94"/>
      <c r="L507" s="94"/>
      <c r="M507" s="94"/>
      <c r="N507" s="59"/>
      <c r="O507" s="88"/>
      <c r="P507" s="95"/>
      <c r="Q507" s="88"/>
      <c r="R507" s="88"/>
      <c r="S507" s="88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</row>
    <row r="508">
      <c r="A508" s="59"/>
      <c r="B508" s="59"/>
      <c r="C508" s="70"/>
      <c r="D508" s="59"/>
      <c r="E508" s="94"/>
      <c r="F508" s="94"/>
      <c r="G508" s="94"/>
      <c r="H508" s="59"/>
      <c r="I508" s="94"/>
      <c r="J508" s="59"/>
      <c r="K508" s="94"/>
      <c r="L508" s="94"/>
      <c r="M508" s="94"/>
      <c r="N508" s="59"/>
      <c r="O508" s="88"/>
      <c r="P508" s="95"/>
      <c r="Q508" s="88"/>
      <c r="R508" s="88"/>
      <c r="S508" s="88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</row>
    <row r="509">
      <c r="A509" s="59"/>
      <c r="B509" s="59"/>
      <c r="C509" s="70"/>
      <c r="D509" s="59"/>
      <c r="E509" s="94"/>
      <c r="F509" s="94"/>
      <c r="G509" s="94"/>
      <c r="H509" s="59"/>
      <c r="I509" s="94"/>
      <c r="J509" s="59"/>
      <c r="K509" s="94"/>
      <c r="L509" s="94"/>
      <c r="M509" s="94"/>
      <c r="N509" s="59"/>
      <c r="O509" s="88"/>
      <c r="P509" s="95"/>
      <c r="Q509" s="88"/>
      <c r="R509" s="88"/>
      <c r="S509" s="88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</row>
    <row r="510">
      <c r="A510" s="59"/>
      <c r="B510" s="59"/>
      <c r="C510" s="70"/>
      <c r="D510" s="59"/>
      <c r="E510" s="94"/>
      <c r="F510" s="94"/>
      <c r="G510" s="94"/>
      <c r="H510" s="59"/>
      <c r="I510" s="94"/>
      <c r="J510" s="59"/>
      <c r="K510" s="94"/>
      <c r="L510" s="94"/>
      <c r="M510" s="94"/>
      <c r="N510" s="59"/>
      <c r="O510" s="88"/>
      <c r="P510" s="95"/>
      <c r="Q510" s="88"/>
      <c r="R510" s="88"/>
      <c r="S510" s="88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</row>
    <row r="511">
      <c r="A511" s="59"/>
      <c r="B511" s="59"/>
      <c r="C511" s="70"/>
      <c r="D511" s="59"/>
      <c r="E511" s="94"/>
      <c r="F511" s="94"/>
      <c r="G511" s="94"/>
      <c r="H511" s="59"/>
      <c r="I511" s="94"/>
      <c r="J511" s="59"/>
      <c r="K511" s="94"/>
      <c r="L511" s="94"/>
      <c r="M511" s="94"/>
      <c r="N511" s="59"/>
      <c r="O511" s="88"/>
      <c r="P511" s="95"/>
      <c r="Q511" s="88"/>
      <c r="R511" s="88"/>
      <c r="S511" s="88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</row>
    <row r="512">
      <c r="A512" s="59"/>
      <c r="B512" s="59"/>
      <c r="C512" s="70"/>
      <c r="D512" s="59"/>
      <c r="E512" s="94"/>
      <c r="F512" s="94"/>
      <c r="G512" s="94"/>
      <c r="H512" s="59"/>
      <c r="I512" s="94"/>
      <c r="J512" s="59"/>
      <c r="K512" s="94"/>
      <c r="L512" s="94"/>
      <c r="M512" s="94"/>
      <c r="N512" s="59"/>
      <c r="O512" s="88"/>
      <c r="P512" s="95"/>
      <c r="Q512" s="88"/>
      <c r="R512" s="88"/>
      <c r="S512" s="88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</row>
    <row r="513">
      <c r="A513" s="59"/>
      <c r="B513" s="59"/>
      <c r="C513" s="70"/>
      <c r="D513" s="59"/>
      <c r="E513" s="94"/>
      <c r="F513" s="94"/>
      <c r="G513" s="94"/>
      <c r="H513" s="59"/>
      <c r="I513" s="94"/>
      <c r="J513" s="59"/>
      <c r="K513" s="94"/>
      <c r="L513" s="94"/>
      <c r="M513" s="94"/>
      <c r="N513" s="59"/>
      <c r="O513" s="88"/>
      <c r="P513" s="95"/>
      <c r="Q513" s="88"/>
      <c r="R513" s="88"/>
      <c r="S513" s="88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</row>
    <row r="514">
      <c r="A514" s="59"/>
      <c r="B514" s="59"/>
      <c r="C514" s="70"/>
      <c r="D514" s="59"/>
      <c r="E514" s="94"/>
      <c r="F514" s="94"/>
      <c r="G514" s="94"/>
      <c r="H514" s="59"/>
      <c r="I514" s="94"/>
      <c r="J514" s="59"/>
      <c r="K514" s="94"/>
      <c r="L514" s="94"/>
      <c r="M514" s="94"/>
      <c r="N514" s="59"/>
      <c r="O514" s="88"/>
      <c r="P514" s="95"/>
      <c r="Q514" s="88"/>
      <c r="R514" s="88"/>
      <c r="S514" s="88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</row>
    <row r="515">
      <c r="A515" s="59"/>
      <c r="B515" s="59"/>
      <c r="C515" s="70"/>
      <c r="D515" s="59"/>
      <c r="E515" s="94"/>
      <c r="F515" s="94"/>
      <c r="G515" s="94"/>
      <c r="H515" s="59"/>
      <c r="I515" s="94"/>
      <c r="J515" s="59"/>
      <c r="K515" s="94"/>
      <c r="L515" s="94"/>
      <c r="M515" s="94"/>
      <c r="N515" s="59"/>
      <c r="O515" s="88"/>
      <c r="P515" s="95"/>
      <c r="Q515" s="88"/>
      <c r="R515" s="88"/>
      <c r="S515" s="88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</row>
    <row r="516">
      <c r="A516" s="59"/>
      <c r="B516" s="59"/>
      <c r="C516" s="70"/>
      <c r="D516" s="59"/>
      <c r="E516" s="94"/>
      <c r="F516" s="94"/>
      <c r="G516" s="94"/>
      <c r="H516" s="59"/>
      <c r="I516" s="94"/>
      <c r="J516" s="59"/>
      <c r="K516" s="94"/>
      <c r="L516" s="94"/>
      <c r="M516" s="94"/>
      <c r="N516" s="59"/>
      <c r="O516" s="88"/>
      <c r="P516" s="95"/>
      <c r="Q516" s="88"/>
      <c r="R516" s="88"/>
      <c r="S516" s="88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</row>
    <row r="517">
      <c r="A517" s="59"/>
      <c r="B517" s="59"/>
      <c r="C517" s="70"/>
      <c r="D517" s="59"/>
      <c r="E517" s="94"/>
      <c r="F517" s="94"/>
      <c r="G517" s="94"/>
      <c r="H517" s="59"/>
      <c r="I517" s="94"/>
      <c r="J517" s="59"/>
      <c r="K517" s="94"/>
      <c r="L517" s="94"/>
      <c r="M517" s="94"/>
      <c r="N517" s="59"/>
      <c r="O517" s="88"/>
      <c r="P517" s="95"/>
      <c r="Q517" s="88"/>
      <c r="R517" s="88"/>
      <c r="S517" s="88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</row>
    <row r="518">
      <c r="A518" s="59"/>
      <c r="B518" s="59"/>
      <c r="C518" s="70"/>
      <c r="D518" s="59"/>
      <c r="E518" s="94"/>
      <c r="F518" s="94"/>
      <c r="G518" s="94"/>
      <c r="H518" s="59"/>
      <c r="I518" s="94"/>
      <c r="J518" s="59"/>
      <c r="K518" s="94"/>
      <c r="L518" s="94"/>
      <c r="M518" s="94"/>
      <c r="N518" s="59"/>
      <c r="O518" s="88"/>
      <c r="P518" s="95"/>
      <c r="Q518" s="88"/>
      <c r="R518" s="88"/>
      <c r="S518" s="88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</row>
    <row r="519">
      <c r="A519" s="59"/>
      <c r="B519" s="59"/>
      <c r="C519" s="70"/>
      <c r="D519" s="59"/>
      <c r="E519" s="94"/>
      <c r="F519" s="94"/>
      <c r="G519" s="94"/>
      <c r="H519" s="59"/>
      <c r="I519" s="94"/>
      <c r="J519" s="59"/>
      <c r="K519" s="94"/>
      <c r="L519" s="94"/>
      <c r="M519" s="94"/>
      <c r="N519" s="59"/>
      <c r="O519" s="88"/>
      <c r="P519" s="95"/>
      <c r="Q519" s="88"/>
      <c r="R519" s="88"/>
      <c r="S519" s="88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</row>
    <row r="520">
      <c r="A520" s="59"/>
      <c r="B520" s="59"/>
      <c r="C520" s="70"/>
      <c r="D520" s="59"/>
      <c r="E520" s="94"/>
      <c r="F520" s="94"/>
      <c r="G520" s="94"/>
      <c r="H520" s="59"/>
      <c r="I520" s="94"/>
      <c r="J520" s="59"/>
      <c r="K520" s="94"/>
      <c r="L520" s="94"/>
      <c r="M520" s="94"/>
      <c r="N520" s="59"/>
      <c r="O520" s="88"/>
      <c r="P520" s="95"/>
      <c r="Q520" s="88"/>
      <c r="R520" s="88"/>
      <c r="S520" s="88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</row>
    <row r="521">
      <c r="A521" s="59"/>
      <c r="B521" s="59"/>
      <c r="C521" s="70"/>
      <c r="D521" s="59"/>
      <c r="E521" s="94"/>
      <c r="F521" s="94"/>
      <c r="G521" s="94"/>
      <c r="H521" s="59"/>
      <c r="I521" s="94"/>
      <c r="J521" s="59"/>
      <c r="K521" s="94"/>
      <c r="L521" s="94"/>
      <c r="M521" s="94"/>
      <c r="N521" s="59"/>
      <c r="O521" s="88"/>
      <c r="P521" s="95"/>
      <c r="Q521" s="88"/>
      <c r="R521" s="88"/>
      <c r="S521" s="88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</row>
    <row r="522">
      <c r="A522" s="59"/>
      <c r="B522" s="59"/>
      <c r="C522" s="70"/>
      <c r="D522" s="59"/>
      <c r="E522" s="94"/>
      <c r="F522" s="94"/>
      <c r="G522" s="94"/>
      <c r="H522" s="59"/>
      <c r="I522" s="94"/>
      <c r="J522" s="59"/>
      <c r="K522" s="94"/>
      <c r="L522" s="94"/>
      <c r="M522" s="94"/>
      <c r="N522" s="59"/>
      <c r="O522" s="88"/>
      <c r="P522" s="95"/>
      <c r="Q522" s="88"/>
      <c r="R522" s="88"/>
      <c r="S522" s="88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</row>
    <row r="523">
      <c r="A523" s="59"/>
      <c r="B523" s="59"/>
      <c r="C523" s="70"/>
      <c r="D523" s="59"/>
      <c r="E523" s="94"/>
      <c r="F523" s="94"/>
      <c r="G523" s="94"/>
      <c r="H523" s="59"/>
      <c r="I523" s="94"/>
      <c r="J523" s="59"/>
      <c r="K523" s="94"/>
      <c r="L523" s="94"/>
      <c r="M523" s="94"/>
      <c r="N523" s="59"/>
      <c r="O523" s="88"/>
      <c r="P523" s="95"/>
      <c r="Q523" s="88"/>
      <c r="R523" s="88"/>
      <c r="S523" s="88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</row>
    <row r="524">
      <c r="A524" s="59"/>
      <c r="B524" s="59"/>
      <c r="C524" s="70"/>
      <c r="D524" s="59"/>
      <c r="E524" s="94"/>
      <c r="F524" s="94"/>
      <c r="G524" s="94"/>
      <c r="H524" s="59"/>
      <c r="I524" s="94"/>
      <c r="J524" s="59"/>
      <c r="K524" s="94"/>
      <c r="L524" s="94"/>
      <c r="M524" s="94"/>
      <c r="N524" s="59"/>
      <c r="O524" s="88"/>
      <c r="P524" s="95"/>
      <c r="Q524" s="88"/>
      <c r="R524" s="88"/>
      <c r="S524" s="88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</row>
    <row r="525">
      <c r="A525" s="59"/>
      <c r="B525" s="59"/>
      <c r="C525" s="70"/>
      <c r="D525" s="59"/>
      <c r="E525" s="94"/>
      <c r="F525" s="94"/>
      <c r="G525" s="94"/>
      <c r="H525" s="59"/>
      <c r="I525" s="94"/>
      <c r="J525" s="59"/>
      <c r="K525" s="94"/>
      <c r="L525" s="94"/>
      <c r="M525" s="94"/>
      <c r="N525" s="59"/>
      <c r="O525" s="88"/>
      <c r="P525" s="95"/>
      <c r="Q525" s="88"/>
      <c r="R525" s="88"/>
      <c r="S525" s="88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</row>
    <row r="526">
      <c r="A526" s="59"/>
      <c r="B526" s="59"/>
      <c r="C526" s="70"/>
      <c r="D526" s="59"/>
      <c r="E526" s="94"/>
      <c r="F526" s="94"/>
      <c r="G526" s="94"/>
      <c r="H526" s="59"/>
      <c r="I526" s="94"/>
      <c r="J526" s="59"/>
      <c r="K526" s="94"/>
      <c r="L526" s="94"/>
      <c r="M526" s="94"/>
      <c r="N526" s="59"/>
      <c r="O526" s="88"/>
      <c r="P526" s="95"/>
      <c r="Q526" s="88"/>
      <c r="R526" s="88"/>
      <c r="S526" s="88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</row>
    <row r="527">
      <c r="A527" s="59"/>
      <c r="B527" s="59"/>
      <c r="C527" s="70"/>
      <c r="D527" s="59"/>
      <c r="E527" s="94"/>
      <c r="F527" s="94"/>
      <c r="G527" s="94"/>
      <c r="H527" s="59"/>
      <c r="I527" s="94"/>
      <c r="J527" s="59"/>
      <c r="K527" s="94"/>
      <c r="L527" s="94"/>
      <c r="M527" s="94"/>
      <c r="N527" s="59"/>
      <c r="O527" s="88"/>
      <c r="P527" s="95"/>
      <c r="Q527" s="88"/>
      <c r="R527" s="88"/>
      <c r="S527" s="88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</row>
    <row r="528">
      <c r="A528" s="59"/>
      <c r="B528" s="59"/>
      <c r="C528" s="70"/>
      <c r="D528" s="59"/>
      <c r="E528" s="94"/>
      <c r="F528" s="94"/>
      <c r="G528" s="94"/>
      <c r="H528" s="59"/>
      <c r="I528" s="94"/>
      <c r="J528" s="59"/>
      <c r="K528" s="94"/>
      <c r="L528" s="94"/>
      <c r="M528" s="94"/>
      <c r="N528" s="59"/>
      <c r="O528" s="88"/>
      <c r="P528" s="95"/>
      <c r="Q528" s="88"/>
      <c r="R528" s="88"/>
      <c r="S528" s="88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</row>
    <row r="529">
      <c r="A529" s="59"/>
      <c r="B529" s="59"/>
      <c r="C529" s="70"/>
      <c r="D529" s="59"/>
      <c r="E529" s="94"/>
      <c r="F529" s="94"/>
      <c r="G529" s="94"/>
      <c r="H529" s="59"/>
      <c r="I529" s="94"/>
      <c r="J529" s="59"/>
      <c r="K529" s="94"/>
      <c r="L529" s="94"/>
      <c r="M529" s="94"/>
      <c r="N529" s="59"/>
      <c r="O529" s="88"/>
      <c r="P529" s="95"/>
      <c r="Q529" s="88"/>
      <c r="R529" s="88"/>
      <c r="S529" s="88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</row>
    <row r="530">
      <c r="A530" s="59"/>
      <c r="B530" s="59"/>
      <c r="C530" s="70"/>
      <c r="D530" s="59"/>
      <c r="E530" s="94"/>
      <c r="F530" s="94"/>
      <c r="G530" s="94"/>
      <c r="H530" s="59"/>
      <c r="I530" s="94"/>
      <c r="J530" s="59"/>
      <c r="K530" s="94"/>
      <c r="L530" s="94"/>
      <c r="M530" s="94"/>
      <c r="N530" s="59"/>
      <c r="O530" s="88"/>
      <c r="P530" s="95"/>
      <c r="Q530" s="88"/>
      <c r="R530" s="88"/>
      <c r="S530" s="88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</row>
    <row r="531">
      <c r="A531" s="59"/>
      <c r="B531" s="59"/>
      <c r="C531" s="70"/>
      <c r="D531" s="59"/>
      <c r="E531" s="94"/>
      <c r="F531" s="94"/>
      <c r="G531" s="94"/>
      <c r="H531" s="59"/>
      <c r="I531" s="94"/>
      <c r="J531" s="59"/>
      <c r="K531" s="94"/>
      <c r="L531" s="94"/>
      <c r="M531" s="94"/>
      <c r="N531" s="59"/>
      <c r="O531" s="88"/>
      <c r="P531" s="95"/>
      <c r="Q531" s="88"/>
      <c r="R531" s="88"/>
      <c r="S531" s="88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</row>
    <row r="532">
      <c r="A532" s="59"/>
      <c r="B532" s="59"/>
      <c r="C532" s="70"/>
      <c r="D532" s="59"/>
      <c r="E532" s="94"/>
      <c r="F532" s="94"/>
      <c r="G532" s="94"/>
      <c r="H532" s="59"/>
      <c r="I532" s="94"/>
      <c r="J532" s="59"/>
      <c r="K532" s="94"/>
      <c r="L532" s="94"/>
      <c r="M532" s="94"/>
      <c r="N532" s="59"/>
      <c r="O532" s="88"/>
      <c r="P532" s="95"/>
      <c r="Q532" s="88"/>
      <c r="R532" s="88"/>
      <c r="S532" s="88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</row>
    <row r="533">
      <c r="A533" s="59"/>
      <c r="B533" s="59"/>
      <c r="C533" s="70"/>
      <c r="D533" s="59"/>
      <c r="E533" s="94"/>
      <c r="F533" s="94"/>
      <c r="G533" s="94"/>
      <c r="H533" s="59"/>
      <c r="I533" s="94"/>
      <c r="J533" s="59"/>
      <c r="K533" s="94"/>
      <c r="L533" s="94"/>
      <c r="M533" s="94"/>
      <c r="N533" s="59"/>
      <c r="O533" s="88"/>
      <c r="P533" s="95"/>
      <c r="Q533" s="88"/>
      <c r="R533" s="88"/>
      <c r="S533" s="88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</row>
    <row r="534">
      <c r="A534" s="59"/>
      <c r="B534" s="59"/>
      <c r="C534" s="70"/>
      <c r="D534" s="59"/>
      <c r="E534" s="94"/>
      <c r="F534" s="94"/>
      <c r="G534" s="94"/>
      <c r="H534" s="59"/>
      <c r="I534" s="94"/>
      <c r="J534" s="59"/>
      <c r="K534" s="94"/>
      <c r="L534" s="94"/>
      <c r="M534" s="94"/>
      <c r="N534" s="59"/>
      <c r="O534" s="88"/>
      <c r="P534" s="95"/>
      <c r="Q534" s="88"/>
      <c r="R534" s="88"/>
      <c r="S534" s="88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</row>
    <row r="535">
      <c r="A535" s="59"/>
      <c r="B535" s="59"/>
      <c r="C535" s="70"/>
      <c r="D535" s="59"/>
      <c r="E535" s="94"/>
      <c r="F535" s="94"/>
      <c r="G535" s="94"/>
      <c r="H535" s="59"/>
      <c r="I535" s="94"/>
      <c r="J535" s="59"/>
      <c r="K535" s="94"/>
      <c r="L535" s="94"/>
      <c r="M535" s="94"/>
      <c r="N535" s="59"/>
      <c r="O535" s="88"/>
      <c r="P535" s="95"/>
      <c r="Q535" s="88"/>
      <c r="R535" s="88"/>
      <c r="S535" s="88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</row>
    <row r="536">
      <c r="A536" s="59"/>
      <c r="B536" s="59"/>
      <c r="C536" s="70"/>
      <c r="D536" s="59"/>
      <c r="E536" s="94"/>
      <c r="F536" s="94"/>
      <c r="G536" s="94"/>
      <c r="H536" s="59"/>
      <c r="I536" s="94"/>
      <c r="J536" s="59"/>
      <c r="K536" s="94"/>
      <c r="L536" s="94"/>
      <c r="M536" s="94"/>
      <c r="N536" s="59"/>
      <c r="O536" s="88"/>
      <c r="P536" s="95"/>
      <c r="Q536" s="88"/>
      <c r="R536" s="88"/>
      <c r="S536" s="88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</row>
    <row r="537">
      <c r="A537" s="59"/>
      <c r="B537" s="59"/>
      <c r="C537" s="70"/>
      <c r="D537" s="59"/>
      <c r="E537" s="94"/>
      <c r="F537" s="94"/>
      <c r="G537" s="94"/>
      <c r="H537" s="59"/>
      <c r="I537" s="94"/>
      <c r="J537" s="59"/>
      <c r="K537" s="94"/>
      <c r="L537" s="94"/>
      <c r="M537" s="94"/>
      <c r="N537" s="59"/>
      <c r="O537" s="88"/>
      <c r="P537" s="95"/>
      <c r="Q537" s="88"/>
      <c r="R537" s="88"/>
      <c r="S537" s="88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</row>
    <row r="538">
      <c r="A538" s="59"/>
      <c r="B538" s="59"/>
      <c r="C538" s="70"/>
      <c r="D538" s="59"/>
      <c r="E538" s="94"/>
      <c r="F538" s="94"/>
      <c r="G538" s="94"/>
      <c r="H538" s="59"/>
      <c r="I538" s="94"/>
      <c r="J538" s="59"/>
      <c r="K538" s="94"/>
      <c r="L538" s="94"/>
      <c r="M538" s="94"/>
      <c r="N538" s="59"/>
      <c r="O538" s="88"/>
      <c r="P538" s="95"/>
      <c r="Q538" s="88"/>
      <c r="R538" s="88"/>
      <c r="S538" s="88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</row>
    <row r="539">
      <c r="A539" s="59"/>
      <c r="B539" s="59"/>
      <c r="C539" s="70"/>
      <c r="D539" s="59"/>
      <c r="E539" s="94"/>
      <c r="F539" s="94"/>
      <c r="G539" s="94"/>
      <c r="H539" s="59"/>
      <c r="I539" s="94"/>
      <c r="J539" s="59"/>
      <c r="K539" s="94"/>
      <c r="L539" s="94"/>
      <c r="M539" s="94"/>
      <c r="N539" s="59"/>
      <c r="O539" s="88"/>
      <c r="P539" s="95"/>
      <c r="Q539" s="88"/>
      <c r="R539" s="88"/>
      <c r="S539" s="88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</row>
    <row r="540">
      <c r="A540" s="59"/>
      <c r="B540" s="59"/>
      <c r="C540" s="70"/>
      <c r="D540" s="59"/>
      <c r="E540" s="94"/>
      <c r="F540" s="94"/>
      <c r="G540" s="94"/>
      <c r="H540" s="59"/>
      <c r="I540" s="94"/>
      <c r="J540" s="59"/>
      <c r="K540" s="94"/>
      <c r="L540" s="94"/>
      <c r="M540" s="94"/>
      <c r="N540" s="59"/>
      <c r="O540" s="88"/>
      <c r="P540" s="95"/>
      <c r="Q540" s="88"/>
      <c r="R540" s="88"/>
      <c r="S540" s="88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</row>
    <row r="541">
      <c r="A541" s="59"/>
      <c r="B541" s="59"/>
      <c r="C541" s="70"/>
      <c r="D541" s="59"/>
      <c r="E541" s="94"/>
      <c r="F541" s="94"/>
      <c r="G541" s="94"/>
      <c r="H541" s="59"/>
      <c r="I541" s="94"/>
      <c r="J541" s="59"/>
      <c r="K541" s="94"/>
      <c r="L541" s="94"/>
      <c r="M541" s="94"/>
      <c r="N541" s="59"/>
      <c r="O541" s="88"/>
      <c r="P541" s="95"/>
      <c r="Q541" s="88"/>
      <c r="R541" s="88"/>
      <c r="S541" s="88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</row>
    <row r="542">
      <c r="A542" s="59"/>
      <c r="B542" s="59"/>
      <c r="C542" s="70"/>
      <c r="D542" s="59"/>
      <c r="E542" s="94"/>
      <c r="F542" s="94"/>
      <c r="G542" s="94"/>
      <c r="H542" s="59"/>
      <c r="I542" s="94"/>
      <c r="J542" s="59"/>
      <c r="K542" s="94"/>
      <c r="L542" s="94"/>
      <c r="M542" s="94"/>
      <c r="N542" s="59"/>
      <c r="O542" s="88"/>
      <c r="P542" s="95"/>
      <c r="Q542" s="88"/>
      <c r="R542" s="88"/>
      <c r="S542" s="88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</row>
    <row r="543">
      <c r="A543" s="59"/>
      <c r="B543" s="59"/>
      <c r="C543" s="70"/>
      <c r="D543" s="59"/>
      <c r="E543" s="94"/>
      <c r="F543" s="94"/>
      <c r="G543" s="94"/>
      <c r="H543" s="59"/>
      <c r="I543" s="94"/>
      <c r="J543" s="59"/>
      <c r="K543" s="94"/>
      <c r="L543" s="94"/>
      <c r="M543" s="94"/>
      <c r="N543" s="59"/>
      <c r="O543" s="88"/>
      <c r="P543" s="95"/>
      <c r="Q543" s="88"/>
      <c r="R543" s="88"/>
      <c r="S543" s="88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</row>
    <row r="544">
      <c r="A544" s="59"/>
      <c r="B544" s="59"/>
      <c r="C544" s="70"/>
      <c r="D544" s="59"/>
      <c r="E544" s="94"/>
      <c r="F544" s="94"/>
      <c r="G544" s="94"/>
      <c r="H544" s="59"/>
      <c r="I544" s="94"/>
      <c r="J544" s="59"/>
      <c r="K544" s="94"/>
      <c r="L544" s="94"/>
      <c r="M544" s="94"/>
      <c r="N544" s="59"/>
      <c r="O544" s="88"/>
      <c r="P544" s="95"/>
      <c r="Q544" s="88"/>
      <c r="R544" s="88"/>
      <c r="S544" s="88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</row>
    <row r="545">
      <c r="A545" s="59"/>
      <c r="B545" s="59"/>
      <c r="C545" s="70"/>
      <c r="D545" s="59"/>
      <c r="E545" s="94"/>
      <c r="F545" s="94"/>
      <c r="G545" s="94"/>
      <c r="H545" s="59"/>
      <c r="I545" s="94"/>
      <c r="J545" s="59"/>
      <c r="K545" s="94"/>
      <c r="L545" s="94"/>
      <c r="M545" s="94"/>
      <c r="N545" s="59"/>
      <c r="O545" s="88"/>
      <c r="P545" s="95"/>
      <c r="Q545" s="88"/>
      <c r="R545" s="88"/>
      <c r="S545" s="88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</row>
    <row r="546">
      <c r="A546" s="59"/>
      <c r="B546" s="59"/>
      <c r="C546" s="70"/>
      <c r="D546" s="59"/>
      <c r="E546" s="94"/>
      <c r="F546" s="94"/>
      <c r="G546" s="94"/>
      <c r="H546" s="59"/>
      <c r="I546" s="94"/>
      <c r="J546" s="59"/>
      <c r="K546" s="94"/>
      <c r="L546" s="94"/>
      <c r="M546" s="94"/>
      <c r="N546" s="59"/>
      <c r="O546" s="88"/>
      <c r="P546" s="95"/>
      <c r="Q546" s="88"/>
      <c r="R546" s="88"/>
      <c r="S546" s="88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</row>
    <row r="547">
      <c r="A547" s="59"/>
      <c r="B547" s="59"/>
      <c r="C547" s="70"/>
      <c r="D547" s="59"/>
      <c r="E547" s="94"/>
      <c r="F547" s="94"/>
      <c r="G547" s="94"/>
      <c r="H547" s="59"/>
      <c r="I547" s="94"/>
      <c r="J547" s="59"/>
      <c r="K547" s="94"/>
      <c r="L547" s="94"/>
      <c r="M547" s="94"/>
      <c r="N547" s="59"/>
      <c r="O547" s="88"/>
      <c r="P547" s="95"/>
      <c r="Q547" s="88"/>
      <c r="R547" s="88"/>
      <c r="S547" s="88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</row>
    <row r="548">
      <c r="A548" s="59"/>
      <c r="B548" s="59"/>
      <c r="C548" s="70"/>
      <c r="D548" s="59"/>
      <c r="E548" s="94"/>
      <c r="F548" s="94"/>
      <c r="G548" s="94"/>
      <c r="H548" s="59"/>
      <c r="I548" s="94"/>
      <c r="J548" s="59"/>
      <c r="K548" s="94"/>
      <c r="L548" s="94"/>
      <c r="M548" s="94"/>
      <c r="N548" s="59"/>
      <c r="O548" s="88"/>
      <c r="P548" s="95"/>
      <c r="Q548" s="88"/>
      <c r="R548" s="88"/>
      <c r="S548" s="88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</row>
    <row r="549">
      <c r="A549" s="59"/>
      <c r="B549" s="59"/>
      <c r="C549" s="70"/>
      <c r="D549" s="59"/>
      <c r="E549" s="94"/>
      <c r="F549" s="94"/>
      <c r="G549" s="94"/>
      <c r="H549" s="59"/>
      <c r="I549" s="94"/>
      <c r="J549" s="59"/>
      <c r="K549" s="94"/>
      <c r="L549" s="94"/>
      <c r="M549" s="94"/>
      <c r="N549" s="59"/>
      <c r="O549" s="88"/>
      <c r="P549" s="95"/>
      <c r="Q549" s="88"/>
      <c r="R549" s="88"/>
      <c r="S549" s="88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</row>
    <row r="550">
      <c r="A550" s="59"/>
      <c r="B550" s="59"/>
      <c r="C550" s="70"/>
      <c r="D550" s="59"/>
      <c r="E550" s="94"/>
      <c r="F550" s="94"/>
      <c r="G550" s="94"/>
      <c r="H550" s="59"/>
      <c r="I550" s="94"/>
      <c r="J550" s="59"/>
      <c r="K550" s="94"/>
      <c r="L550" s="94"/>
      <c r="M550" s="94"/>
      <c r="N550" s="59"/>
      <c r="O550" s="88"/>
      <c r="P550" s="95"/>
      <c r="Q550" s="88"/>
      <c r="R550" s="88"/>
      <c r="S550" s="88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</row>
    <row r="551">
      <c r="A551" s="59"/>
      <c r="B551" s="59"/>
      <c r="C551" s="70"/>
      <c r="D551" s="59"/>
      <c r="E551" s="94"/>
      <c r="F551" s="94"/>
      <c r="G551" s="94"/>
      <c r="H551" s="59"/>
      <c r="I551" s="94"/>
      <c r="J551" s="59"/>
      <c r="K551" s="94"/>
      <c r="L551" s="94"/>
      <c r="M551" s="94"/>
      <c r="N551" s="59"/>
      <c r="O551" s="88"/>
      <c r="P551" s="95"/>
      <c r="Q551" s="88"/>
      <c r="R551" s="88"/>
      <c r="S551" s="88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</row>
    <row r="552">
      <c r="A552" s="59"/>
      <c r="B552" s="59"/>
      <c r="C552" s="70"/>
      <c r="D552" s="59"/>
      <c r="E552" s="94"/>
      <c r="F552" s="94"/>
      <c r="G552" s="94"/>
      <c r="H552" s="59"/>
      <c r="I552" s="94"/>
      <c r="J552" s="59"/>
      <c r="K552" s="94"/>
      <c r="L552" s="94"/>
      <c r="M552" s="94"/>
      <c r="N552" s="59"/>
      <c r="O552" s="88"/>
      <c r="P552" s="95"/>
      <c r="Q552" s="88"/>
      <c r="R552" s="88"/>
      <c r="S552" s="88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</row>
    <row r="553">
      <c r="A553" s="59"/>
      <c r="B553" s="59"/>
      <c r="C553" s="70"/>
      <c r="D553" s="59"/>
      <c r="E553" s="94"/>
      <c r="F553" s="94"/>
      <c r="G553" s="94"/>
      <c r="H553" s="59"/>
      <c r="I553" s="94"/>
      <c r="J553" s="59"/>
      <c r="K553" s="94"/>
      <c r="L553" s="94"/>
      <c r="M553" s="94"/>
      <c r="N553" s="59"/>
      <c r="O553" s="88"/>
      <c r="P553" s="95"/>
      <c r="Q553" s="88"/>
      <c r="R553" s="88"/>
      <c r="S553" s="88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</row>
    <row r="554">
      <c r="A554" s="59"/>
      <c r="B554" s="59"/>
      <c r="C554" s="70"/>
      <c r="D554" s="59"/>
      <c r="E554" s="94"/>
      <c r="F554" s="94"/>
      <c r="G554" s="94"/>
      <c r="H554" s="59"/>
      <c r="I554" s="94"/>
      <c r="J554" s="59"/>
      <c r="K554" s="94"/>
      <c r="L554" s="94"/>
      <c r="M554" s="94"/>
      <c r="N554" s="59"/>
      <c r="O554" s="88"/>
      <c r="P554" s="95"/>
      <c r="Q554" s="88"/>
      <c r="R554" s="88"/>
      <c r="S554" s="88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</row>
    <row r="555">
      <c r="A555" s="59"/>
      <c r="B555" s="59"/>
      <c r="C555" s="70"/>
      <c r="D555" s="59"/>
      <c r="E555" s="94"/>
      <c r="F555" s="94"/>
      <c r="G555" s="94"/>
      <c r="H555" s="59"/>
      <c r="I555" s="94"/>
      <c r="J555" s="59"/>
      <c r="K555" s="94"/>
      <c r="L555" s="94"/>
      <c r="M555" s="94"/>
      <c r="N555" s="59"/>
      <c r="O555" s="88"/>
      <c r="P555" s="95"/>
      <c r="Q555" s="88"/>
      <c r="R555" s="88"/>
      <c r="S555" s="88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</row>
    <row r="556">
      <c r="A556" s="59"/>
      <c r="B556" s="59"/>
      <c r="C556" s="70"/>
      <c r="D556" s="59"/>
      <c r="E556" s="94"/>
      <c r="F556" s="94"/>
      <c r="G556" s="94"/>
      <c r="H556" s="59"/>
      <c r="I556" s="94"/>
      <c r="J556" s="59"/>
      <c r="K556" s="94"/>
      <c r="L556" s="94"/>
      <c r="M556" s="94"/>
      <c r="N556" s="59"/>
      <c r="O556" s="88"/>
      <c r="P556" s="95"/>
      <c r="Q556" s="88"/>
      <c r="R556" s="88"/>
      <c r="S556" s="88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</row>
    <row r="557">
      <c r="A557" s="59"/>
      <c r="B557" s="59"/>
      <c r="C557" s="70"/>
      <c r="D557" s="59"/>
      <c r="E557" s="94"/>
      <c r="F557" s="94"/>
      <c r="G557" s="94"/>
      <c r="H557" s="59"/>
      <c r="I557" s="94"/>
      <c r="J557" s="59"/>
      <c r="K557" s="94"/>
      <c r="L557" s="94"/>
      <c r="M557" s="94"/>
      <c r="N557" s="59"/>
      <c r="O557" s="88"/>
      <c r="P557" s="95"/>
      <c r="Q557" s="88"/>
      <c r="R557" s="88"/>
      <c r="S557" s="88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</row>
    <row r="558">
      <c r="A558" s="59"/>
      <c r="B558" s="59"/>
      <c r="C558" s="70"/>
      <c r="D558" s="59"/>
      <c r="E558" s="94"/>
      <c r="F558" s="94"/>
      <c r="G558" s="94"/>
      <c r="H558" s="59"/>
      <c r="I558" s="94"/>
      <c r="J558" s="59"/>
      <c r="K558" s="94"/>
      <c r="L558" s="94"/>
      <c r="M558" s="94"/>
      <c r="N558" s="59"/>
      <c r="O558" s="88"/>
      <c r="P558" s="95"/>
      <c r="Q558" s="88"/>
      <c r="R558" s="88"/>
      <c r="S558" s="88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</row>
    <row r="559">
      <c r="A559" s="59"/>
      <c r="B559" s="59"/>
      <c r="C559" s="70"/>
      <c r="D559" s="59"/>
      <c r="E559" s="94"/>
      <c r="F559" s="94"/>
      <c r="G559" s="94"/>
      <c r="H559" s="59"/>
      <c r="I559" s="94"/>
      <c r="J559" s="59"/>
      <c r="K559" s="94"/>
      <c r="L559" s="94"/>
      <c r="M559" s="94"/>
      <c r="N559" s="59"/>
      <c r="O559" s="88"/>
      <c r="P559" s="95"/>
      <c r="Q559" s="88"/>
      <c r="R559" s="88"/>
      <c r="S559" s="88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</row>
    <row r="560">
      <c r="A560" s="59"/>
      <c r="B560" s="59"/>
      <c r="C560" s="70"/>
      <c r="D560" s="59"/>
      <c r="E560" s="94"/>
      <c r="F560" s="94"/>
      <c r="G560" s="94"/>
      <c r="H560" s="59"/>
      <c r="I560" s="94"/>
      <c r="J560" s="59"/>
      <c r="K560" s="94"/>
      <c r="L560" s="94"/>
      <c r="M560" s="94"/>
      <c r="N560" s="59"/>
      <c r="O560" s="88"/>
      <c r="P560" s="95"/>
      <c r="Q560" s="88"/>
      <c r="R560" s="88"/>
      <c r="S560" s="88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</row>
    <row r="561">
      <c r="A561" s="59"/>
      <c r="B561" s="59"/>
      <c r="C561" s="70"/>
      <c r="D561" s="59"/>
      <c r="E561" s="94"/>
      <c r="F561" s="94"/>
      <c r="G561" s="94"/>
      <c r="H561" s="59"/>
      <c r="I561" s="94"/>
      <c r="J561" s="59"/>
      <c r="K561" s="94"/>
      <c r="L561" s="94"/>
      <c r="M561" s="94"/>
      <c r="N561" s="59"/>
      <c r="O561" s="88"/>
      <c r="P561" s="95"/>
      <c r="Q561" s="88"/>
      <c r="R561" s="88"/>
      <c r="S561" s="88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</row>
    <row r="562">
      <c r="A562" s="59"/>
      <c r="B562" s="59"/>
      <c r="C562" s="70"/>
      <c r="D562" s="59"/>
      <c r="E562" s="94"/>
      <c r="F562" s="94"/>
      <c r="G562" s="94"/>
      <c r="H562" s="59"/>
      <c r="I562" s="94"/>
      <c r="J562" s="59"/>
      <c r="K562" s="94"/>
      <c r="L562" s="94"/>
      <c r="M562" s="94"/>
      <c r="N562" s="59"/>
      <c r="O562" s="88"/>
      <c r="P562" s="95"/>
      <c r="Q562" s="88"/>
      <c r="R562" s="88"/>
      <c r="S562" s="88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</row>
    <row r="563">
      <c r="A563" s="59"/>
      <c r="B563" s="59"/>
      <c r="C563" s="70"/>
      <c r="D563" s="59"/>
      <c r="E563" s="94"/>
      <c r="F563" s="94"/>
      <c r="G563" s="94"/>
      <c r="H563" s="59"/>
      <c r="I563" s="94"/>
      <c r="J563" s="59"/>
      <c r="K563" s="94"/>
      <c r="L563" s="94"/>
      <c r="M563" s="94"/>
      <c r="N563" s="59"/>
      <c r="O563" s="88"/>
      <c r="P563" s="95"/>
      <c r="Q563" s="88"/>
      <c r="R563" s="88"/>
      <c r="S563" s="88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</row>
    <row r="564">
      <c r="A564" s="59"/>
      <c r="B564" s="59"/>
      <c r="C564" s="70"/>
      <c r="D564" s="59"/>
      <c r="E564" s="94"/>
      <c r="F564" s="94"/>
      <c r="G564" s="94"/>
      <c r="H564" s="59"/>
      <c r="I564" s="94"/>
      <c r="J564" s="59"/>
      <c r="K564" s="94"/>
      <c r="L564" s="94"/>
      <c r="M564" s="94"/>
      <c r="N564" s="59"/>
      <c r="O564" s="88"/>
      <c r="P564" s="95"/>
      <c r="Q564" s="88"/>
      <c r="R564" s="88"/>
      <c r="S564" s="88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</row>
    <row r="565">
      <c r="A565" s="59"/>
      <c r="B565" s="59"/>
      <c r="C565" s="70"/>
      <c r="D565" s="59"/>
      <c r="E565" s="94"/>
      <c r="F565" s="94"/>
      <c r="G565" s="94"/>
      <c r="H565" s="59"/>
      <c r="I565" s="94"/>
      <c r="J565" s="59"/>
      <c r="K565" s="94"/>
      <c r="L565" s="94"/>
      <c r="M565" s="94"/>
      <c r="N565" s="59"/>
      <c r="O565" s="88"/>
      <c r="P565" s="95"/>
      <c r="Q565" s="88"/>
      <c r="R565" s="88"/>
      <c r="S565" s="88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</row>
    <row r="566">
      <c r="A566" s="59"/>
      <c r="B566" s="59"/>
      <c r="C566" s="70"/>
      <c r="D566" s="59"/>
      <c r="E566" s="94"/>
      <c r="F566" s="94"/>
      <c r="G566" s="94"/>
      <c r="H566" s="59"/>
      <c r="I566" s="94"/>
      <c r="J566" s="59"/>
      <c r="K566" s="94"/>
      <c r="L566" s="94"/>
      <c r="M566" s="94"/>
      <c r="N566" s="59"/>
      <c r="O566" s="88"/>
      <c r="P566" s="95"/>
      <c r="Q566" s="88"/>
      <c r="R566" s="88"/>
      <c r="S566" s="88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</row>
    <row r="567">
      <c r="A567" s="59"/>
      <c r="B567" s="59"/>
      <c r="C567" s="70"/>
      <c r="D567" s="59"/>
      <c r="E567" s="94"/>
      <c r="F567" s="94"/>
      <c r="G567" s="94"/>
      <c r="H567" s="59"/>
      <c r="I567" s="94"/>
      <c r="J567" s="59"/>
      <c r="K567" s="94"/>
      <c r="L567" s="94"/>
      <c r="M567" s="94"/>
      <c r="N567" s="59"/>
      <c r="O567" s="88"/>
      <c r="P567" s="95"/>
      <c r="Q567" s="88"/>
      <c r="R567" s="88"/>
      <c r="S567" s="88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</row>
    <row r="568">
      <c r="A568" s="59"/>
      <c r="B568" s="59"/>
      <c r="C568" s="70"/>
      <c r="D568" s="59"/>
      <c r="E568" s="94"/>
      <c r="F568" s="94"/>
      <c r="G568" s="94"/>
      <c r="H568" s="59"/>
      <c r="I568" s="94"/>
      <c r="J568" s="59"/>
      <c r="K568" s="94"/>
      <c r="L568" s="94"/>
      <c r="M568" s="94"/>
      <c r="N568" s="59"/>
      <c r="O568" s="88"/>
      <c r="P568" s="95"/>
      <c r="Q568" s="88"/>
      <c r="R568" s="88"/>
      <c r="S568" s="88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</row>
    <row r="569">
      <c r="A569" s="59"/>
      <c r="B569" s="59"/>
      <c r="C569" s="70"/>
      <c r="D569" s="59"/>
      <c r="E569" s="94"/>
      <c r="F569" s="94"/>
      <c r="G569" s="94"/>
      <c r="H569" s="59"/>
      <c r="I569" s="94"/>
      <c r="J569" s="59"/>
      <c r="K569" s="94"/>
      <c r="L569" s="94"/>
      <c r="M569" s="94"/>
      <c r="N569" s="59"/>
      <c r="O569" s="88"/>
      <c r="P569" s="95"/>
      <c r="Q569" s="88"/>
      <c r="R569" s="88"/>
      <c r="S569" s="88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</row>
    <row r="570">
      <c r="A570" s="59"/>
      <c r="B570" s="59"/>
      <c r="C570" s="70"/>
      <c r="D570" s="59"/>
      <c r="E570" s="94"/>
      <c r="F570" s="94"/>
      <c r="G570" s="94"/>
      <c r="H570" s="59"/>
      <c r="I570" s="94"/>
      <c r="J570" s="59"/>
      <c r="K570" s="94"/>
      <c r="L570" s="94"/>
      <c r="M570" s="94"/>
      <c r="N570" s="59"/>
      <c r="O570" s="88"/>
      <c r="P570" s="95"/>
      <c r="Q570" s="88"/>
      <c r="R570" s="88"/>
      <c r="S570" s="88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</row>
    <row r="571">
      <c r="A571" s="59"/>
      <c r="B571" s="59"/>
      <c r="C571" s="70"/>
      <c r="D571" s="59"/>
      <c r="E571" s="94"/>
      <c r="F571" s="94"/>
      <c r="G571" s="94"/>
      <c r="H571" s="59"/>
      <c r="I571" s="94"/>
      <c r="J571" s="59"/>
      <c r="K571" s="94"/>
      <c r="L571" s="94"/>
      <c r="M571" s="94"/>
      <c r="N571" s="59"/>
      <c r="O571" s="88"/>
      <c r="P571" s="95"/>
      <c r="Q571" s="88"/>
      <c r="R571" s="88"/>
      <c r="S571" s="88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</row>
    <row r="572">
      <c r="A572" s="59"/>
      <c r="B572" s="59"/>
      <c r="C572" s="70"/>
      <c r="D572" s="59"/>
      <c r="E572" s="94"/>
      <c r="F572" s="94"/>
      <c r="G572" s="94"/>
      <c r="H572" s="59"/>
      <c r="I572" s="94"/>
      <c r="J572" s="59"/>
      <c r="K572" s="94"/>
      <c r="L572" s="94"/>
      <c r="M572" s="94"/>
      <c r="N572" s="59"/>
      <c r="O572" s="88"/>
      <c r="P572" s="95"/>
      <c r="Q572" s="88"/>
      <c r="R572" s="88"/>
      <c r="S572" s="88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</row>
    <row r="573">
      <c r="A573" s="59"/>
      <c r="B573" s="59"/>
      <c r="C573" s="70"/>
      <c r="D573" s="59"/>
      <c r="E573" s="94"/>
      <c r="F573" s="94"/>
      <c r="G573" s="94"/>
      <c r="H573" s="59"/>
      <c r="I573" s="94"/>
      <c r="J573" s="59"/>
      <c r="K573" s="94"/>
      <c r="L573" s="94"/>
      <c r="M573" s="94"/>
      <c r="N573" s="59"/>
      <c r="O573" s="88"/>
      <c r="P573" s="95"/>
      <c r="Q573" s="88"/>
      <c r="R573" s="88"/>
      <c r="S573" s="88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</row>
    <row r="574">
      <c r="A574" s="59"/>
      <c r="B574" s="59"/>
      <c r="C574" s="70"/>
      <c r="D574" s="59"/>
      <c r="E574" s="94"/>
      <c r="F574" s="94"/>
      <c r="G574" s="94"/>
      <c r="H574" s="59"/>
      <c r="I574" s="94"/>
      <c r="J574" s="59"/>
      <c r="K574" s="94"/>
      <c r="L574" s="94"/>
      <c r="M574" s="94"/>
      <c r="N574" s="59"/>
      <c r="O574" s="88"/>
      <c r="P574" s="95"/>
      <c r="Q574" s="88"/>
      <c r="R574" s="88"/>
      <c r="S574" s="88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</row>
    <row r="575">
      <c r="A575" s="59"/>
      <c r="B575" s="59"/>
      <c r="C575" s="70"/>
      <c r="D575" s="59"/>
      <c r="E575" s="94"/>
      <c r="F575" s="94"/>
      <c r="G575" s="94"/>
      <c r="H575" s="59"/>
      <c r="I575" s="94"/>
      <c r="J575" s="59"/>
      <c r="K575" s="94"/>
      <c r="L575" s="94"/>
      <c r="M575" s="94"/>
      <c r="N575" s="59"/>
      <c r="O575" s="88"/>
      <c r="P575" s="95"/>
      <c r="Q575" s="88"/>
      <c r="R575" s="88"/>
      <c r="S575" s="88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</row>
    <row r="576">
      <c r="A576" s="59"/>
      <c r="B576" s="59"/>
      <c r="C576" s="70"/>
      <c r="D576" s="59"/>
      <c r="E576" s="94"/>
      <c r="F576" s="94"/>
      <c r="G576" s="94"/>
      <c r="H576" s="59"/>
      <c r="I576" s="94"/>
      <c r="J576" s="59"/>
      <c r="K576" s="94"/>
      <c r="L576" s="94"/>
      <c r="M576" s="94"/>
      <c r="N576" s="59"/>
      <c r="O576" s="88"/>
      <c r="P576" s="95"/>
      <c r="Q576" s="88"/>
      <c r="R576" s="88"/>
      <c r="S576" s="88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</row>
    <row r="577">
      <c r="A577" s="59"/>
      <c r="B577" s="59"/>
      <c r="C577" s="70"/>
      <c r="D577" s="59"/>
      <c r="E577" s="94"/>
      <c r="F577" s="94"/>
      <c r="G577" s="94"/>
      <c r="H577" s="59"/>
      <c r="I577" s="94"/>
      <c r="J577" s="59"/>
      <c r="K577" s="94"/>
      <c r="L577" s="94"/>
      <c r="M577" s="94"/>
      <c r="N577" s="59"/>
      <c r="O577" s="88"/>
      <c r="P577" s="95"/>
      <c r="Q577" s="88"/>
      <c r="R577" s="88"/>
      <c r="S577" s="88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</row>
    <row r="578">
      <c r="A578" s="59"/>
      <c r="B578" s="59"/>
      <c r="C578" s="70"/>
      <c r="D578" s="59"/>
      <c r="E578" s="94"/>
      <c r="F578" s="94"/>
      <c r="G578" s="94"/>
      <c r="H578" s="59"/>
      <c r="I578" s="94"/>
      <c r="J578" s="59"/>
      <c r="K578" s="94"/>
      <c r="L578" s="94"/>
      <c r="M578" s="94"/>
      <c r="N578" s="59"/>
      <c r="O578" s="88"/>
      <c r="P578" s="95"/>
      <c r="Q578" s="88"/>
      <c r="R578" s="88"/>
      <c r="S578" s="88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</row>
    <row r="579">
      <c r="A579" s="59"/>
      <c r="B579" s="59"/>
      <c r="C579" s="70"/>
      <c r="D579" s="59"/>
      <c r="E579" s="94"/>
      <c r="F579" s="94"/>
      <c r="G579" s="94"/>
      <c r="H579" s="59"/>
      <c r="I579" s="94"/>
      <c r="J579" s="59"/>
      <c r="K579" s="94"/>
      <c r="L579" s="94"/>
      <c r="M579" s="94"/>
      <c r="N579" s="59"/>
      <c r="O579" s="88"/>
      <c r="P579" s="95"/>
      <c r="Q579" s="88"/>
      <c r="R579" s="88"/>
      <c r="S579" s="88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</row>
    <row r="580">
      <c r="A580" s="59"/>
      <c r="B580" s="59"/>
      <c r="C580" s="70"/>
      <c r="D580" s="59"/>
      <c r="E580" s="94"/>
      <c r="F580" s="94"/>
      <c r="G580" s="94"/>
      <c r="H580" s="59"/>
      <c r="I580" s="94"/>
      <c r="J580" s="59"/>
      <c r="K580" s="94"/>
      <c r="L580" s="94"/>
      <c r="M580" s="94"/>
      <c r="N580" s="59"/>
      <c r="O580" s="88"/>
      <c r="P580" s="95"/>
      <c r="Q580" s="88"/>
      <c r="R580" s="88"/>
      <c r="S580" s="88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</row>
    <row r="581">
      <c r="A581" s="59"/>
      <c r="B581" s="59"/>
      <c r="C581" s="70"/>
      <c r="D581" s="59"/>
      <c r="E581" s="94"/>
      <c r="F581" s="94"/>
      <c r="G581" s="94"/>
      <c r="H581" s="59"/>
      <c r="I581" s="94"/>
      <c r="J581" s="59"/>
      <c r="K581" s="94"/>
      <c r="L581" s="94"/>
      <c r="M581" s="94"/>
      <c r="N581" s="59"/>
      <c r="O581" s="88"/>
      <c r="P581" s="95"/>
      <c r="Q581" s="88"/>
      <c r="R581" s="88"/>
      <c r="S581" s="88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</row>
    <row r="582">
      <c r="A582" s="59"/>
      <c r="B582" s="59"/>
      <c r="C582" s="70"/>
      <c r="D582" s="59"/>
      <c r="E582" s="94"/>
      <c r="F582" s="94"/>
      <c r="G582" s="94"/>
      <c r="H582" s="59"/>
      <c r="I582" s="94"/>
      <c r="J582" s="59"/>
      <c r="K582" s="94"/>
      <c r="L582" s="94"/>
      <c r="M582" s="94"/>
      <c r="N582" s="59"/>
      <c r="O582" s="88"/>
      <c r="P582" s="95"/>
      <c r="Q582" s="88"/>
      <c r="R582" s="88"/>
      <c r="S582" s="88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</row>
    <row r="583">
      <c r="A583" s="59"/>
      <c r="B583" s="59"/>
      <c r="C583" s="70"/>
      <c r="D583" s="59"/>
      <c r="E583" s="94"/>
      <c r="F583" s="94"/>
      <c r="G583" s="94"/>
      <c r="H583" s="59"/>
      <c r="I583" s="94"/>
      <c r="J583" s="59"/>
      <c r="K583" s="94"/>
      <c r="L583" s="94"/>
      <c r="M583" s="94"/>
      <c r="N583" s="59"/>
      <c r="O583" s="88"/>
      <c r="P583" s="95"/>
      <c r="Q583" s="88"/>
      <c r="R583" s="88"/>
      <c r="S583" s="88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</row>
    <row r="584">
      <c r="A584" s="59"/>
      <c r="B584" s="59"/>
      <c r="C584" s="70"/>
      <c r="D584" s="59"/>
      <c r="E584" s="94"/>
      <c r="F584" s="94"/>
      <c r="G584" s="94"/>
      <c r="H584" s="59"/>
      <c r="I584" s="94"/>
      <c r="J584" s="59"/>
      <c r="K584" s="94"/>
      <c r="L584" s="94"/>
      <c r="M584" s="94"/>
      <c r="N584" s="59"/>
      <c r="O584" s="88"/>
      <c r="P584" s="95"/>
      <c r="Q584" s="88"/>
      <c r="R584" s="88"/>
      <c r="S584" s="88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</row>
    <row r="585">
      <c r="A585" s="59"/>
      <c r="B585" s="59"/>
      <c r="C585" s="70"/>
      <c r="D585" s="59"/>
      <c r="E585" s="94"/>
      <c r="F585" s="94"/>
      <c r="G585" s="94"/>
      <c r="H585" s="59"/>
      <c r="I585" s="94"/>
      <c r="J585" s="59"/>
      <c r="K585" s="94"/>
      <c r="L585" s="94"/>
      <c r="M585" s="94"/>
      <c r="N585" s="59"/>
      <c r="O585" s="88"/>
      <c r="P585" s="95"/>
      <c r="Q585" s="88"/>
      <c r="R585" s="88"/>
      <c r="S585" s="88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</row>
    <row r="586">
      <c r="A586" s="59"/>
      <c r="B586" s="59"/>
      <c r="C586" s="70"/>
      <c r="D586" s="59"/>
      <c r="E586" s="94"/>
      <c r="F586" s="94"/>
      <c r="G586" s="94"/>
      <c r="H586" s="59"/>
      <c r="I586" s="94"/>
      <c r="J586" s="59"/>
      <c r="K586" s="94"/>
      <c r="L586" s="94"/>
      <c r="M586" s="94"/>
      <c r="N586" s="59"/>
      <c r="O586" s="88"/>
      <c r="P586" s="95"/>
      <c r="Q586" s="88"/>
      <c r="R586" s="88"/>
      <c r="S586" s="88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</row>
    <row r="587">
      <c r="A587" s="59"/>
      <c r="B587" s="59"/>
      <c r="C587" s="70"/>
      <c r="D587" s="59"/>
      <c r="E587" s="94"/>
      <c r="F587" s="94"/>
      <c r="G587" s="94"/>
      <c r="H587" s="59"/>
      <c r="I587" s="94"/>
      <c r="J587" s="59"/>
      <c r="K587" s="94"/>
      <c r="L587" s="94"/>
      <c r="M587" s="94"/>
      <c r="N587" s="59"/>
      <c r="O587" s="88"/>
      <c r="P587" s="95"/>
      <c r="Q587" s="88"/>
      <c r="R587" s="88"/>
      <c r="S587" s="88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</row>
    <row r="588">
      <c r="A588" s="59"/>
      <c r="B588" s="59"/>
      <c r="C588" s="70"/>
      <c r="D588" s="59"/>
      <c r="E588" s="94"/>
      <c r="F588" s="94"/>
      <c r="G588" s="94"/>
      <c r="H588" s="59"/>
      <c r="I588" s="94"/>
      <c r="J588" s="59"/>
      <c r="K588" s="94"/>
      <c r="L588" s="94"/>
      <c r="M588" s="94"/>
      <c r="N588" s="59"/>
      <c r="O588" s="88"/>
      <c r="P588" s="95"/>
      <c r="Q588" s="88"/>
      <c r="R588" s="88"/>
      <c r="S588" s="88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</row>
    <row r="589">
      <c r="A589" s="59"/>
      <c r="B589" s="59"/>
      <c r="C589" s="70"/>
      <c r="D589" s="59"/>
      <c r="E589" s="94"/>
      <c r="F589" s="94"/>
      <c r="G589" s="94"/>
      <c r="H589" s="59"/>
      <c r="I589" s="94"/>
      <c r="J589" s="59"/>
      <c r="K589" s="94"/>
      <c r="L589" s="94"/>
      <c r="M589" s="94"/>
      <c r="N589" s="59"/>
      <c r="O589" s="88"/>
      <c r="P589" s="95"/>
      <c r="Q589" s="88"/>
      <c r="R589" s="88"/>
      <c r="S589" s="88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</row>
    <row r="590">
      <c r="A590" s="59"/>
      <c r="B590" s="59"/>
      <c r="C590" s="70"/>
      <c r="D590" s="59"/>
      <c r="E590" s="94"/>
      <c r="F590" s="94"/>
      <c r="G590" s="94"/>
      <c r="H590" s="59"/>
      <c r="I590" s="94"/>
      <c r="J590" s="59"/>
      <c r="K590" s="94"/>
      <c r="L590" s="94"/>
      <c r="M590" s="94"/>
      <c r="N590" s="59"/>
      <c r="O590" s="88"/>
      <c r="P590" s="95"/>
      <c r="Q590" s="88"/>
      <c r="R590" s="88"/>
      <c r="S590" s="88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</row>
    <row r="591">
      <c r="A591" s="59"/>
      <c r="B591" s="59"/>
      <c r="C591" s="70"/>
      <c r="D591" s="59"/>
      <c r="E591" s="94"/>
      <c r="F591" s="94"/>
      <c r="G591" s="94"/>
      <c r="H591" s="59"/>
      <c r="I591" s="94"/>
      <c r="J591" s="59"/>
      <c r="K591" s="94"/>
      <c r="L591" s="94"/>
      <c r="M591" s="94"/>
      <c r="N591" s="59"/>
      <c r="O591" s="88"/>
      <c r="P591" s="95"/>
      <c r="Q591" s="88"/>
      <c r="R591" s="88"/>
      <c r="S591" s="88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</row>
    <row r="592">
      <c r="A592" s="59"/>
      <c r="B592" s="59"/>
      <c r="C592" s="70"/>
      <c r="D592" s="59"/>
      <c r="E592" s="94"/>
      <c r="F592" s="94"/>
      <c r="G592" s="94"/>
      <c r="H592" s="59"/>
      <c r="I592" s="94"/>
      <c r="J592" s="59"/>
      <c r="K592" s="94"/>
      <c r="L592" s="94"/>
      <c r="M592" s="94"/>
      <c r="N592" s="59"/>
      <c r="O592" s="88"/>
      <c r="P592" s="95"/>
      <c r="Q592" s="88"/>
      <c r="R592" s="88"/>
      <c r="S592" s="88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</row>
    <row r="593">
      <c r="A593" s="59"/>
      <c r="B593" s="59"/>
      <c r="C593" s="70"/>
      <c r="D593" s="59"/>
      <c r="E593" s="94"/>
      <c r="F593" s="94"/>
      <c r="G593" s="94"/>
      <c r="H593" s="59"/>
      <c r="I593" s="94"/>
      <c r="J593" s="59"/>
      <c r="K593" s="94"/>
      <c r="L593" s="94"/>
      <c r="M593" s="94"/>
      <c r="N593" s="59"/>
      <c r="O593" s="88"/>
      <c r="P593" s="95"/>
      <c r="Q593" s="88"/>
      <c r="R593" s="88"/>
      <c r="S593" s="88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</row>
    <row r="594">
      <c r="A594" s="59"/>
      <c r="B594" s="59"/>
      <c r="C594" s="70"/>
      <c r="D594" s="59"/>
      <c r="E594" s="94"/>
      <c r="F594" s="94"/>
      <c r="G594" s="94"/>
      <c r="H594" s="59"/>
      <c r="I594" s="94"/>
      <c r="J594" s="59"/>
      <c r="K594" s="94"/>
      <c r="L594" s="94"/>
      <c r="M594" s="94"/>
      <c r="N594" s="59"/>
      <c r="O594" s="88"/>
      <c r="P594" s="95"/>
      <c r="Q594" s="88"/>
      <c r="R594" s="88"/>
      <c r="S594" s="88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</row>
    <row r="595">
      <c r="A595" s="59"/>
      <c r="B595" s="59"/>
      <c r="C595" s="70"/>
      <c r="D595" s="59"/>
      <c r="E595" s="94"/>
      <c r="F595" s="94"/>
      <c r="G595" s="94"/>
      <c r="H595" s="59"/>
      <c r="I595" s="94"/>
      <c r="J595" s="59"/>
      <c r="K595" s="94"/>
      <c r="L595" s="94"/>
      <c r="M595" s="94"/>
      <c r="N595" s="59"/>
      <c r="O595" s="88"/>
      <c r="P595" s="95"/>
      <c r="Q595" s="88"/>
      <c r="R595" s="88"/>
      <c r="S595" s="88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</row>
    <row r="596">
      <c r="A596" s="59"/>
      <c r="B596" s="59"/>
      <c r="C596" s="70"/>
      <c r="D596" s="59"/>
      <c r="E596" s="94"/>
      <c r="F596" s="94"/>
      <c r="G596" s="94"/>
      <c r="H596" s="59"/>
      <c r="I596" s="94"/>
      <c r="J596" s="59"/>
      <c r="K596" s="94"/>
      <c r="L596" s="94"/>
      <c r="M596" s="94"/>
      <c r="N596" s="59"/>
      <c r="O596" s="88"/>
      <c r="P596" s="95"/>
      <c r="Q596" s="88"/>
      <c r="R596" s="88"/>
      <c r="S596" s="88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</row>
    <row r="597">
      <c r="A597" s="59"/>
      <c r="B597" s="59"/>
      <c r="C597" s="70"/>
      <c r="D597" s="59"/>
      <c r="E597" s="94"/>
      <c r="F597" s="94"/>
      <c r="G597" s="94"/>
      <c r="H597" s="59"/>
      <c r="I597" s="94"/>
      <c r="J597" s="59"/>
      <c r="K597" s="94"/>
      <c r="L597" s="94"/>
      <c r="M597" s="94"/>
      <c r="N597" s="59"/>
      <c r="O597" s="88"/>
      <c r="P597" s="95"/>
      <c r="Q597" s="88"/>
      <c r="R597" s="88"/>
      <c r="S597" s="88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</row>
    <row r="598">
      <c r="A598" s="59"/>
      <c r="B598" s="59"/>
      <c r="C598" s="70"/>
      <c r="D598" s="59"/>
      <c r="E598" s="94"/>
      <c r="F598" s="94"/>
      <c r="G598" s="94"/>
      <c r="H598" s="59"/>
      <c r="I598" s="94"/>
      <c r="J598" s="59"/>
      <c r="K598" s="94"/>
      <c r="L598" s="94"/>
      <c r="M598" s="94"/>
      <c r="N598" s="59"/>
      <c r="O598" s="88"/>
      <c r="P598" s="95"/>
      <c r="Q598" s="88"/>
      <c r="R598" s="88"/>
      <c r="S598" s="88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</row>
    <row r="599">
      <c r="A599" s="59"/>
      <c r="B599" s="59"/>
      <c r="C599" s="70"/>
      <c r="D599" s="59"/>
      <c r="E599" s="94"/>
      <c r="F599" s="94"/>
      <c r="G599" s="94"/>
      <c r="H599" s="59"/>
      <c r="I599" s="94"/>
      <c r="J599" s="59"/>
      <c r="K599" s="94"/>
      <c r="L599" s="94"/>
      <c r="M599" s="94"/>
      <c r="N599" s="59"/>
      <c r="O599" s="88"/>
      <c r="P599" s="95"/>
      <c r="Q599" s="88"/>
      <c r="R599" s="88"/>
      <c r="S599" s="88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</row>
    <row r="600">
      <c r="A600" s="59"/>
      <c r="B600" s="59"/>
      <c r="C600" s="70"/>
      <c r="D600" s="59"/>
      <c r="E600" s="94"/>
      <c r="F600" s="94"/>
      <c r="G600" s="94"/>
      <c r="H600" s="59"/>
      <c r="I600" s="94"/>
      <c r="J600" s="59"/>
      <c r="K600" s="94"/>
      <c r="L600" s="94"/>
      <c r="M600" s="94"/>
      <c r="N600" s="59"/>
      <c r="O600" s="88"/>
      <c r="P600" s="95"/>
      <c r="Q600" s="88"/>
      <c r="R600" s="88"/>
      <c r="S600" s="88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</row>
    <row r="601">
      <c r="A601" s="59"/>
      <c r="B601" s="59"/>
      <c r="C601" s="70"/>
      <c r="D601" s="59"/>
      <c r="E601" s="94"/>
      <c r="F601" s="94"/>
      <c r="G601" s="94"/>
      <c r="H601" s="59"/>
      <c r="I601" s="94"/>
      <c r="J601" s="59"/>
      <c r="K601" s="94"/>
      <c r="L601" s="94"/>
      <c r="M601" s="94"/>
      <c r="N601" s="59"/>
      <c r="O601" s="88"/>
      <c r="P601" s="95"/>
      <c r="Q601" s="88"/>
      <c r="R601" s="88"/>
      <c r="S601" s="88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</row>
    <row r="602">
      <c r="A602" s="59"/>
      <c r="B602" s="59"/>
      <c r="C602" s="70"/>
      <c r="D602" s="59"/>
      <c r="E602" s="94"/>
      <c r="F602" s="94"/>
      <c r="G602" s="94"/>
      <c r="H602" s="59"/>
      <c r="I602" s="94"/>
      <c r="J602" s="59"/>
      <c r="K602" s="94"/>
      <c r="L602" s="94"/>
      <c r="M602" s="94"/>
      <c r="N602" s="59"/>
      <c r="O602" s="88"/>
      <c r="P602" s="95"/>
      <c r="Q602" s="88"/>
      <c r="R602" s="88"/>
      <c r="S602" s="88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</row>
    <row r="603">
      <c r="A603" s="59"/>
      <c r="B603" s="59"/>
      <c r="C603" s="70"/>
      <c r="D603" s="59"/>
      <c r="E603" s="94"/>
      <c r="F603" s="94"/>
      <c r="G603" s="94"/>
      <c r="H603" s="59"/>
      <c r="I603" s="94"/>
      <c r="J603" s="59"/>
      <c r="K603" s="94"/>
      <c r="L603" s="94"/>
      <c r="M603" s="94"/>
      <c r="N603" s="59"/>
      <c r="O603" s="88"/>
      <c r="P603" s="95"/>
      <c r="Q603" s="88"/>
      <c r="R603" s="88"/>
      <c r="S603" s="88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</row>
    <row r="604">
      <c r="A604" s="59"/>
      <c r="B604" s="59"/>
      <c r="C604" s="70"/>
      <c r="D604" s="59"/>
      <c r="E604" s="94"/>
      <c r="F604" s="94"/>
      <c r="G604" s="94"/>
      <c r="H604" s="59"/>
      <c r="I604" s="94"/>
      <c r="J604" s="59"/>
      <c r="K604" s="94"/>
      <c r="L604" s="94"/>
      <c r="M604" s="94"/>
      <c r="N604" s="59"/>
      <c r="O604" s="88"/>
      <c r="P604" s="95"/>
      <c r="Q604" s="88"/>
      <c r="R604" s="88"/>
      <c r="S604" s="88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</row>
    <row r="605">
      <c r="A605" s="59"/>
      <c r="B605" s="59"/>
      <c r="C605" s="70"/>
      <c r="D605" s="59"/>
      <c r="E605" s="94"/>
      <c r="F605" s="94"/>
      <c r="G605" s="94"/>
      <c r="H605" s="59"/>
      <c r="I605" s="94"/>
      <c r="J605" s="59"/>
      <c r="K605" s="94"/>
      <c r="L605" s="94"/>
      <c r="M605" s="94"/>
      <c r="N605" s="59"/>
      <c r="O605" s="88"/>
      <c r="P605" s="95"/>
      <c r="Q605" s="88"/>
      <c r="R605" s="88"/>
      <c r="S605" s="88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</row>
    <row r="606">
      <c r="A606" s="59"/>
      <c r="B606" s="59"/>
      <c r="C606" s="70"/>
      <c r="D606" s="59"/>
      <c r="E606" s="94"/>
      <c r="F606" s="94"/>
      <c r="G606" s="94"/>
      <c r="H606" s="59"/>
      <c r="I606" s="94"/>
      <c r="J606" s="59"/>
      <c r="K606" s="94"/>
      <c r="L606" s="94"/>
      <c r="M606" s="94"/>
      <c r="N606" s="59"/>
      <c r="O606" s="88"/>
      <c r="P606" s="95"/>
      <c r="Q606" s="88"/>
      <c r="R606" s="88"/>
      <c r="S606" s="88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</row>
    <row r="607">
      <c r="A607" s="59"/>
      <c r="B607" s="59"/>
      <c r="C607" s="70"/>
      <c r="D607" s="59"/>
      <c r="E607" s="94"/>
      <c r="F607" s="94"/>
      <c r="G607" s="94"/>
      <c r="H607" s="59"/>
      <c r="I607" s="94"/>
      <c r="J607" s="59"/>
      <c r="K607" s="94"/>
      <c r="L607" s="94"/>
      <c r="M607" s="94"/>
      <c r="N607" s="59"/>
      <c r="O607" s="88"/>
      <c r="P607" s="95"/>
      <c r="Q607" s="88"/>
      <c r="R607" s="88"/>
      <c r="S607" s="88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</row>
    <row r="608">
      <c r="A608" s="59"/>
      <c r="B608" s="59"/>
      <c r="C608" s="70"/>
      <c r="D608" s="59"/>
      <c r="E608" s="94"/>
      <c r="F608" s="94"/>
      <c r="G608" s="94"/>
      <c r="H608" s="59"/>
      <c r="I608" s="94"/>
      <c r="J608" s="59"/>
      <c r="K608" s="94"/>
      <c r="L608" s="94"/>
      <c r="M608" s="94"/>
      <c r="N608" s="59"/>
      <c r="O608" s="88"/>
      <c r="P608" s="95"/>
      <c r="Q608" s="88"/>
      <c r="R608" s="88"/>
      <c r="S608" s="88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</row>
    <row r="609">
      <c r="A609" s="59"/>
      <c r="B609" s="59"/>
      <c r="C609" s="70"/>
      <c r="D609" s="59"/>
      <c r="E609" s="94"/>
      <c r="F609" s="94"/>
      <c r="G609" s="94"/>
      <c r="H609" s="59"/>
      <c r="I609" s="94"/>
      <c r="J609" s="59"/>
      <c r="K609" s="94"/>
      <c r="L609" s="94"/>
      <c r="M609" s="94"/>
      <c r="N609" s="59"/>
      <c r="O609" s="88"/>
      <c r="P609" s="95"/>
      <c r="Q609" s="88"/>
      <c r="R609" s="88"/>
      <c r="S609" s="88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</row>
    <row r="610">
      <c r="A610" s="59"/>
      <c r="B610" s="59"/>
      <c r="C610" s="70"/>
      <c r="D610" s="59"/>
      <c r="E610" s="94"/>
      <c r="F610" s="94"/>
      <c r="G610" s="94"/>
      <c r="H610" s="59"/>
      <c r="I610" s="94"/>
      <c r="J610" s="59"/>
      <c r="K610" s="94"/>
      <c r="L610" s="94"/>
      <c r="M610" s="94"/>
      <c r="N610" s="59"/>
      <c r="O610" s="88"/>
      <c r="P610" s="95"/>
      <c r="Q610" s="88"/>
      <c r="R610" s="88"/>
      <c r="S610" s="88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</row>
    <row r="611">
      <c r="A611" s="59"/>
      <c r="B611" s="59"/>
      <c r="C611" s="70"/>
      <c r="D611" s="59"/>
      <c r="E611" s="94"/>
      <c r="F611" s="94"/>
      <c r="G611" s="94"/>
      <c r="H611" s="59"/>
      <c r="I611" s="94"/>
      <c r="J611" s="59"/>
      <c r="K611" s="94"/>
      <c r="L611" s="94"/>
      <c r="M611" s="94"/>
      <c r="N611" s="59"/>
      <c r="O611" s="88"/>
      <c r="P611" s="95"/>
      <c r="Q611" s="88"/>
      <c r="R611" s="88"/>
      <c r="S611" s="88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</row>
    <row r="612">
      <c r="A612" s="59"/>
      <c r="B612" s="59"/>
      <c r="C612" s="70"/>
      <c r="D612" s="59"/>
      <c r="E612" s="94"/>
      <c r="F612" s="94"/>
      <c r="G612" s="94"/>
      <c r="H612" s="59"/>
      <c r="I612" s="94"/>
      <c r="J612" s="59"/>
      <c r="K612" s="94"/>
      <c r="L612" s="94"/>
      <c r="M612" s="94"/>
      <c r="N612" s="59"/>
      <c r="O612" s="88"/>
      <c r="P612" s="95"/>
      <c r="Q612" s="88"/>
      <c r="R612" s="88"/>
      <c r="S612" s="88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</row>
    <row r="613">
      <c r="A613" s="59"/>
      <c r="B613" s="59"/>
      <c r="C613" s="70"/>
      <c r="D613" s="59"/>
      <c r="E613" s="94"/>
      <c r="F613" s="94"/>
      <c r="G613" s="94"/>
      <c r="H613" s="59"/>
      <c r="I613" s="94"/>
      <c r="J613" s="59"/>
      <c r="K613" s="94"/>
      <c r="L613" s="94"/>
      <c r="M613" s="94"/>
      <c r="N613" s="59"/>
      <c r="O613" s="88"/>
      <c r="P613" s="95"/>
      <c r="Q613" s="88"/>
      <c r="R613" s="88"/>
      <c r="S613" s="88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</row>
    <row r="614">
      <c r="A614" s="59"/>
      <c r="B614" s="59"/>
      <c r="C614" s="70"/>
      <c r="D614" s="59"/>
      <c r="E614" s="94"/>
      <c r="F614" s="94"/>
      <c r="G614" s="94"/>
      <c r="H614" s="59"/>
      <c r="I614" s="94"/>
      <c r="J614" s="59"/>
      <c r="K614" s="94"/>
      <c r="L614" s="94"/>
      <c r="M614" s="94"/>
      <c r="N614" s="59"/>
      <c r="O614" s="88"/>
      <c r="P614" s="95"/>
      <c r="Q614" s="88"/>
      <c r="R614" s="88"/>
      <c r="S614" s="88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</row>
    <row r="615">
      <c r="A615" s="59"/>
      <c r="B615" s="59"/>
      <c r="C615" s="70"/>
      <c r="D615" s="59"/>
      <c r="E615" s="94"/>
      <c r="F615" s="94"/>
      <c r="G615" s="94"/>
      <c r="H615" s="59"/>
      <c r="I615" s="94"/>
      <c r="J615" s="59"/>
      <c r="K615" s="94"/>
      <c r="L615" s="94"/>
      <c r="M615" s="94"/>
      <c r="N615" s="59"/>
      <c r="O615" s="88"/>
      <c r="P615" s="95"/>
      <c r="Q615" s="88"/>
      <c r="R615" s="88"/>
      <c r="S615" s="88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</row>
    <row r="616">
      <c r="A616" s="59"/>
      <c r="B616" s="59"/>
      <c r="C616" s="70"/>
      <c r="D616" s="59"/>
      <c r="E616" s="94"/>
      <c r="F616" s="94"/>
      <c r="G616" s="94"/>
      <c r="H616" s="59"/>
      <c r="I616" s="94"/>
      <c r="J616" s="59"/>
      <c r="K616" s="94"/>
      <c r="L616" s="94"/>
      <c r="M616" s="94"/>
      <c r="N616" s="59"/>
      <c r="O616" s="88"/>
      <c r="P616" s="95"/>
      <c r="Q616" s="88"/>
      <c r="R616" s="88"/>
      <c r="S616" s="88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</row>
    <row r="617">
      <c r="A617" s="59"/>
      <c r="B617" s="59"/>
      <c r="C617" s="70"/>
      <c r="D617" s="59"/>
      <c r="E617" s="94"/>
      <c r="F617" s="94"/>
      <c r="G617" s="94"/>
      <c r="H617" s="59"/>
      <c r="I617" s="94"/>
      <c r="J617" s="59"/>
      <c r="K617" s="94"/>
      <c r="L617" s="94"/>
      <c r="M617" s="94"/>
      <c r="N617" s="59"/>
      <c r="O617" s="88"/>
      <c r="P617" s="95"/>
      <c r="Q617" s="88"/>
      <c r="R617" s="88"/>
      <c r="S617" s="88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</row>
    <row r="618">
      <c r="A618" s="59"/>
      <c r="B618" s="59"/>
      <c r="C618" s="70"/>
      <c r="D618" s="59"/>
      <c r="E618" s="94"/>
      <c r="F618" s="94"/>
      <c r="G618" s="94"/>
      <c r="H618" s="59"/>
      <c r="I618" s="94"/>
      <c r="J618" s="59"/>
      <c r="K618" s="94"/>
      <c r="L618" s="94"/>
      <c r="M618" s="94"/>
      <c r="N618" s="59"/>
      <c r="O618" s="88"/>
      <c r="P618" s="95"/>
      <c r="Q618" s="88"/>
      <c r="R618" s="88"/>
      <c r="S618" s="88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</row>
    <row r="619">
      <c r="A619" s="59"/>
      <c r="B619" s="59"/>
      <c r="C619" s="70"/>
      <c r="D619" s="59"/>
      <c r="E619" s="94"/>
      <c r="F619" s="94"/>
      <c r="G619" s="94"/>
      <c r="H619" s="59"/>
      <c r="I619" s="94"/>
      <c r="J619" s="59"/>
      <c r="K619" s="94"/>
      <c r="L619" s="94"/>
      <c r="M619" s="94"/>
      <c r="N619" s="59"/>
      <c r="O619" s="88"/>
      <c r="P619" s="95"/>
      <c r="Q619" s="88"/>
      <c r="R619" s="88"/>
      <c r="S619" s="88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</row>
    <row r="620">
      <c r="A620" s="59"/>
      <c r="B620" s="59"/>
      <c r="C620" s="70"/>
      <c r="D620" s="59"/>
      <c r="E620" s="94"/>
      <c r="F620" s="94"/>
      <c r="G620" s="94"/>
      <c r="H620" s="59"/>
      <c r="I620" s="94"/>
      <c r="J620" s="59"/>
      <c r="K620" s="94"/>
      <c r="L620" s="94"/>
      <c r="M620" s="94"/>
      <c r="N620" s="59"/>
      <c r="O620" s="88"/>
      <c r="P620" s="95"/>
      <c r="Q620" s="88"/>
      <c r="R620" s="88"/>
      <c r="S620" s="88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</row>
    <row r="621">
      <c r="A621" s="59"/>
      <c r="B621" s="59"/>
      <c r="C621" s="70"/>
      <c r="D621" s="59"/>
      <c r="E621" s="94"/>
      <c r="F621" s="94"/>
      <c r="G621" s="94"/>
      <c r="H621" s="59"/>
      <c r="I621" s="94"/>
      <c r="J621" s="59"/>
      <c r="K621" s="94"/>
      <c r="L621" s="94"/>
      <c r="M621" s="94"/>
      <c r="N621" s="59"/>
      <c r="O621" s="88"/>
      <c r="P621" s="95"/>
      <c r="Q621" s="88"/>
      <c r="R621" s="88"/>
      <c r="S621" s="88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</row>
    <row r="622">
      <c r="A622" s="59"/>
      <c r="B622" s="59"/>
      <c r="C622" s="70"/>
      <c r="D622" s="59"/>
      <c r="E622" s="94"/>
      <c r="F622" s="94"/>
      <c r="G622" s="94"/>
      <c r="H622" s="59"/>
      <c r="I622" s="94"/>
      <c r="J622" s="59"/>
      <c r="K622" s="94"/>
      <c r="L622" s="94"/>
      <c r="M622" s="94"/>
      <c r="N622" s="59"/>
      <c r="O622" s="88"/>
      <c r="P622" s="95"/>
      <c r="Q622" s="88"/>
      <c r="R622" s="88"/>
      <c r="S622" s="88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</row>
    <row r="623">
      <c r="A623" s="59"/>
      <c r="B623" s="59"/>
      <c r="C623" s="70"/>
      <c r="D623" s="59"/>
      <c r="E623" s="94"/>
      <c r="F623" s="94"/>
      <c r="G623" s="94"/>
      <c r="H623" s="59"/>
      <c r="I623" s="94"/>
      <c r="J623" s="59"/>
      <c r="K623" s="94"/>
      <c r="L623" s="94"/>
      <c r="M623" s="94"/>
      <c r="N623" s="59"/>
      <c r="O623" s="88"/>
      <c r="P623" s="95"/>
      <c r="Q623" s="88"/>
      <c r="R623" s="88"/>
      <c r="S623" s="88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</row>
    <row r="624">
      <c r="A624" s="59"/>
      <c r="B624" s="59"/>
      <c r="C624" s="70"/>
      <c r="D624" s="59"/>
      <c r="E624" s="94"/>
      <c r="F624" s="94"/>
      <c r="G624" s="94"/>
      <c r="H624" s="59"/>
      <c r="I624" s="94"/>
      <c r="J624" s="59"/>
      <c r="K624" s="94"/>
      <c r="L624" s="94"/>
      <c r="M624" s="94"/>
      <c r="N624" s="59"/>
      <c r="O624" s="88"/>
      <c r="P624" s="95"/>
      <c r="Q624" s="88"/>
      <c r="R624" s="88"/>
      <c r="S624" s="88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</row>
    <row r="625">
      <c r="A625" s="59"/>
      <c r="B625" s="59"/>
      <c r="C625" s="70"/>
      <c r="D625" s="59"/>
      <c r="E625" s="94"/>
      <c r="F625" s="94"/>
      <c r="G625" s="94"/>
      <c r="H625" s="59"/>
      <c r="I625" s="94"/>
      <c r="J625" s="59"/>
      <c r="K625" s="94"/>
      <c r="L625" s="94"/>
      <c r="M625" s="94"/>
      <c r="N625" s="59"/>
      <c r="O625" s="88"/>
      <c r="P625" s="95"/>
      <c r="Q625" s="88"/>
      <c r="R625" s="88"/>
      <c r="S625" s="88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</row>
    <row r="626">
      <c r="A626" s="59"/>
      <c r="B626" s="59"/>
      <c r="C626" s="70"/>
      <c r="D626" s="59"/>
      <c r="E626" s="94"/>
      <c r="F626" s="94"/>
      <c r="G626" s="94"/>
      <c r="H626" s="59"/>
      <c r="I626" s="94"/>
      <c r="J626" s="59"/>
      <c r="K626" s="94"/>
      <c r="L626" s="94"/>
      <c r="M626" s="94"/>
      <c r="N626" s="59"/>
      <c r="O626" s="88"/>
      <c r="P626" s="95"/>
      <c r="Q626" s="88"/>
      <c r="R626" s="88"/>
      <c r="S626" s="88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</row>
    <row r="627">
      <c r="A627" s="59"/>
      <c r="B627" s="59"/>
      <c r="C627" s="70"/>
      <c r="D627" s="59"/>
      <c r="E627" s="94"/>
      <c r="F627" s="94"/>
      <c r="G627" s="94"/>
      <c r="H627" s="59"/>
      <c r="I627" s="94"/>
      <c r="J627" s="59"/>
      <c r="K627" s="94"/>
      <c r="L627" s="94"/>
      <c r="M627" s="94"/>
      <c r="N627" s="59"/>
      <c r="O627" s="88"/>
      <c r="P627" s="95"/>
      <c r="Q627" s="88"/>
      <c r="R627" s="88"/>
      <c r="S627" s="88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</row>
    <row r="628">
      <c r="A628" s="59"/>
      <c r="B628" s="59"/>
      <c r="C628" s="70"/>
      <c r="D628" s="59"/>
      <c r="E628" s="94"/>
      <c r="F628" s="94"/>
      <c r="G628" s="94"/>
      <c r="H628" s="59"/>
      <c r="I628" s="94"/>
      <c r="J628" s="59"/>
      <c r="K628" s="94"/>
      <c r="L628" s="94"/>
      <c r="M628" s="94"/>
      <c r="N628" s="59"/>
      <c r="O628" s="88"/>
      <c r="P628" s="95"/>
      <c r="Q628" s="88"/>
      <c r="R628" s="88"/>
      <c r="S628" s="88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</row>
    <row r="629">
      <c r="A629" s="59"/>
      <c r="B629" s="59"/>
      <c r="C629" s="70"/>
      <c r="D629" s="59"/>
      <c r="E629" s="94"/>
      <c r="F629" s="94"/>
      <c r="G629" s="94"/>
      <c r="H629" s="59"/>
      <c r="I629" s="94"/>
      <c r="J629" s="59"/>
      <c r="K629" s="94"/>
      <c r="L629" s="94"/>
      <c r="M629" s="94"/>
      <c r="N629" s="59"/>
      <c r="O629" s="88"/>
      <c r="P629" s="95"/>
      <c r="Q629" s="88"/>
      <c r="R629" s="88"/>
      <c r="S629" s="88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</row>
    <row r="630">
      <c r="A630" s="59"/>
      <c r="B630" s="59"/>
      <c r="C630" s="70"/>
      <c r="D630" s="59"/>
      <c r="E630" s="94"/>
      <c r="F630" s="94"/>
      <c r="G630" s="94"/>
      <c r="H630" s="59"/>
      <c r="I630" s="94"/>
      <c r="J630" s="59"/>
      <c r="K630" s="94"/>
      <c r="L630" s="94"/>
      <c r="M630" s="94"/>
      <c r="N630" s="59"/>
      <c r="O630" s="88"/>
      <c r="P630" s="95"/>
      <c r="Q630" s="88"/>
      <c r="R630" s="88"/>
      <c r="S630" s="88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</row>
    <row r="631">
      <c r="A631" s="59"/>
      <c r="B631" s="59"/>
      <c r="C631" s="70"/>
      <c r="D631" s="59"/>
      <c r="E631" s="94"/>
      <c r="F631" s="94"/>
      <c r="G631" s="94"/>
      <c r="H631" s="59"/>
      <c r="I631" s="94"/>
      <c r="J631" s="59"/>
      <c r="K631" s="94"/>
      <c r="L631" s="94"/>
      <c r="M631" s="94"/>
      <c r="N631" s="59"/>
      <c r="O631" s="88"/>
      <c r="P631" s="95"/>
      <c r="Q631" s="88"/>
      <c r="R631" s="88"/>
      <c r="S631" s="88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</row>
    <row r="632">
      <c r="A632" s="59"/>
      <c r="B632" s="59"/>
      <c r="C632" s="70"/>
      <c r="D632" s="59"/>
      <c r="E632" s="94"/>
      <c r="F632" s="94"/>
      <c r="G632" s="94"/>
      <c r="H632" s="59"/>
      <c r="I632" s="94"/>
      <c r="J632" s="59"/>
      <c r="K632" s="94"/>
      <c r="L632" s="94"/>
      <c r="M632" s="94"/>
      <c r="N632" s="59"/>
      <c r="O632" s="88"/>
      <c r="P632" s="95"/>
      <c r="Q632" s="88"/>
      <c r="R632" s="88"/>
      <c r="S632" s="88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</row>
    <row r="633">
      <c r="A633" s="59"/>
      <c r="B633" s="59"/>
      <c r="C633" s="70"/>
      <c r="D633" s="59"/>
      <c r="E633" s="94"/>
      <c r="F633" s="94"/>
      <c r="G633" s="94"/>
      <c r="H633" s="59"/>
      <c r="I633" s="94"/>
      <c r="J633" s="59"/>
      <c r="K633" s="94"/>
      <c r="L633" s="94"/>
      <c r="M633" s="94"/>
      <c r="N633" s="59"/>
      <c r="O633" s="88"/>
      <c r="P633" s="95"/>
      <c r="Q633" s="88"/>
      <c r="R633" s="88"/>
      <c r="S633" s="88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</row>
    <row r="634">
      <c r="A634" s="59"/>
      <c r="B634" s="59"/>
      <c r="C634" s="70"/>
      <c r="D634" s="59"/>
      <c r="E634" s="94"/>
      <c r="F634" s="94"/>
      <c r="G634" s="94"/>
      <c r="H634" s="59"/>
      <c r="I634" s="94"/>
      <c r="J634" s="59"/>
      <c r="K634" s="94"/>
      <c r="L634" s="94"/>
      <c r="M634" s="94"/>
      <c r="N634" s="59"/>
      <c r="O634" s="88"/>
      <c r="P634" s="95"/>
      <c r="Q634" s="88"/>
      <c r="R634" s="88"/>
      <c r="S634" s="88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</row>
    <row r="635">
      <c r="A635" s="59"/>
      <c r="B635" s="59"/>
      <c r="C635" s="70"/>
      <c r="D635" s="59"/>
      <c r="E635" s="94"/>
      <c r="F635" s="94"/>
      <c r="G635" s="94"/>
      <c r="H635" s="59"/>
      <c r="I635" s="94"/>
      <c r="J635" s="59"/>
      <c r="K635" s="94"/>
      <c r="L635" s="94"/>
      <c r="M635" s="94"/>
      <c r="N635" s="59"/>
      <c r="O635" s="88"/>
      <c r="P635" s="95"/>
      <c r="Q635" s="88"/>
      <c r="R635" s="88"/>
      <c r="S635" s="88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</row>
    <row r="636">
      <c r="A636" s="59"/>
      <c r="B636" s="59"/>
      <c r="C636" s="70"/>
      <c r="D636" s="59"/>
      <c r="E636" s="94"/>
      <c r="F636" s="94"/>
      <c r="G636" s="94"/>
      <c r="H636" s="59"/>
      <c r="I636" s="94"/>
      <c r="J636" s="59"/>
      <c r="K636" s="94"/>
      <c r="L636" s="94"/>
      <c r="M636" s="94"/>
      <c r="N636" s="59"/>
      <c r="O636" s="88"/>
      <c r="P636" s="95"/>
      <c r="Q636" s="88"/>
      <c r="R636" s="88"/>
      <c r="S636" s="88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</row>
    <row r="637">
      <c r="A637" s="59"/>
      <c r="B637" s="59"/>
      <c r="C637" s="70"/>
      <c r="D637" s="59"/>
      <c r="E637" s="94"/>
      <c r="F637" s="94"/>
      <c r="G637" s="94"/>
      <c r="H637" s="59"/>
      <c r="I637" s="94"/>
      <c r="J637" s="59"/>
      <c r="K637" s="94"/>
      <c r="L637" s="94"/>
      <c r="M637" s="94"/>
      <c r="N637" s="59"/>
      <c r="O637" s="88"/>
      <c r="P637" s="95"/>
      <c r="Q637" s="88"/>
      <c r="R637" s="88"/>
      <c r="S637" s="88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</row>
    <row r="638">
      <c r="A638" s="59"/>
      <c r="B638" s="59"/>
      <c r="C638" s="70"/>
      <c r="D638" s="59"/>
      <c r="E638" s="94"/>
      <c r="F638" s="94"/>
      <c r="G638" s="94"/>
      <c r="H638" s="59"/>
      <c r="I638" s="94"/>
      <c r="J638" s="59"/>
      <c r="K638" s="94"/>
      <c r="L638" s="94"/>
      <c r="M638" s="94"/>
      <c r="N638" s="59"/>
      <c r="O638" s="88"/>
      <c r="P638" s="95"/>
      <c r="Q638" s="88"/>
      <c r="R638" s="88"/>
      <c r="S638" s="88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</row>
    <row r="639">
      <c r="A639" s="59"/>
      <c r="B639" s="59"/>
      <c r="C639" s="70"/>
      <c r="D639" s="59"/>
      <c r="E639" s="94"/>
      <c r="F639" s="94"/>
      <c r="G639" s="94"/>
      <c r="H639" s="59"/>
      <c r="I639" s="94"/>
      <c r="J639" s="59"/>
      <c r="K639" s="94"/>
      <c r="L639" s="94"/>
      <c r="M639" s="94"/>
      <c r="N639" s="59"/>
      <c r="O639" s="88"/>
      <c r="P639" s="95"/>
      <c r="Q639" s="88"/>
      <c r="R639" s="88"/>
      <c r="S639" s="88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</row>
    <row r="640">
      <c r="A640" s="59"/>
      <c r="B640" s="59"/>
      <c r="C640" s="70"/>
      <c r="D640" s="59"/>
      <c r="E640" s="94"/>
      <c r="F640" s="94"/>
      <c r="G640" s="94"/>
      <c r="H640" s="59"/>
      <c r="I640" s="94"/>
      <c r="J640" s="59"/>
      <c r="K640" s="94"/>
      <c r="L640" s="94"/>
      <c r="M640" s="94"/>
      <c r="N640" s="59"/>
      <c r="O640" s="88"/>
      <c r="P640" s="95"/>
      <c r="Q640" s="88"/>
      <c r="R640" s="88"/>
      <c r="S640" s="88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</row>
    <row r="641">
      <c r="A641" s="59"/>
      <c r="B641" s="59"/>
      <c r="C641" s="70"/>
      <c r="D641" s="59"/>
      <c r="E641" s="94"/>
      <c r="F641" s="94"/>
      <c r="G641" s="94"/>
      <c r="H641" s="59"/>
      <c r="I641" s="94"/>
      <c r="J641" s="59"/>
      <c r="K641" s="94"/>
      <c r="L641" s="94"/>
      <c r="M641" s="94"/>
      <c r="N641" s="59"/>
      <c r="O641" s="88"/>
      <c r="P641" s="95"/>
      <c r="Q641" s="88"/>
      <c r="R641" s="88"/>
      <c r="S641" s="88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</row>
    <row r="642">
      <c r="A642" s="59"/>
      <c r="B642" s="59"/>
      <c r="C642" s="70"/>
      <c r="D642" s="59"/>
      <c r="E642" s="94"/>
      <c r="F642" s="94"/>
      <c r="G642" s="94"/>
      <c r="H642" s="59"/>
      <c r="I642" s="94"/>
      <c r="J642" s="59"/>
      <c r="K642" s="94"/>
      <c r="L642" s="94"/>
      <c r="M642" s="94"/>
      <c r="N642" s="59"/>
      <c r="O642" s="88"/>
      <c r="P642" s="95"/>
      <c r="Q642" s="88"/>
      <c r="R642" s="88"/>
      <c r="S642" s="88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</row>
    <row r="643">
      <c r="A643" s="59"/>
      <c r="B643" s="59"/>
      <c r="C643" s="70"/>
      <c r="D643" s="59"/>
      <c r="E643" s="94"/>
      <c r="F643" s="94"/>
      <c r="G643" s="94"/>
      <c r="H643" s="59"/>
      <c r="I643" s="94"/>
      <c r="J643" s="59"/>
      <c r="K643" s="94"/>
      <c r="L643" s="94"/>
      <c r="M643" s="94"/>
      <c r="N643" s="59"/>
      <c r="O643" s="88"/>
      <c r="P643" s="95"/>
      <c r="Q643" s="88"/>
      <c r="R643" s="88"/>
      <c r="S643" s="88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</row>
    <row r="644">
      <c r="A644" s="59"/>
      <c r="B644" s="59"/>
      <c r="C644" s="70"/>
      <c r="D644" s="59"/>
      <c r="E644" s="94"/>
      <c r="F644" s="94"/>
      <c r="G644" s="94"/>
      <c r="H644" s="59"/>
      <c r="I644" s="94"/>
      <c r="J644" s="59"/>
      <c r="K644" s="94"/>
      <c r="L644" s="94"/>
      <c r="M644" s="94"/>
      <c r="N644" s="59"/>
      <c r="O644" s="88"/>
      <c r="P644" s="95"/>
      <c r="Q644" s="88"/>
      <c r="R644" s="88"/>
      <c r="S644" s="88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</row>
    <row r="645">
      <c r="A645" s="59"/>
      <c r="B645" s="59"/>
      <c r="C645" s="70"/>
      <c r="D645" s="59"/>
      <c r="E645" s="94"/>
      <c r="F645" s="94"/>
      <c r="G645" s="94"/>
      <c r="H645" s="59"/>
      <c r="I645" s="94"/>
      <c r="J645" s="59"/>
      <c r="K645" s="94"/>
      <c r="L645" s="94"/>
      <c r="M645" s="94"/>
      <c r="N645" s="59"/>
      <c r="O645" s="88"/>
      <c r="P645" s="95"/>
      <c r="Q645" s="88"/>
      <c r="R645" s="88"/>
      <c r="S645" s="88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</row>
    <row r="646">
      <c r="A646" s="59"/>
      <c r="B646" s="59"/>
      <c r="C646" s="70"/>
      <c r="D646" s="59"/>
      <c r="E646" s="94"/>
      <c r="F646" s="94"/>
      <c r="G646" s="94"/>
      <c r="H646" s="59"/>
      <c r="I646" s="94"/>
      <c r="J646" s="59"/>
      <c r="K646" s="94"/>
      <c r="L646" s="94"/>
      <c r="M646" s="94"/>
      <c r="N646" s="59"/>
      <c r="O646" s="88"/>
      <c r="P646" s="95"/>
      <c r="Q646" s="88"/>
      <c r="R646" s="88"/>
      <c r="S646" s="88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</row>
    <row r="647">
      <c r="A647" s="59"/>
      <c r="B647" s="59"/>
      <c r="C647" s="70"/>
      <c r="D647" s="59"/>
      <c r="E647" s="94"/>
      <c r="F647" s="94"/>
      <c r="G647" s="94"/>
      <c r="H647" s="59"/>
      <c r="I647" s="94"/>
      <c r="J647" s="59"/>
      <c r="K647" s="94"/>
      <c r="L647" s="94"/>
      <c r="M647" s="94"/>
      <c r="N647" s="59"/>
      <c r="O647" s="88"/>
      <c r="P647" s="95"/>
      <c r="Q647" s="88"/>
      <c r="R647" s="88"/>
      <c r="S647" s="88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</row>
    <row r="648">
      <c r="A648" s="59"/>
      <c r="B648" s="59"/>
      <c r="C648" s="70"/>
      <c r="D648" s="59"/>
      <c r="E648" s="94"/>
      <c r="F648" s="94"/>
      <c r="G648" s="94"/>
      <c r="H648" s="59"/>
      <c r="I648" s="94"/>
      <c r="J648" s="59"/>
      <c r="K648" s="94"/>
      <c r="L648" s="94"/>
      <c r="M648" s="94"/>
      <c r="N648" s="59"/>
      <c r="O648" s="88"/>
      <c r="P648" s="95"/>
      <c r="Q648" s="88"/>
      <c r="R648" s="88"/>
      <c r="S648" s="88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</row>
    <row r="649">
      <c r="A649" s="59"/>
      <c r="B649" s="59"/>
      <c r="C649" s="70"/>
      <c r="D649" s="59"/>
      <c r="E649" s="94"/>
      <c r="F649" s="94"/>
      <c r="G649" s="94"/>
      <c r="H649" s="59"/>
      <c r="I649" s="94"/>
      <c r="J649" s="59"/>
      <c r="K649" s="94"/>
      <c r="L649" s="94"/>
      <c r="M649" s="94"/>
      <c r="N649" s="59"/>
      <c r="O649" s="88"/>
      <c r="P649" s="95"/>
      <c r="Q649" s="88"/>
      <c r="R649" s="88"/>
      <c r="S649" s="88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</row>
    <row r="650">
      <c r="A650" s="59"/>
      <c r="B650" s="59"/>
      <c r="C650" s="70"/>
      <c r="D650" s="59"/>
      <c r="E650" s="94"/>
      <c r="F650" s="94"/>
      <c r="G650" s="94"/>
      <c r="H650" s="59"/>
      <c r="I650" s="94"/>
      <c r="J650" s="59"/>
      <c r="K650" s="94"/>
      <c r="L650" s="94"/>
      <c r="M650" s="94"/>
      <c r="N650" s="59"/>
      <c r="O650" s="88"/>
      <c r="P650" s="95"/>
      <c r="Q650" s="88"/>
      <c r="R650" s="88"/>
      <c r="S650" s="88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</row>
    <row r="651">
      <c r="A651" s="59"/>
      <c r="B651" s="59"/>
      <c r="C651" s="70"/>
      <c r="D651" s="59"/>
      <c r="E651" s="94"/>
      <c r="F651" s="94"/>
      <c r="G651" s="94"/>
      <c r="H651" s="59"/>
      <c r="I651" s="94"/>
      <c r="J651" s="59"/>
      <c r="K651" s="94"/>
      <c r="L651" s="94"/>
      <c r="M651" s="94"/>
      <c r="N651" s="59"/>
      <c r="O651" s="88"/>
      <c r="P651" s="95"/>
      <c r="Q651" s="88"/>
      <c r="R651" s="88"/>
      <c r="S651" s="88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</row>
    <row r="652">
      <c r="A652" s="59"/>
      <c r="B652" s="59"/>
      <c r="C652" s="70"/>
      <c r="D652" s="59"/>
      <c r="E652" s="94"/>
      <c r="F652" s="94"/>
      <c r="G652" s="94"/>
      <c r="H652" s="59"/>
      <c r="I652" s="94"/>
      <c r="J652" s="59"/>
      <c r="K652" s="94"/>
      <c r="L652" s="94"/>
      <c r="M652" s="94"/>
      <c r="N652" s="59"/>
      <c r="O652" s="88"/>
      <c r="P652" s="95"/>
      <c r="Q652" s="88"/>
      <c r="R652" s="88"/>
      <c r="S652" s="88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</row>
    <row r="653">
      <c r="A653" s="59"/>
      <c r="B653" s="59"/>
      <c r="C653" s="70"/>
      <c r="D653" s="59"/>
      <c r="E653" s="94"/>
      <c r="F653" s="94"/>
      <c r="G653" s="94"/>
      <c r="H653" s="59"/>
      <c r="I653" s="94"/>
      <c r="J653" s="59"/>
      <c r="K653" s="94"/>
      <c r="L653" s="94"/>
      <c r="M653" s="94"/>
      <c r="N653" s="59"/>
      <c r="O653" s="88"/>
      <c r="P653" s="95"/>
      <c r="Q653" s="88"/>
      <c r="R653" s="88"/>
      <c r="S653" s="88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</row>
    <row r="654">
      <c r="A654" s="59"/>
      <c r="B654" s="59"/>
      <c r="C654" s="70"/>
      <c r="D654" s="59"/>
      <c r="E654" s="94"/>
      <c r="F654" s="94"/>
      <c r="G654" s="94"/>
      <c r="H654" s="59"/>
      <c r="I654" s="94"/>
      <c r="J654" s="59"/>
      <c r="K654" s="94"/>
      <c r="L654" s="94"/>
      <c r="M654" s="94"/>
      <c r="N654" s="59"/>
      <c r="O654" s="88"/>
      <c r="P654" s="95"/>
      <c r="Q654" s="88"/>
      <c r="R654" s="88"/>
      <c r="S654" s="88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</row>
    <row r="655">
      <c r="A655" s="59"/>
      <c r="B655" s="59"/>
      <c r="C655" s="70"/>
      <c r="D655" s="59"/>
      <c r="E655" s="94"/>
      <c r="F655" s="94"/>
      <c r="G655" s="94"/>
      <c r="H655" s="59"/>
      <c r="I655" s="94"/>
      <c r="J655" s="59"/>
      <c r="K655" s="94"/>
      <c r="L655" s="94"/>
      <c r="M655" s="94"/>
      <c r="N655" s="59"/>
      <c r="O655" s="88"/>
      <c r="P655" s="95"/>
      <c r="Q655" s="88"/>
      <c r="R655" s="88"/>
      <c r="S655" s="88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</row>
    <row r="656">
      <c r="A656" s="59"/>
      <c r="B656" s="59"/>
      <c r="C656" s="70"/>
      <c r="D656" s="59"/>
      <c r="E656" s="94"/>
      <c r="F656" s="94"/>
      <c r="G656" s="94"/>
      <c r="H656" s="59"/>
      <c r="I656" s="94"/>
      <c r="J656" s="59"/>
      <c r="K656" s="94"/>
      <c r="L656" s="94"/>
      <c r="M656" s="94"/>
      <c r="N656" s="59"/>
      <c r="O656" s="88"/>
      <c r="P656" s="95"/>
      <c r="Q656" s="88"/>
      <c r="R656" s="88"/>
      <c r="S656" s="88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</row>
    <row r="657">
      <c r="A657" s="59"/>
      <c r="B657" s="59"/>
      <c r="C657" s="70"/>
      <c r="D657" s="59"/>
      <c r="E657" s="94"/>
      <c r="F657" s="94"/>
      <c r="G657" s="94"/>
      <c r="H657" s="59"/>
      <c r="I657" s="94"/>
      <c r="J657" s="59"/>
      <c r="K657" s="94"/>
      <c r="L657" s="94"/>
      <c r="M657" s="94"/>
      <c r="N657" s="59"/>
      <c r="O657" s="88"/>
      <c r="P657" s="95"/>
      <c r="Q657" s="88"/>
      <c r="R657" s="88"/>
      <c r="S657" s="88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</row>
    <row r="658">
      <c r="A658" s="59"/>
      <c r="B658" s="59"/>
      <c r="C658" s="70"/>
      <c r="D658" s="59"/>
      <c r="E658" s="94"/>
      <c r="F658" s="94"/>
      <c r="G658" s="94"/>
      <c r="H658" s="59"/>
      <c r="I658" s="94"/>
      <c r="J658" s="59"/>
      <c r="K658" s="94"/>
      <c r="L658" s="94"/>
      <c r="M658" s="94"/>
      <c r="N658" s="59"/>
      <c r="O658" s="88"/>
      <c r="P658" s="95"/>
      <c r="Q658" s="88"/>
      <c r="R658" s="88"/>
      <c r="S658" s="88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</row>
    <row r="659">
      <c r="A659" s="59"/>
      <c r="B659" s="59"/>
      <c r="C659" s="70"/>
      <c r="D659" s="59"/>
      <c r="E659" s="94"/>
      <c r="F659" s="94"/>
      <c r="G659" s="94"/>
      <c r="H659" s="59"/>
      <c r="I659" s="94"/>
      <c r="J659" s="59"/>
      <c r="K659" s="94"/>
      <c r="L659" s="94"/>
      <c r="M659" s="94"/>
      <c r="N659" s="59"/>
      <c r="O659" s="88"/>
      <c r="P659" s="95"/>
      <c r="Q659" s="88"/>
      <c r="R659" s="88"/>
      <c r="S659" s="88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</row>
    <row r="660">
      <c r="A660" s="59"/>
      <c r="B660" s="59"/>
      <c r="C660" s="70"/>
      <c r="D660" s="59"/>
      <c r="E660" s="94"/>
      <c r="F660" s="94"/>
      <c r="G660" s="94"/>
      <c r="H660" s="59"/>
      <c r="I660" s="94"/>
      <c r="J660" s="59"/>
      <c r="K660" s="94"/>
      <c r="L660" s="94"/>
      <c r="M660" s="94"/>
      <c r="N660" s="59"/>
      <c r="O660" s="88"/>
      <c r="P660" s="95"/>
      <c r="Q660" s="88"/>
      <c r="R660" s="88"/>
      <c r="S660" s="88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</row>
    <row r="661">
      <c r="A661" s="59"/>
      <c r="B661" s="59"/>
      <c r="C661" s="70"/>
      <c r="D661" s="59"/>
      <c r="E661" s="94"/>
      <c r="F661" s="94"/>
      <c r="G661" s="94"/>
      <c r="H661" s="59"/>
      <c r="I661" s="94"/>
      <c r="J661" s="59"/>
      <c r="K661" s="94"/>
      <c r="L661" s="94"/>
      <c r="M661" s="94"/>
      <c r="N661" s="59"/>
      <c r="O661" s="88"/>
      <c r="P661" s="95"/>
      <c r="Q661" s="88"/>
      <c r="R661" s="88"/>
      <c r="S661" s="88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</row>
    <row r="662">
      <c r="A662" s="59"/>
      <c r="B662" s="59"/>
      <c r="C662" s="70"/>
      <c r="D662" s="59"/>
      <c r="E662" s="94"/>
      <c r="F662" s="94"/>
      <c r="G662" s="94"/>
      <c r="H662" s="59"/>
      <c r="I662" s="94"/>
      <c r="J662" s="59"/>
      <c r="K662" s="94"/>
      <c r="L662" s="94"/>
      <c r="M662" s="94"/>
      <c r="N662" s="59"/>
      <c r="O662" s="88"/>
      <c r="P662" s="95"/>
      <c r="Q662" s="88"/>
      <c r="R662" s="88"/>
      <c r="S662" s="88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</row>
    <row r="663">
      <c r="A663" s="59"/>
      <c r="B663" s="59"/>
      <c r="C663" s="70"/>
      <c r="D663" s="59"/>
      <c r="E663" s="94"/>
      <c r="F663" s="94"/>
      <c r="G663" s="94"/>
      <c r="H663" s="59"/>
      <c r="I663" s="94"/>
      <c r="J663" s="59"/>
      <c r="K663" s="94"/>
      <c r="L663" s="94"/>
      <c r="M663" s="94"/>
      <c r="N663" s="59"/>
      <c r="O663" s="88"/>
      <c r="P663" s="95"/>
      <c r="Q663" s="88"/>
      <c r="R663" s="88"/>
      <c r="S663" s="88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</row>
    <row r="664">
      <c r="A664" s="59"/>
      <c r="B664" s="59"/>
      <c r="C664" s="70"/>
      <c r="D664" s="59"/>
      <c r="E664" s="94"/>
      <c r="F664" s="94"/>
      <c r="G664" s="94"/>
      <c r="H664" s="59"/>
      <c r="I664" s="94"/>
      <c r="J664" s="59"/>
      <c r="K664" s="94"/>
      <c r="L664" s="94"/>
      <c r="M664" s="94"/>
      <c r="N664" s="59"/>
      <c r="O664" s="88"/>
      <c r="P664" s="95"/>
      <c r="Q664" s="88"/>
      <c r="R664" s="88"/>
      <c r="S664" s="88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</row>
    <row r="665">
      <c r="A665" s="59"/>
      <c r="B665" s="59"/>
      <c r="C665" s="70"/>
      <c r="D665" s="59"/>
      <c r="E665" s="94"/>
      <c r="F665" s="94"/>
      <c r="G665" s="94"/>
      <c r="H665" s="59"/>
      <c r="I665" s="94"/>
      <c r="J665" s="59"/>
      <c r="K665" s="94"/>
      <c r="L665" s="94"/>
      <c r="M665" s="94"/>
      <c r="N665" s="59"/>
      <c r="O665" s="88"/>
      <c r="P665" s="95"/>
      <c r="Q665" s="88"/>
      <c r="R665" s="88"/>
      <c r="S665" s="88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</row>
    <row r="666">
      <c r="A666" s="59"/>
      <c r="B666" s="59"/>
      <c r="C666" s="70"/>
      <c r="D666" s="59"/>
      <c r="E666" s="94"/>
      <c r="F666" s="94"/>
      <c r="G666" s="94"/>
      <c r="H666" s="59"/>
      <c r="I666" s="94"/>
      <c r="J666" s="59"/>
      <c r="K666" s="94"/>
      <c r="L666" s="94"/>
      <c r="M666" s="94"/>
      <c r="N666" s="59"/>
      <c r="O666" s="88"/>
      <c r="P666" s="95"/>
      <c r="Q666" s="88"/>
      <c r="R666" s="88"/>
      <c r="S666" s="88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</row>
    <row r="667">
      <c r="A667" s="59"/>
      <c r="B667" s="59"/>
      <c r="C667" s="70"/>
      <c r="D667" s="59"/>
      <c r="E667" s="94"/>
      <c r="F667" s="94"/>
      <c r="G667" s="94"/>
      <c r="H667" s="59"/>
      <c r="I667" s="94"/>
      <c r="J667" s="59"/>
      <c r="K667" s="94"/>
      <c r="L667" s="94"/>
      <c r="M667" s="94"/>
      <c r="N667" s="59"/>
      <c r="O667" s="88"/>
      <c r="P667" s="95"/>
      <c r="Q667" s="88"/>
      <c r="R667" s="88"/>
      <c r="S667" s="88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</row>
    <row r="668">
      <c r="A668" s="59"/>
      <c r="B668" s="59"/>
      <c r="C668" s="70"/>
      <c r="D668" s="59"/>
      <c r="E668" s="94"/>
      <c r="F668" s="94"/>
      <c r="G668" s="94"/>
      <c r="H668" s="59"/>
      <c r="I668" s="94"/>
      <c r="J668" s="59"/>
      <c r="K668" s="94"/>
      <c r="L668" s="94"/>
      <c r="M668" s="94"/>
      <c r="N668" s="59"/>
      <c r="O668" s="88"/>
      <c r="P668" s="95"/>
      <c r="Q668" s="88"/>
      <c r="R668" s="88"/>
      <c r="S668" s="88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</row>
    <row r="669">
      <c r="A669" s="59"/>
      <c r="B669" s="59"/>
      <c r="C669" s="70"/>
      <c r="D669" s="59"/>
      <c r="E669" s="94"/>
      <c r="F669" s="94"/>
      <c r="G669" s="94"/>
      <c r="H669" s="59"/>
      <c r="I669" s="94"/>
      <c r="J669" s="59"/>
      <c r="K669" s="94"/>
      <c r="L669" s="94"/>
      <c r="M669" s="94"/>
      <c r="N669" s="59"/>
      <c r="O669" s="88"/>
      <c r="P669" s="95"/>
      <c r="Q669" s="88"/>
      <c r="R669" s="88"/>
      <c r="S669" s="88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</row>
    <row r="670">
      <c r="A670" s="59"/>
      <c r="B670" s="59"/>
      <c r="C670" s="70"/>
      <c r="D670" s="59"/>
      <c r="E670" s="94"/>
      <c r="F670" s="94"/>
      <c r="G670" s="94"/>
      <c r="H670" s="59"/>
      <c r="I670" s="94"/>
      <c r="J670" s="59"/>
      <c r="K670" s="94"/>
      <c r="L670" s="94"/>
      <c r="M670" s="94"/>
      <c r="N670" s="59"/>
      <c r="O670" s="88"/>
      <c r="P670" s="95"/>
      <c r="Q670" s="88"/>
      <c r="R670" s="88"/>
      <c r="S670" s="88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</row>
    <row r="671">
      <c r="A671" s="59"/>
      <c r="B671" s="59"/>
      <c r="C671" s="70"/>
      <c r="D671" s="59"/>
      <c r="E671" s="94"/>
      <c r="F671" s="94"/>
      <c r="G671" s="94"/>
      <c r="H671" s="59"/>
      <c r="I671" s="94"/>
      <c r="J671" s="59"/>
      <c r="K671" s="94"/>
      <c r="L671" s="94"/>
      <c r="M671" s="94"/>
      <c r="N671" s="59"/>
      <c r="O671" s="88"/>
      <c r="P671" s="95"/>
      <c r="Q671" s="88"/>
      <c r="R671" s="88"/>
      <c r="S671" s="88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</row>
    <row r="672">
      <c r="A672" s="59"/>
      <c r="B672" s="59"/>
      <c r="C672" s="70"/>
      <c r="D672" s="59"/>
      <c r="E672" s="94"/>
      <c r="F672" s="94"/>
      <c r="G672" s="94"/>
      <c r="H672" s="59"/>
      <c r="I672" s="94"/>
      <c r="J672" s="59"/>
      <c r="K672" s="94"/>
      <c r="L672" s="94"/>
      <c r="M672" s="94"/>
      <c r="N672" s="59"/>
      <c r="O672" s="88"/>
      <c r="P672" s="95"/>
      <c r="Q672" s="88"/>
      <c r="R672" s="88"/>
      <c r="S672" s="88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</row>
    <row r="673">
      <c r="A673" s="59"/>
      <c r="B673" s="59"/>
      <c r="C673" s="70"/>
      <c r="D673" s="59"/>
      <c r="E673" s="94"/>
      <c r="F673" s="94"/>
      <c r="G673" s="94"/>
      <c r="H673" s="59"/>
      <c r="I673" s="94"/>
      <c r="J673" s="59"/>
      <c r="K673" s="94"/>
      <c r="L673" s="94"/>
      <c r="M673" s="94"/>
      <c r="N673" s="59"/>
      <c r="O673" s="88"/>
      <c r="P673" s="95"/>
      <c r="Q673" s="88"/>
      <c r="R673" s="88"/>
      <c r="S673" s="88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</row>
    <row r="674">
      <c r="A674" s="59"/>
      <c r="B674" s="59"/>
      <c r="C674" s="70"/>
      <c r="D674" s="59"/>
      <c r="E674" s="94"/>
      <c r="F674" s="94"/>
      <c r="G674" s="94"/>
      <c r="H674" s="59"/>
      <c r="I674" s="94"/>
      <c r="J674" s="59"/>
      <c r="K674" s="94"/>
      <c r="L674" s="94"/>
      <c r="M674" s="94"/>
      <c r="N674" s="59"/>
      <c r="O674" s="88"/>
      <c r="P674" s="95"/>
      <c r="Q674" s="88"/>
      <c r="R674" s="88"/>
      <c r="S674" s="88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</row>
    <row r="675">
      <c r="A675" s="59"/>
      <c r="B675" s="59"/>
      <c r="C675" s="70"/>
      <c r="D675" s="59"/>
      <c r="E675" s="94"/>
      <c r="F675" s="94"/>
      <c r="G675" s="94"/>
      <c r="H675" s="59"/>
      <c r="I675" s="94"/>
      <c r="J675" s="59"/>
      <c r="K675" s="94"/>
      <c r="L675" s="94"/>
      <c r="M675" s="94"/>
      <c r="N675" s="59"/>
      <c r="O675" s="88"/>
      <c r="P675" s="95"/>
      <c r="Q675" s="88"/>
      <c r="R675" s="88"/>
      <c r="S675" s="88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</row>
    <row r="676">
      <c r="A676" s="59"/>
      <c r="B676" s="59"/>
      <c r="C676" s="70"/>
      <c r="D676" s="59"/>
      <c r="E676" s="94"/>
      <c r="F676" s="94"/>
      <c r="G676" s="94"/>
      <c r="H676" s="59"/>
      <c r="I676" s="94"/>
      <c r="J676" s="59"/>
      <c r="K676" s="94"/>
      <c r="L676" s="94"/>
      <c r="M676" s="94"/>
      <c r="N676" s="59"/>
      <c r="O676" s="88"/>
      <c r="P676" s="95"/>
      <c r="Q676" s="88"/>
      <c r="R676" s="88"/>
      <c r="S676" s="88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</row>
    <row r="677">
      <c r="A677" s="59"/>
      <c r="B677" s="59"/>
      <c r="C677" s="70"/>
      <c r="D677" s="59"/>
      <c r="E677" s="94"/>
      <c r="F677" s="94"/>
      <c r="G677" s="94"/>
      <c r="H677" s="59"/>
      <c r="I677" s="94"/>
      <c r="J677" s="59"/>
      <c r="K677" s="94"/>
      <c r="L677" s="94"/>
      <c r="M677" s="94"/>
      <c r="N677" s="59"/>
      <c r="O677" s="88"/>
      <c r="P677" s="95"/>
      <c r="Q677" s="88"/>
      <c r="R677" s="88"/>
      <c r="S677" s="88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</row>
    <row r="678">
      <c r="A678" s="59"/>
      <c r="B678" s="59"/>
      <c r="C678" s="70"/>
      <c r="D678" s="59"/>
      <c r="E678" s="94"/>
      <c r="F678" s="94"/>
      <c r="G678" s="94"/>
      <c r="H678" s="59"/>
      <c r="I678" s="94"/>
      <c r="J678" s="59"/>
      <c r="K678" s="94"/>
      <c r="L678" s="94"/>
      <c r="M678" s="94"/>
      <c r="N678" s="59"/>
      <c r="O678" s="88"/>
      <c r="P678" s="95"/>
      <c r="Q678" s="88"/>
      <c r="R678" s="88"/>
      <c r="S678" s="88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</row>
    <row r="679">
      <c r="A679" s="59"/>
      <c r="B679" s="59"/>
      <c r="C679" s="70"/>
      <c r="D679" s="59"/>
      <c r="E679" s="94"/>
      <c r="F679" s="94"/>
      <c r="G679" s="94"/>
      <c r="H679" s="59"/>
      <c r="I679" s="94"/>
      <c r="J679" s="59"/>
      <c r="K679" s="94"/>
      <c r="L679" s="94"/>
      <c r="M679" s="94"/>
      <c r="N679" s="59"/>
      <c r="O679" s="88"/>
      <c r="P679" s="95"/>
      <c r="Q679" s="88"/>
      <c r="R679" s="88"/>
      <c r="S679" s="88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</row>
    <row r="680">
      <c r="A680" s="59"/>
      <c r="B680" s="59"/>
      <c r="C680" s="70"/>
      <c r="D680" s="59"/>
      <c r="E680" s="94"/>
      <c r="F680" s="94"/>
      <c r="G680" s="94"/>
      <c r="H680" s="59"/>
      <c r="I680" s="94"/>
      <c r="J680" s="59"/>
      <c r="K680" s="94"/>
      <c r="L680" s="94"/>
      <c r="M680" s="94"/>
      <c r="N680" s="59"/>
      <c r="O680" s="88"/>
      <c r="P680" s="95"/>
      <c r="Q680" s="88"/>
      <c r="R680" s="88"/>
      <c r="S680" s="88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</row>
    <row r="681">
      <c r="A681" s="59"/>
      <c r="B681" s="59"/>
      <c r="C681" s="70"/>
      <c r="D681" s="59"/>
      <c r="E681" s="94"/>
      <c r="F681" s="94"/>
      <c r="G681" s="94"/>
      <c r="H681" s="59"/>
      <c r="I681" s="94"/>
      <c r="J681" s="59"/>
      <c r="K681" s="94"/>
      <c r="L681" s="94"/>
      <c r="M681" s="94"/>
      <c r="N681" s="59"/>
      <c r="O681" s="88"/>
      <c r="P681" s="95"/>
      <c r="Q681" s="88"/>
      <c r="R681" s="88"/>
      <c r="S681" s="88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</row>
    <row r="682">
      <c r="A682" s="59"/>
      <c r="B682" s="59"/>
      <c r="C682" s="70"/>
      <c r="D682" s="59"/>
      <c r="E682" s="94"/>
      <c r="F682" s="94"/>
      <c r="G682" s="94"/>
      <c r="H682" s="59"/>
      <c r="I682" s="94"/>
      <c r="J682" s="59"/>
      <c r="K682" s="94"/>
      <c r="L682" s="94"/>
      <c r="M682" s="94"/>
      <c r="N682" s="59"/>
      <c r="O682" s="88"/>
      <c r="P682" s="95"/>
      <c r="Q682" s="88"/>
      <c r="R682" s="88"/>
      <c r="S682" s="88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</row>
    <row r="683">
      <c r="A683" s="59"/>
      <c r="B683" s="59"/>
      <c r="C683" s="70"/>
      <c r="D683" s="59"/>
      <c r="E683" s="94"/>
      <c r="F683" s="94"/>
      <c r="G683" s="94"/>
      <c r="H683" s="59"/>
      <c r="I683" s="94"/>
      <c r="J683" s="59"/>
      <c r="K683" s="94"/>
      <c r="L683" s="94"/>
      <c r="M683" s="94"/>
      <c r="N683" s="59"/>
      <c r="O683" s="88"/>
      <c r="P683" s="95"/>
      <c r="Q683" s="88"/>
      <c r="R683" s="88"/>
      <c r="S683" s="88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</row>
    <row r="684">
      <c r="A684" s="59"/>
      <c r="B684" s="59"/>
      <c r="C684" s="70"/>
      <c r="D684" s="59"/>
      <c r="E684" s="94"/>
      <c r="F684" s="94"/>
      <c r="G684" s="94"/>
      <c r="H684" s="59"/>
      <c r="I684" s="94"/>
      <c r="J684" s="59"/>
      <c r="K684" s="94"/>
      <c r="L684" s="94"/>
      <c r="M684" s="94"/>
      <c r="N684" s="59"/>
      <c r="O684" s="88"/>
      <c r="P684" s="95"/>
      <c r="Q684" s="88"/>
      <c r="R684" s="88"/>
      <c r="S684" s="88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</row>
    <row r="685">
      <c r="A685" s="59"/>
      <c r="B685" s="59"/>
      <c r="C685" s="70"/>
      <c r="D685" s="59"/>
      <c r="E685" s="94"/>
      <c r="F685" s="94"/>
      <c r="G685" s="94"/>
      <c r="H685" s="59"/>
      <c r="I685" s="94"/>
      <c r="J685" s="59"/>
      <c r="K685" s="94"/>
      <c r="L685" s="94"/>
      <c r="M685" s="94"/>
      <c r="N685" s="59"/>
      <c r="O685" s="88"/>
      <c r="P685" s="95"/>
      <c r="Q685" s="88"/>
      <c r="R685" s="88"/>
      <c r="S685" s="88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</row>
    <row r="686">
      <c r="A686" s="59"/>
      <c r="B686" s="59"/>
      <c r="C686" s="70"/>
      <c r="D686" s="59"/>
      <c r="E686" s="94"/>
      <c r="F686" s="94"/>
      <c r="G686" s="94"/>
      <c r="H686" s="59"/>
      <c r="I686" s="94"/>
      <c r="J686" s="59"/>
      <c r="K686" s="94"/>
      <c r="L686" s="94"/>
      <c r="M686" s="94"/>
      <c r="N686" s="59"/>
      <c r="O686" s="88"/>
      <c r="P686" s="95"/>
      <c r="Q686" s="88"/>
      <c r="R686" s="88"/>
      <c r="S686" s="88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</row>
    <row r="687">
      <c r="A687" s="59"/>
      <c r="B687" s="59"/>
      <c r="C687" s="70"/>
      <c r="D687" s="59"/>
      <c r="E687" s="94"/>
      <c r="F687" s="94"/>
      <c r="G687" s="94"/>
      <c r="H687" s="59"/>
      <c r="I687" s="94"/>
      <c r="J687" s="59"/>
      <c r="K687" s="94"/>
      <c r="L687" s="94"/>
      <c r="M687" s="94"/>
      <c r="N687" s="59"/>
      <c r="O687" s="88"/>
      <c r="P687" s="95"/>
      <c r="Q687" s="88"/>
      <c r="R687" s="88"/>
      <c r="S687" s="88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</row>
    <row r="688">
      <c r="A688" s="59"/>
      <c r="B688" s="59"/>
      <c r="C688" s="70"/>
      <c r="D688" s="59"/>
      <c r="E688" s="94"/>
      <c r="F688" s="94"/>
      <c r="G688" s="94"/>
      <c r="H688" s="59"/>
      <c r="I688" s="94"/>
      <c r="J688" s="59"/>
      <c r="K688" s="94"/>
      <c r="L688" s="94"/>
      <c r="M688" s="94"/>
      <c r="N688" s="59"/>
      <c r="O688" s="88"/>
      <c r="P688" s="95"/>
      <c r="Q688" s="88"/>
      <c r="R688" s="88"/>
      <c r="S688" s="88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</row>
    <row r="689">
      <c r="A689" s="59"/>
      <c r="B689" s="59"/>
      <c r="C689" s="70"/>
      <c r="D689" s="59"/>
      <c r="E689" s="94"/>
      <c r="F689" s="94"/>
      <c r="G689" s="94"/>
      <c r="H689" s="59"/>
      <c r="I689" s="94"/>
      <c r="J689" s="59"/>
      <c r="K689" s="94"/>
      <c r="L689" s="94"/>
      <c r="M689" s="94"/>
      <c r="N689" s="59"/>
      <c r="O689" s="88"/>
      <c r="P689" s="95"/>
      <c r="Q689" s="88"/>
      <c r="R689" s="88"/>
      <c r="S689" s="88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</row>
    <row r="690">
      <c r="A690" s="59"/>
      <c r="B690" s="59"/>
      <c r="C690" s="70"/>
      <c r="D690" s="59"/>
      <c r="E690" s="94"/>
      <c r="F690" s="94"/>
      <c r="G690" s="94"/>
      <c r="H690" s="59"/>
      <c r="I690" s="94"/>
      <c r="J690" s="59"/>
      <c r="K690" s="94"/>
      <c r="L690" s="94"/>
      <c r="M690" s="94"/>
      <c r="N690" s="59"/>
      <c r="O690" s="88"/>
      <c r="P690" s="95"/>
      <c r="Q690" s="88"/>
      <c r="R690" s="88"/>
      <c r="S690" s="88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</row>
    <row r="691">
      <c r="A691" s="59"/>
      <c r="B691" s="59"/>
      <c r="C691" s="70"/>
      <c r="D691" s="59"/>
      <c r="E691" s="94"/>
      <c r="F691" s="94"/>
      <c r="G691" s="94"/>
      <c r="H691" s="59"/>
      <c r="I691" s="94"/>
      <c r="J691" s="59"/>
      <c r="K691" s="94"/>
      <c r="L691" s="94"/>
      <c r="M691" s="94"/>
      <c r="N691" s="59"/>
      <c r="O691" s="88"/>
      <c r="P691" s="95"/>
      <c r="Q691" s="88"/>
      <c r="R691" s="88"/>
      <c r="S691" s="88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</row>
    <row r="692">
      <c r="A692" s="59"/>
      <c r="B692" s="59"/>
      <c r="C692" s="70"/>
      <c r="D692" s="59"/>
      <c r="E692" s="94"/>
      <c r="F692" s="94"/>
      <c r="G692" s="94"/>
      <c r="H692" s="59"/>
      <c r="I692" s="94"/>
      <c r="J692" s="59"/>
      <c r="K692" s="94"/>
      <c r="L692" s="94"/>
      <c r="M692" s="94"/>
      <c r="N692" s="59"/>
      <c r="O692" s="88"/>
      <c r="P692" s="95"/>
      <c r="Q692" s="88"/>
      <c r="R692" s="88"/>
      <c r="S692" s="88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</row>
    <row r="693">
      <c r="A693" s="59"/>
      <c r="B693" s="59"/>
      <c r="C693" s="70"/>
      <c r="D693" s="59"/>
      <c r="E693" s="94"/>
      <c r="F693" s="94"/>
      <c r="G693" s="94"/>
      <c r="H693" s="59"/>
      <c r="I693" s="94"/>
      <c r="J693" s="59"/>
      <c r="K693" s="94"/>
      <c r="L693" s="94"/>
      <c r="M693" s="94"/>
      <c r="N693" s="59"/>
      <c r="O693" s="88"/>
      <c r="P693" s="95"/>
      <c r="Q693" s="88"/>
      <c r="R693" s="88"/>
      <c r="S693" s="88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</row>
    <row r="694">
      <c r="A694" s="59"/>
      <c r="B694" s="59"/>
      <c r="C694" s="70"/>
      <c r="D694" s="59"/>
      <c r="E694" s="94"/>
      <c r="F694" s="94"/>
      <c r="G694" s="94"/>
      <c r="H694" s="59"/>
      <c r="I694" s="94"/>
      <c r="J694" s="59"/>
      <c r="K694" s="94"/>
      <c r="L694" s="94"/>
      <c r="M694" s="94"/>
      <c r="N694" s="59"/>
      <c r="O694" s="88"/>
      <c r="P694" s="95"/>
      <c r="Q694" s="88"/>
      <c r="R694" s="88"/>
      <c r="S694" s="88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</row>
    <row r="695">
      <c r="A695" s="59"/>
      <c r="B695" s="59"/>
      <c r="C695" s="70"/>
      <c r="D695" s="59"/>
      <c r="E695" s="94"/>
      <c r="F695" s="94"/>
      <c r="G695" s="94"/>
      <c r="H695" s="59"/>
      <c r="I695" s="94"/>
      <c r="J695" s="59"/>
      <c r="K695" s="94"/>
      <c r="L695" s="94"/>
      <c r="M695" s="94"/>
      <c r="N695" s="59"/>
      <c r="O695" s="88"/>
      <c r="P695" s="95"/>
      <c r="Q695" s="88"/>
      <c r="R695" s="88"/>
      <c r="S695" s="88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</row>
    <row r="696">
      <c r="A696" s="59"/>
      <c r="B696" s="59"/>
      <c r="C696" s="70"/>
      <c r="D696" s="59"/>
      <c r="E696" s="94"/>
      <c r="F696" s="94"/>
      <c r="G696" s="94"/>
      <c r="H696" s="59"/>
      <c r="I696" s="94"/>
      <c r="J696" s="59"/>
      <c r="K696" s="94"/>
      <c r="L696" s="94"/>
      <c r="M696" s="94"/>
      <c r="N696" s="59"/>
      <c r="O696" s="88"/>
      <c r="P696" s="95"/>
      <c r="Q696" s="88"/>
      <c r="R696" s="88"/>
      <c r="S696" s="88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</row>
    <row r="697">
      <c r="A697" s="59"/>
      <c r="B697" s="59"/>
      <c r="C697" s="70"/>
      <c r="D697" s="59"/>
      <c r="E697" s="94"/>
      <c r="F697" s="94"/>
      <c r="G697" s="94"/>
      <c r="H697" s="59"/>
      <c r="I697" s="94"/>
      <c r="J697" s="59"/>
      <c r="K697" s="94"/>
      <c r="L697" s="94"/>
      <c r="M697" s="94"/>
      <c r="N697" s="59"/>
      <c r="O697" s="88"/>
      <c r="P697" s="95"/>
      <c r="Q697" s="88"/>
      <c r="R697" s="88"/>
      <c r="S697" s="88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</row>
    <row r="698">
      <c r="A698" s="59"/>
      <c r="B698" s="59"/>
      <c r="C698" s="70"/>
      <c r="D698" s="59"/>
      <c r="E698" s="94"/>
      <c r="F698" s="94"/>
      <c r="G698" s="94"/>
      <c r="H698" s="59"/>
      <c r="I698" s="94"/>
      <c r="J698" s="59"/>
      <c r="K698" s="94"/>
      <c r="L698" s="94"/>
      <c r="M698" s="94"/>
      <c r="N698" s="59"/>
      <c r="O698" s="88"/>
      <c r="P698" s="95"/>
      <c r="Q698" s="88"/>
      <c r="R698" s="88"/>
      <c r="S698" s="88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</row>
    <row r="699">
      <c r="A699" s="59"/>
      <c r="B699" s="59"/>
      <c r="C699" s="70"/>
      <c r="D699" s="59"/>
      <c r="E699" s="94"/>
      <c r="F699" s="94"/>
      <c r="G699" s="94"/>
      <c r="H699" s="59"/>
      <c r="I699" s="94"/>
      <c r="J699" s="59"/>
      <c r="K699" s="94"/>
      <c r="L699" s="94"/>
      <c r="M699" s="94"/>
      <c r="N699" s="59"/>
      <c r="O699" s="88"/>
      <c r="P699" s="95"/>
      <c r="Q699" s="88"/>
      <c r="R699" s="88"/>
      <c r="S699" s="88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</row>
    <row r="700">
      <c r="A700" s="59"/>
      <c r="B700" s="59"/>
      <c r="C700" s="70"/>
      <c r="D700" s="59"/>
      <c r="E700" s="94"/>
      <c r="F700" s="94"/>
      <c r="G700" s="94"/>
      <c r="H700" s="59"/>
      <c r="I700" s="94"/>
      <c r="J700" s="59"/>
      <c r="K700" s="94"/>
      <c r="L700" s="94"/>
      <c r="M700" s="94"/>
      <c r="N700" s="59"/>
      <c r="O700" s="88"/>
      <c r="P700" s="95"/>
      <c r="Q700" s="88"/>
      <c r="R700" s="88"/>
      <c r="S700" s="88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</row>
    <row r="701">
      <c r="A701" s="59"/>
      <c r="B701" s="59"/>
      <c r="C701" s="70"/>
      <c r="D701" s="59"/>
      <c r="E701" s="94"/>
      <c r="F701" s="94"/>
      <c r="G701" s="94"/>
      <c r="H701" s="59"/>
      <c r="I701" s="94"/>
      <c r="J701" s="59"/>
      <c r="K701" s="94"/>
      <c r="L701" s="94"/>
      <c r="M701" s="94"/>
      <c r="N701" s="59"/>
      <c r="O701" s="88"/>
      <c r="P701" s="95"/>
      <c r="Q701" s="88"/>
      <c r="R701" s="88"/>
      <c r="S701" s="88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</row>
    <row r="702">
      <c r="A702" s="59"/>
      <c r="B702" s="59"/>
      <c r="C702" s="70"/>
      <c r="D702" s="59"/>
      <c r="E702" s="94"/>
      <c r="F702" s="94"/>
      <c r="G702" s="94"/>
      <c r="H702" s="59"/>
      <c r="I702" s="94"/>
      <c r="J702" s="59"/>
      <c r="K702" s="94"/>
      <c r="L702" s="94"/>
      <c r="M702" s="94"/>
      <c r="N702" s="59"/>
      <c r="O702" s="88"/>
      <c r="P702" s="95"/>
      <c r="Q702" s="88"/>
      <c r="R702" s="88"/>
      <c r="S702" s="88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</row>
    <row r="703">
      <c r="A703" s="59"/>
      <c r="B703" s="59"/>
      <c r="C703" s="70"/>
      <c r="D703" s="59"/>
      <c r="E703" s="94"/>
      <c r="F703" s="94"/>
      <c r="G703" s="94"/>
      <c r="H703" s="59"/>
      <c r="I703" s="94"/>
      <c r="J703" s="59"/>
      <c r="K703" s="94"/>
      <c r="L703" s="94"/>
      <c r="M703" s="94"/>
      <c r="N703" s="59"/>
      <c r="O703" s="88"/>
      <c r="P703" s="95"/>
      <c r="Q703" s="88"/>
      <c r="R703" s="88"/>
      <c r="S703" s="88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</row>
    <row r="704">
      <c r="A704" s="59"/>
      <c r="B704" s="59"/>
      <c r="C704" s="70"/>
      <c r="D704" s="59"/>
      <c r="E704" s="94"/>
      <c r="F704" s="94"/>
      <c r="G704" s="94"/>
      <c r="H704" s="59"/>
      <c r="I704" s="94"/>
      <c r="J704" s="59"/>
      <c r="K704" s="94"/>
      <c r="L704" s="94"/>
      <c r="M704" s="94"/>
      <c r="N704" s="59"/>
      <c r="O704" s="88"/>
      <c r="P704" s="95"/>
      <c r="Q704" s="88"/>
      <c r="R704" s="88"/>
      <c r="S704" s="88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</row>
    <row r="705">
      <c r="A705" s="59"/>
      <c r="B705" s="59"/>
      <c r="C705" s="70"/>
      <c r="D705" s="59"/>
      <c r="E705" s="94"/>
      <c r="F705" s="94"/>
      <c r="G705" s="94"/>
      <c r="H705" s="59"/>
      <c r="I705" s="94"/>
      <c r="J705" s="59"/>
      <c r="K705" s="94"/>
      <c r="L705" s="94"/>
      <c r="M705" s="94"/>
      <c r="N705" s="59"/>
      <c r="O705" s="88"/>
      <c r="P705" s="95"/>
      <c r="Q705" s="88"/>
      <c r="R705" s="88"/>
      <c r="S705" s="88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</row>
    <row r="706">
      <c r="A706" s="59"/>
      <c r="B706" s="59"/>
      <c r="C706" s="70"/>
      <c r="D706" s="59"/>
      <c r="E706" s="94"/>
      <c r="F706" s="94"/>
      <c r="G706" s="94"/>
      <c r="H706" s="59"/>
      <c r="I706" s="94"/>
      <c r="J706" s="59"/>
      <c r="K706" s="94"/>
      <c r="L706" s="94"/>
      <c r="M706" s="94"/>
      <c r="N706" s="59"/>
      <c r="O706" s="88"/>
      <c r="P706" s="95"/>
      <c r="Q706" s="88"/>
      <c r="R706" s="88"/>
      <c r="S706" s="88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</row>
    <row r="707">
      <c r="A707" s="59"/>
      <c r="B707" s="59"/>
      <c r="C707" s="70"/>
      <c r="D707" s="59"/>
      <c r="E707" s="94"/>
      <c r="F707" s="94"/>
      <c r="G707" s="94"/>
      <c r="H707" s="59"/>
      <c r="I707" s="94"/>
      <c r="J707" s="59"/>
      <c r="K707" s="94"/>
      <c r="L707" s="94"/>
      <c r="M707" s="94"/>
      <c r="N707" s="59"/>
      <c r="O707" s="88"/>
      <c r="P707" s="95"/>
      <c r="Q707" s="88"/>
      <c r="R707" s="88"/>
      <c r="S707" s="88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</row>
    <row r="708">
      <c r="A708" s="59"/>
      <c r="B708" s="59"/>
      <c r="C708" s="70"/>
      <c r="D708" s="59"/>
      <c r="E708" s="94"/>
      <c r="F708" s="94"/>
      <c r="G708" s="94"/>
      <c r="H708" s="59"/>
      <c r="I708" s="94"/>
      <c r="J708" s="59"/>
      <c r="K708" s="94"/>
      <c r="L708" s="94"/>
      <c r="M708" s="94"/>
      <c r="N708" s="59"/>
      <c r="O708" s="88"/>
      <c r="P708" s="95"/>
      <c r="Q708" s="88"/>
      <c r="R708" s="88"/>
      <c r="S708" s="88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</row>
    <row r="709">
      <c r="A709" s="59"/>
      <c r="B709" s="59"/>
      <c r="C709" s="70"/>
      <c r="D709" s="59"/>
      <c r="E709" s="94"/>
      <c r="F709" s="94"/>
      <c r="G709" s="94"/>
      <c r="H709" s="59"/>
      <c r="I709" s="94"/>
      <c r="J709" s="59"/>
      <c r="K709" s="94"/>
      <c r="L709" s="94"/>
      <c r="M709" s="94"/>
      <c r="N709" s="59"/>
      <c r="O709" s="88"/>
      <c r="P709" s="95"/>
      <c r="Q709" s="88"/>
      <c r="R709" s="88"/>
      <c r="S709" s="88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</row>
    <row r="710">
      <c r="A710" s="59"/>
      <c r="B710" s="59"/>
      <c r="C710" s="70"/>
      <c r="D710" s="59"/>
      <c r="E710" s="94"/>
      <c r="F710" s="94"/>
      <c r="G710" s="94"/>
      <c r="H710" s="59"/>
      <c r="I710" s="94"/>
      <c r="J710" s="59"/>
      <c r="K710" s="94"/>
      <c r="L710" s="94"/>
      <c r="M710" s="94"/>
      <c r="N710" s="59"/>
      <c r="O710" s="88"/>
      <c r="P710" s="95"/>
      <c r="Q710" s="88"/>
      <c r="R710" s="88"/>
      <c r="S710" s="88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</row>
    <row r="711">
      <c r="A711" s="59"/>
      <c r="B711" s="59"/>
      <c r="C711" s="70"/>
      <c r="D711" s="59"/>
      <c r="E711" s="94"/>
      <c r="F711" s="94"/>
      <c r="G711" s="94"/>
      <c r="H711" s="59"/>
      <c r="I711" s="94"/>
      <c r="J711" s="59"/>
      <c r="K711" s="94"/>
      <c r="L711" s="94"/>
      <c r="M711" s="94"/>
      <c r="N711" s="59"/>
      <c r="O711" s="88"/>
      <c r="P711" s="95"/>
      <c r="Q711" s="88"/>
      <c r="R711" s="88"/>
      <c r="S711" s="88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</row>
    <row r="712">
      <c r="A712" s="59"/>
      <c r="B712" s="59"/>
      <c r="C712" s="70"/>
      <c r="D712" s="59"/>
      <c r="E712" s="94"/>
      <c r="F712" s="94"/>
      <c r="G712" s="94"/>
      <c r="H712" s="59"/>
      <c r="I712" s="94"/>
      <c r="J712" s="59"/>
      <c r="K712" s="94"/>
      <c r="L712" s="94"/>
      <c r="M712" s="94"/>
      <c r="N712" s="59"/>
      <c r="O712" s="88"/>
      <c r="P712" s="95"/>
      <c r="Q712" s="88"/>
      <c r="R712" s="88"/>
      <c r="S712" s="88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</row>
    <row r="713">
      <c r="A713" s="59"/>
      <c r="B713" s="59"/>
      <c r="C713" s="70"/>
      <c r="D713" s="59"/>
      <c r="E713" s="94"/>
      <c r="F713" s="94"/>
      <c r="G713" s="94"/>
      <c r="H713" s="59"/>
      <c r="I713" s="94"/>
      <c r="J713" s="59"/>
      <c r="K713" s="94"/>
      <c r="L713" s="94"/>
      <c r="M713" s="94"/>
      <c r="N713" s="59"/>
      <c r="O713" s="88"/>
      <c r="P713" s="95"/>
      <c r="Q713" s="88"/>
      <c r="R713" s="88"/>
      <c r="S713" s="88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</row>
    <row r="714">
      <c r="A714" s="59"/>
      <c r="B714" s="59"/>
      <c r="C714" s="70"/>
      <c r="D714" s="59"/>
      <c r="E714" s="94"/>
      <c r="F714" s="94"/>
      <c r="G714" s="94"/>
      <c r="H714" s="59"/>
      <c r="I714" s="94"/>
      <c r="J714" s="59"/>
      <c r="K714" s="94"/>
      <c r="L714" s="94"/>
      <c r="M714" s="94"/>
      <c r="N714" s="59"/>
      <c r="O714" s="88"/>
      <c r="P714" s="95"/>
      <c r="Q714" s="88"/>
      <c r="R714" s="88"/>
      <c r="S714" s="88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</row>
    <row r="715">
      <c r="A715" s="59"/>
      <c r="B715" s="59"/>
      <c r="C715" s="70"/>
      <c r="D715" s="59"/>
      <c r="E715" s="94"/>
      <c r="F715" s="94"/>
      <c r="G715" s="94"/>
      <c r="H715" s="59"/>
      <c r="I715" s="94"/>
      <c r="J715" s="59"/>
      <c r="K715" s="94"/>
      <c r="L715" s="94"/>
      <c r="M715" s="94"/>
      <c r="N715" s="59"/>
      <c r="O715" s="88"/>
      <c r="P715" s="95"/>
      <c r="Q715" s="88"/>
      <c r="R715" s="88"/>
      <c r="S715" s="88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</row>
    <row r="716">
      <c r="A716" s="59"/>
      <c r="B716" s="59"/>
      <c r="C716" s="70"/>
      <c r="D716" s="59"/>
      <c r="E716" s="94"/>
      <c r="F716" s="94"/>
      <c r="G716" s="94"/>
      <c r="H716" s="59"/>
      <c r="I716" s="94"/>
      <c r="J716" s="59"/>
      <c r="K716" s="94"/>
      <c r="L716" s="94"/>
      <c r="M716" s="94"/>
      <c r="N716" s="59"/>
      <c r="O716" s="88"/>
      <c r="P716" s="95"/>
      <c r="Q716" s="88"/>
      <c r="R716" s="88"/>
      <c r="S716" s="88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</row>
    <row r="717">
      <c r="A717" s="59"/>
      <c r="B717" s="59"/>
      <c r="C717" s="70"/>
      <c r="D717" s="59"/>
      <c r="E717" s="94"/>
      <c r="F717" s="94"/>
      <c r="G717" s="94"/>
      <c r="H717" s="59"/>
      <c r="I717" s="94"/>
      <c r="J717" s="59"/>
      <c r="K717" s="94"/>
      <c r="L717" s="94"/>
      <c r="M717" s="94"/>
      <c r="N717" s="59"/>
      <c r="O717" s="88"/>
      <c r="P717" s="95"/>
      <c r="Q717" s="88"/>
      <c r="R717" s="88"/>
      <c r="S717" s="88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</row>
    <row r="718">
      <c r="A718" s="59"/>
      <c r="B718" s="59"/>
      <c r="C718" s="70"/>
      <c r="D718" s="59"/>
      <c r="E718" s="94"/>
      <c r="F718" s="94"/>
      <c r="G718" s="94"/>
      <c r="H718" s="59"/>
      <c r="I718" s="94"/>
      <c r="J718" s="59"/>
      <c r="K718" s="94"/>
      <c r="L718" s="94"/>
      <c r="M718" s="94"/>
      <c r="N718" s="59"/>
      <c r="O718" s="88"/>
      <c r="P718" s="95"/>
      <c r="Q718" s="88"/>
      <c r="R718" s="88"/>
      <c r="S718" s="88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</row>
    <row r="719">
      <c r="A719" s="59"/>
      <c r="B719" s="59"/>
      <c r="C719" s="70"/>
      <c r="D719" s="59"/>
      <c r="E719" s="94"/>
      <c r="F719" s="94"/>
      <c r="G719" s="94"/>
      <c r="H719" s="59"/>
      <c r="I719" s="94"/>
      <c r="J719" s="59"/>
      <c r="K719" s="94"/>
      <c r="L719" s="94"/>
      <c r="M719" s="94"/>
      <c r="N719" s="59"/>
      <c r="O719" s="88"/>
      <c r="P719" s="95"/>
      <c r="Q719" s="88"/>
      <c r="R719" s="88"/>
      <c r="S719" s="88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</row>
    <row r="720">
      <c r="A720" s="59"/>
      <c r="B720" s="59"/>
      <c r="C720" s="70"/>
      <c r="D720" s="59"/>
      <c r="E720" s="94"/>
      <c r="F720" s="94"/>
      <c r="G720" s="94"/>
      <c r="H720" s="59"/>
      <c r="I720" s="94"/>
      <c r="J720" s="59"/>
      <c r="K720" s="94"/>
      <c r="L720" s="94"/>
      <c r="M720" s="94"/>
      <c r="N720" s="59"/>
      <c r="O720" s="88"/>
      <c r="P720" s="95"/>
      <c r="Q720" s="88"/>
      <c r="R720" s="88"/>
      <c r="S720" s="88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</row>
    <row r="721">
      <c r="A721" s="59"/>
      <c r="B721" s="59"/>
      <c r="C721" s="70"/>
      <c r="D721" s="59"/>
      <c r="E721" s="94"/>
      <c r="F721" s="94"/>
      <c r="G721" s="94"/>
      <c r="H721" s="59"/>
      <c r="I721" s="94"/>
      <c r="J721" s="59"/>
      <c r="K721" s="94"/>
      <c r="L721" s="94"/>
      <c r="M721" s="94"/>
      <c r="N721" s="59"/>
      <c r="O721" s="88"/>
      <c r="P721" s="95"/>
      <c r="Q721" s="88"/>
      <c r="R721" s="88"/>
      <c r="S721" s="88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</row>
    <row r="722">
      <c r="A722" s="59"/>
      <c r="B722" s="59"/>
      <c r="C722" s="70"/>
      <c r="D722" s="59"/>
      <c r="E722" s="94"/>
      <c r="F722" s="94"/>
      <c r="G722" s="94"/>
      <c r="H722" s="59"/>
      <c r="I722" s="94"/>
      <c r="J722" s="59"/>
      <c r="K722" s="94"/>
      <c r="L722" s="94"/>
      <c r="M722" s="94"/>
      <c r="N722" s="59"/>
      <c r="O722" s="88"/>
      <c r="P722" s="95"/>
      <c r="Q722" s="88"/>
      <c r="R722" s="88"/>
      <c r="S722" s="88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</row>
    <row r="723">
      <c r="A723" s="59"/>
      <c r="B723" s="59"/>
      <c r="C723" s="70"/>
      <c r="D723" s="59"/>
      <c r="E723" s="94"/>
      <c r="F723" s="94"/>
      <c r="G723" s="94"/>
      <c r="H723" s="59"/>
      <c r="I723" s="94"/>
      <c r="J723" s="59"/>
      <c r="K723" s="94"/>
      <c r="L723" s="94"/>
      <c r="M723" s="94"/>
      <c r="N723" s="59"/>
      <c r="O723" s="88"/>
      <c r="P723" s="95"/>
      <c r="Q723" s="88"/>
      <c r="R723" s="88"/>
      <c r="S723" s="88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</row>
    <row r="724">
      <c r="A724" s="59"/>
      <c r="B724" s="59"/>
      <c r="C724" s="70"/>
      <c r="D724" s="59"/>
      <c r="E724" s="94"/>
      <c r="F724" s="94"/>
      <c r="G724" s="94"/>
      <c r="H724" s="59"/>
      <c r="I724" s="94"/>
      <c r="J724" s="59"/>
      <c r="K724" s="94"/>
      <c r="L724" s="94"/>
      <c r="M724" s="94"/>
      <c r="N724" s="59"/>
      <c r="O724" s="88"/>
      <c r="P724" s="95"/>
      <c r="Q724" s="88"/>
      <c r="R724" s="88"/>
      <c r="S724" s="88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</row>
    <row r="725">
      <c r="A725" s="59"/>
      <c r="B725" s="59"/>
      <c r="C725" s="70"/>
      <c r="D725" s="59"/>
      <c r="E725" s="94"/>
      <c r="F725" s="94"/>
      <c r="G725" s="94"/>
      <c r="H725" s="59"/>
      <c r="I725" s="94"/>
      <c r="J725" s="59"/>
      <c r="K725" s="94"/>
      <c r="L725" s="94"/>
      <c r="M725" s="94"/>
      <c r="N725" s="59"/>
      <c r="O725" s="88"/>
      <c r="P725" s="95"/>
      <c r="Q725" s="88"/>
      <c r="R725" s="88"/>
      <c r="S725" s="88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</row>
    <row r="726">
      <c r="A726" s="59"/>
      <c r="B726" s="59"/>
      <c r="C726" s="70"/>
      <c r="D726" s="59"/>
      <c r="E726" s="94"/>
      <c r="F726" s="94"/>
      <c r="G726" s="94"/>
      <c r="H726" s="59"/>
      <c r="I726" s="94"/>
      <c r="J726" s="59"/>
      <c r="K726" s="94"/>
      <c r="L726" s="94"/>
      <c r="M726" s="94"/>
      <c r="N726" s="59"/>
      <c r="O726" s="88"/>
      <c r="P726" s="95"/>
      <c r="Q726" s="88"/>
      <c r="R726" s="88"/>
      <c r="S726" s="88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</row>
    <row r="727">
      <c r="A727" s="59"/>
      <c r="B727" s="59"/>
      <c r="C727" s="70"/>
      <c r="D727" s="59"/>
      <c r="E727" s="94"/>
      <c r="F727" s="94"/>
      <c r="G727" s="94"/>
      <c r="H727" s="59"/>
      <c r="I727" s="94"/>
      <c r="J727" s="59"/>
      <c r="K727" s="94"/>
      <c r="L727" s="94"/>
      <c r="M727" s="94"/>
      <c r="N727" s="59"/>
      <c r="O727" s="88"/>
      <c r="P727" s="95"/>
      <c r="Q727" s="88"/>
      <c r="R727" s="88"/>
      <c r="S727" s="88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</row>
    <row r="728">
      <c r="A728" s="59"/>
      <c r="B728" s="59"/>
      <c r="C728" s="70"/>
      <c r="D728" s="59"/>
      <c r="E728" s="94"/>
      <c r="F728" s="94"/>
      <c r="G728" s="94"/>
      <c r="H728" s="59"/>
      <c r="I728" s="94"/>
      <c r="J728" s="59"/>
      <c r="K728" s="94"/>
      <c r="L728" s="94"/>
      <c r="M728" s="94"/>
      <c r="N728" s="59"/>
      <c r="O728" s="88"/>
      <c r="P728" s="95"/>
      <c r="Q728" s="88"/>
      <c r="R728" s="88"/>
      <c r="S728" s="88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</row>
    <row r="729">
      <c r="A729" s="59"/>
      <c r="B729" s="59"/>
      <c r="C729" s="70"/>
      <c r="D729" s="59"/>
      <c r="E729" s="94"/>
      <c r="F729" s="94"/>
      <c r="G729" s="94"/>
      <c r="H729" s="59"/>
      <c r="I729" s="94"/>
      <c r="J729" s="59"/>
      <c r="K729" s="94"/>
      <c r="L729" s="94"/>
      <c r="M729" s="94"/>
      <c r="N729" s="59"/>
      <c r="O729" s="88"/>
      <c r="P729" s="95"/>
      <c r="Q729" s="88"/>
      <c r="R729" s="88"/>
      <c r="S729" s="88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</row>
    <row r="730">
      <c r="A730" s="59"/>
      <c r="B730" s="59"/>
      <c r="C730" s="70"/>
      <c r="D730" s="59"/>
      <c r="E730" s="94"/>
      <c r="F730" s="94"/>
      <c r="G730" s="94"/>
      <c r="H730" s="59"/>
      <c r="I730" s="94"/>
      <c r="J730" s="59"/>
      <c r="K730" s="94"/>
      <c r="L730" s="94"/>
      <c r="M730" s="94"/>
      <c r="N730" s="59"/>
      <c r="O730" s="88"/>
      <c r="P730" s="95"/>
      <c r="Q730" s="88"/>
      <c r="R730" s="88"/>
      <c r="S730" s="88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</row>
    <row r="731">
      <c r="A731" s="59"/>
      <c r="B731" s="59"/>
      <c r="C731" s="70"/>
      <c r="D731" s="59"/>
      <c r="E731" s="94"/>
      <c r="F731" s="94"/>
      <c r="G731" s="94"/>
      <c r="H731" s="59"/>
      <c r="I731" s="94"/>
      <c r="J731" s="59"/>
      <c r="K731" s="94"/>
      <c r="L731" s="94"/>
      <c r="M731" s="94"/>
      <c r="N731" s="59"/>
      <c r="O731" s="88"/>
      <c r="P731" s="95"/>
      <c r="Q731" s="88"/>
      <c r="R731" s="88"/>
      <c r="S731" s="88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</row>
    <row r="732">
      <c r="A732" s="59"/>
      <c r="B732" s="59"/>
      <c r="C732" s="70"/>
      <c r="D732" s="59"/>
      <c r="E732" s="94"/>
      <c r="F732" s="94"/>
      <c r="G732" s="94"/>
      <c r="H732" s="59"/>
      <c r="I732" s="94"/>
      <c r="J732" s="59"/>
      <c r="K732" s="94"/>
      <c r="L732" s="94"/>
      <c r="M732" s="94"/>
      <c r="N732" s="59"/>
      <c r="O732" s="88"/>
      <c r="P732" s="95"/>
      <c r="Q732" s="88"/>
      <c r="R732" s="88"/>
      <c r="S732" s="88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</row>
    <row r="733">
      <c r="A733" s="59"/>
      <c r="B733" s="59"/>
      <c r="C733" s="70"/>
      <c r="D733" s="59"/>
      <c r="E733" s="94"/>
      <c r="F733" s="94"/>
      <c r="G733" s="94"/>
      <c r="H733" s="59"/>
      <c r="I733" s="94"/>
      <c r="J733" s="59"/>
      <c r="K733" s="94"/>
      <c r="L733" s="94"/>
      <c r="M733" s="94"/>
      <c r="N733" s="59"/>
      <c r="O733" s="88"/>
      <c r="P733" s="95"/>
      <c r="Q733" s="88"/>
      <c r="R733" s="88"/>
      <c r="S733" s="88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</row>
    <row r="734">
      <c r="A734" s="59"/>
      <c r="B734" s="59"/>
      <c r="C734" s="70"/>
      <c r="D734" s="59"/>
      <c r="E734" s="94"/>
      <c r="F734" s="94"/>
      <c r="G734" s="94"/>
      <c r="H734" s="59"/>
      <c r="I734" s="94"/>
      <c r="J734" s="59"/>
      <c r="K734" s="94"/>
      <c r="L734" s="94"/>
      <c r="M734" s="94"/>
      <c r="N734" s="59"/>
      <c r="O734" s="88"/>
      <c r="P734" s="95"/>
      <c r="Q734" s="88"/>
      <c r="R734" s="88"/>
      <c r="S734" s="88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</row>
    <row r="735">
      <c r="A735" s="59"/>
      <c r="B735" s="59"/>
      <c r="C735" s="70"/>
      <c r="D735" s="59"/>
      <c r="E735" s="94"/>
      <c r="F735" s="94"/>
      <c r="G735" s="94"/>
      <c r="H735" s="59"/>
      <c r="I735" s="94"/>
      <c r="J735" s="59"/>
      <c r="K735" s="94"/>
      <c r="L735" s="94"/>
      <c r="M735" s="94"/>
      <c r="N735" s="59"/>
      <c r="O735" s="88"/>
      <c r="P735" s="95"/>
      <c r="Q735" s="88"/>
      <c r="R735" s="88"/>
      <c r="S735" s="88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</row>
    <row r="736">
      <c r="A736" s="59"/>
      <c r="B736" s="59"/>
      <c r="C736" s="70"/>
      <c r="D736" s="59"/>
      <c r="E736" s="94"/>
      <c r="F736" s="94"/>
      <c r="G736" s="94"/>
      <c r="H736" s="59"/>
      <c r="I736" s="94"/>
      <c r="J736" s="59"/>
      <c r="K736" s="94"/>
      <c r="L736" s="94"/>
      <c r="M736" s="94"/>
      <c r="N736" s="59"/>
      <c r="O736" s="88"/>
      <c r="P736" s="95"/>
      <c r="Q736" s="88"/>
      <c r="R736" s="88"/>
      <c r="S736" s="88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</row>
    <row r="737">
      <c r="A737" s="59"/>
      <c r="B737" s="59"/>
      <c r="C737" s="70"/>
      <c r="D737" s="59"/>
      <c r="E737" s="94"/>
      <c r="F737" s="94"/>
      <c r="G737" s="94"/>
      <c r="H737" s="59"/>
      <c r="I737" s="94"/>
      <c r="J737" s="59"/>
      <c r="K737" s="94"/>
      <c r="L737" s="94"/>
      <c r="M737" s="94"/>
      <c r="N737" s="59"/>
      <c r="O737" s="88"/>
      <c r="P737" s="95"/>
      <c r="Q737" s="88"/>
      <c r="R737" s="88"/>
      <c r="S737" s="88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</row>
    <row r="738">
      <c r="A738" s="59"/>
      <c r="B738" s="59"/>
      <c r="C738" s="70"/>
      <c r="D738" s="59"/>
      <c r="E738" s="94"/>
      <c r="F738" s="94"/>
      <c r="G738" s="94"/>
      <c r="H738" s="59"/>
      <c r="I738" s="94"/>
      <c r="J738" s="59"/>
      <c r="K738" s="94"/>
      <c r="L738" s="94"/>
      <c r="M738" s="94"/>
      <c r="N738" s="59"/>
      <c r="O738" s="88"/>
      <c r="P738" s="95"/>
      <c r="Q738" s="88"/>
      <c r="R738" s="88"/>
      <c r="S738" s="88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</row>
    <row r="739">
      <c r="A739" s="59"/>
      <c r="B739" s="59"/>
      <c r="C739" s="70"/>
      <c r="D739" s="59"/>
      <c r="E739" s="94"/>
      <c r="F739" s="94"/>
      <c r="G739" s="94"/>
      <c r="H739" s="59"/>
      <c r="I739" s="94"/>
      <c r="J739" s="59"/>
      <c r="K739" s="94"/>
      <c r="L739" s="94"/>
      <c r="M739" s="94"/>
      <c r="N739" s="59"/>
      <c r="O739" s="88"/>
      <c r="P739" s="95"/>
      <c r="Q739" s="88"/>
      <c r="R739" s="88"/>
      <c r="S739" s="88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</row>
    <row r="740">
      <c r="A740" s="59"/>
      <c r="B740" s="59"/>
      <c r="C740" s="70"/>
      <c r="D740" s="59"/>
      <c r="E740" s="94"/>
      <c r="F740" s="94"/>
      <c r="G740" s="94"/>
      <c r="H740" s="59"/>
      <c r="I740" s="94"/>
      <c r="J740" s="59"/>
      <c r="K740" s="94"/>
      <c r="L740" s="94"/>
      <c r="M740" s="94"/>
      <c r="N740" s="59"/>
      <c r="O740" s="88"/>
      <c r="P740" s="95"/>
      <c r="Q740" s="88"/>
      <c r="R740" s="88"/>
      <c r="S740" s="88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</row>
    <row r="741">
      <c r="A741" s="59"/>
      <c r="B741" s="59"/>
      <c r="C741" s="70"/>
      <c r="D741" s="59"/>
      <c r="E741" s="94"/>
      <c r="F741" s="94"/>
      <c r="G741" s="94"/>
      <c r="H741" s="59"/>
      <c r="I741" s="94"/>
      <c r="J741" s="59"/>
      <c r="K741" s="94"/>
      <c r="L741" s="94"/>
      <c r="M741" s="94"/>
      <c r="N741" s="59"/>
      <c r="O741" s="88"/>
      <c r="P741" s="95"/>
      <c r="Q741" s="88"/>
      <c r="R741" s="88"/>
      <c r="S741" s="88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</row>
    <row r="742">
      <c r="A742" s="59"/>
      <c r="B742" s="59"/>
      <c r="C742" s="70"/>
      <c r="D742" s="59"/>
      <c r="E742" s="94"/>
      <c r="F742" s="94"/>
      <c r="G742" s="94"/>
      <c r="H742" s="59"/>
      <c r="I742" s="94"/>
      <c r="J742" s="59"/>
      <c r="K742" s="94"/>
      <c r="L742" s="94"/>
      <c r="M742" s="94"/>
      <c r="N742" s="59"/>
      <c r="O742" s="88"/>
      <c r="P742" s="95"/>
      <c r="Q742" s="88"/>
      <c r="R742" s="88"/>
      <c r="S742" s="88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</row>
    <row r="743">
      <c r="A743" s="59"/>
      <c r="B743" s="59"/>
      <c r="C743" s="70"/>
      <c r="D743" s="59"/>
      <c r="E743" s="94"/>
      <c r="F743" s="94"/>
      <c r="G743" s="94"/>
      <c r="H743" s="59"/>
      <c r="I743" s="94"/>
      <c r="J743" s="59"/>
      <c r="K743" s="94"/>
      <c r="L743" s="94"/>
      <c r="M743" s="94"/>
      <c r="N743" s="59"/>
      <c r="O743" s="88"/>
      <c r="P743" s="95"/>
      <c r="Q743" s="88"/>
      <c r="R743" s="88"/>
      <c r="S743" s="88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</row>
    <row r="744">
      <c r="A744" s="59"/>
      <c r="B744" s="59"/>
      <c r="C744" s="70"/>
      <c r="D744" s="59"/>
      <c r="E744" s="94"/>
      <c r="F744" s="94"/>
      <c r="G744" s="94"/>
      <c r="H744" s="59"/>
      <c r="I744" s="94"/>
      <c r="J744" s="59"/>
      <c r="K744" s="94"/>
      <c r="L744" s="94"/>
      <c r="M744" s="94"/>
      <c r="N744" s="59"/>
      <c r="O744" s="88"/>
      <c r="P744" s="95"/>
      <c r="Q744" s="88"/>
      <c r="R744" s="88"/>
      <c r="S744" s="88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</row>
    <row r="745">
      <c r="A745" s="59"/>
      <c r="B745" s="59"/>
      <c r="C745" s="70"/>
      <c r="D745" s="59"/>
      <c r="E745" s="94"/>
      <c r="F745" s="94"/>
      <c r="G745" s="94"/>
      <c r="H745" s="59"/>
      <c r="I745" s="94"/>
      <c r="J745" s="59"/>
      <c r="K745" s="94"/>
      <c r="L745" s="94"/>
      <c r="M745" s="94"/>
      <c r="N745" s="59"/>
      <c r="O745" s="88"/>
      <c r="P745" s="95"/>
      <c r="Q745" s="88"/>
      <c r="R745" s="88"/>
      <c r="S745" s="88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</row>
    <row r="746">
      <c r="A746" s="59"/>
      <c r="B746" s="59"/>
      <c r="C746" s="70"/>
      <c r="D746" s="59"/>
      <c r="E746" s="94"/>
      <c r="F746" s="94"/>
      <c r="G746" s="94"/>
      <c r="H746" s="59"/>
      <c r="I746" s="94"/>
      <c r="J746" s="59"/>
      <c r="K746" s="94"/>
      <c r="L746" s="94"/>
      <c r="M746" s="94"/>
      <c r="N746" s="59"/>
      <c r="O746" s="88"/>
      <c r="P746" s="95"/>
      <c r="Q746" s="88"/>
      <c r="R746" s="88"/>
      <c r="S746" s="88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</row>
    <row r="747">
      <c r="A747" s="59"/>
      <c r="B747" s="59"/>
      <c r="C747" s="70"/>
      <c r="D747" s="59"/>
      <c r="E747" s="94"/>
      <c r="F747" s="94"/>
      <c r="G747" s="94"/>
      <c r="H747" s="59"/>
      <c r="I747" s="94"/>
      <c r="J747" s="59"/>
      <c r="K747" s="94"/>
      <c r="L747" s="94"/>
      <c r="M747" s="94"/>
      <c r="N747" s="59"/>
      <c r="O747" s="88"/>
      <c r="P747" s="95"/>
      <c r="Q747" s="88"/>
      <c r="R747" s="88"/>
      <c r="S747" s="88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</row>
    <row r="748">
      <c r="A748" s="59"/>
      <c r="B748" s="59"/>
      <c r="C748" s="70"/>
      <c r="D748" s="59"/>
      <c r="E748" s="94"/>
      <c r="F748" s="94"/>
      <c r="G748" s="94"/>
      <c r="H748" s="59"/>
      <c r="I748" s="94"/>
      <c r="J748" s="59"/>
      <c r="K748" s="94"/>
      <c r="L748" s="94"/>
      <c r="M748" s="94"/>
      <c r="N748" s="59"/>
      <c r="O748" s="88"/>
      <c r="P748" s="95"/>
      <c r="Q748" s="88"/>
      <c r="R748" s="88"/>
      <c r="S748" s="88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</row>
    <row r="749">
      <c r="A749" s="59"/>
      <c r="B749" s="59"/>
      <c r="C749" s="70"/>
      <c r="D749" s="59"/>
      <c r="E749" s="94"/>
      <c r="F749" s="94"/>
      <c r="G749" s="94"/>
      <c r="H749" s="59"/>
      <c r="I749" s="94"/>
      <c r="J749" s="59"/>
      <c r="K749" s="94"/>
      <c r="L749" s="94"/>
      <c r="M749" s="94"/>
      <c r="N749" s="59"/>
      <c r="O749" s="88"/>
      <c r="P749" s="95"/>
      <c r="Q749" s="88"/>
      <c r="R749" s="88"/>
      <c r="S749" s="88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</row>
    <row r="750">
      <c r="A750" s="59"/>
      <c r="B750" s="59"/>
      <c r="C750" s="70"/>
      <c r="D750" s="59"/>
      <c r="E750" s="94"/>
      <c r="F750" s="94"/>
      <c r="G750" s="94"/>
      <c r="H750" s="59"/>
      <c r="I750" s="94"/>
      <c r="J750" s="59"/>
      <c r="K750" s="94"/>
      <c r="L750" s="94"/>
      <c r="M750" s="94"/>
      <c r="N750" s="59"/>
      <c r="O750" s="88"/>
      <c r="P750" s="95"/>
      <c r="Q750" s="88"/>
      <c r="R750" s="88"/>
      <c r="S750" s="88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</row>
    <row r="751">
      <c r="A751" s="59"/>
      <c r="B751" s="59"/>
      <c r="C751" s="70"/>
      <c r="D751" s="59"/>
      <c r="E751" s="94"/>
      <c r="F751" s="94"/>
      <c r="G751" s="94"/>
      <c r="H751" s="59"/>
      <c r="I751" s="94"/>
      <c r="J751" s="59"/>
      <c r="K751" s="94"/>
      <c r="L751" s="94"/>
      <c r="M751" s="94"/>
      <c r="N751" s="59"/>
      <c r="O751" s="88"/>
      <c r="P751" s="95"/>
      <c r="Q751" s="88"/>
      <c r="R751" s="88"/>
      <c r="S751" s="88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</row>
    <row r="752">
      <c r="A752" s="59"/>
      <c r="B752" s="59"/>
      <c r="C752" s="70"/>
      <c r="D752" s="59"/>
      <c r="E752" s="94"/>
      <c r="F752" s="94"/>
      <c r="G752" s="94"/>
      <c r="H752" s="59"/>
      <c r="I752" s="94"/>
      <c r="J752" s="59"/>
      <c r="K752" s="94"/>
      <c r="L752" s="94"/>
      <c r="M752" s="94"/>
      <c r="N752" s="59"/>
      <c r="O752" s="88"/>
      <c r="P752" s="95"/>
      <c r="Q752" s="88"/>
      <c r="R752" s="88"/>
      <c r="S752" s="88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</row>
    <row r="753">
      <c r="A753" s="59"/>
      <c r="B753" s="59"/>
      <c r="C753" s="70"/>
      <c r="D753" s="59"/>
      <c r="E753" s="94"/>
      <c r="F753" s="94"/>
      <c r="G753" s="94"/>
      <c r="H753" s="59"/>
      <c r="I753" s="94"/>
      <c r="J753" s="59"/>
      <c r="K753" s="94"/>
      <c r="L753" s="94"/>
      <c r="M753" s="94"/>
      <c r="N753" s="59"/>
      <c r="O753" s="88"/>
      <c r="P753" s="95"/>
      <c r="Q753" s="88"/>
      <c r="R753" s="88"/>
      <c r="S753" s="88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</row>
    <row r="754">
      <c r="A754" s="59"/>
      <c r="B754" s="59"/>
      <c r="C754" s="70"/>
      <c r="D754" s="59"/>
      <c r="E754" s="94"/>
      <c r="F754" s="94"/>
      <c r="G754" s="94"/>
      <c r="H754" s="59"/>
      <c r="I754" s="94"/>
      <c r="J754" s="59"/>
      <c r="K754" s="94"/>
      <c r="L754" s="94"/>
      <c r="M754" s="94"/>
      <c r="N754" s="59"/>
      <c r="O754" s="88"/>
      <c r="P754" s="95"/>
      <c r="Q754" s="88"/>
      <c r="R754" s="88"/>
      <c r="S754" s="88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</row>
    <row r="755">
      <c r="A755" s="59"/>
      <c r="B755" s="59"/>
      <c r="C755" s="70"/>
      <c r="D755" s="59"/>
      <c r="E755" s="94"/>
      <c r="F755" s="94"/>
      <c r="G755" s="94"/>
      <c r="H755" s="59"/>
      <c r="I755" s="94"/>
      <c r="J755" s="59"/>
      <c r="K755" s="94"/>
      <c r="L755" s="94"/>
      <c r="M755" s="94"/>
      <c r="N755" s="59"/>
      <c r="O755" s="88"/>
      <c r="P755" s="95"/>
      <c r="Q755" s="88"/>
      <c r="R755" s="88"/>
      <c r="S755" s="88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</row>
    <row r="756">
      <c r="A756" s="59"/>
      <c r="B756" s="59"/>
      <c r="C756" s="70"/>
      <c r="D756" s="59"/>
      <c r="E756" s="94"/>
      <c r="F756" s="94"/>
      <c r="G756" s="94"/>
      <c r="H756" s="59"/>
      <c r="I756" s="94"/>
      <c r="J756" s="59"/>
      <c r="K756" s="94"/>
      <c r="L756" s="94"/>
      <c r="M756" s="94"/>
      <c r="N756" s="59"/>
      <c r="O756" s="88"/>
      <c r="P756" s="95"/>
      <c r="Q756" s="88"/>
      <c r="R756" s="88"/>
      <c r="S756" s="88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</row>
    <row r="757">
      <c r="A757" s="59"/>
      <c r="B757" s="59"/>
      <c r="C757" s="70"/>
      <c r="D757" s="59"/>
      <c r="E757" s="94"/>
      <c r="F757" s="94"/>
      <c r="G757" s="94"/>
      <c r="H757" s="59"/>
      <c r="I757" s="94"/>
      <c r="J757" s="59"/>
      <c r="K757" s="94"/>
      <c r="L757" s="94"/>
      <c r="M757" s="94"/>
      <c r="N757" s="59"/>
      <c r="O757" s="88"/>
      <c r="P757" s="95"/>
      <c r="Q757" s="88"/>
      <c r="R757" s="88"/>
      <c r="S757" s="88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</row>
    <row r="758">
      <c r="A758" s="59"/>
      <c r="B758" s="59"/>
      <c r="C758" s="70"/>
      <c r="D758" s="59"/>
      <c r="E758" s="94"/>
      <c r="F758" s="94"/>
      <c r="G758" s="94"/>
      <c r="H758" s="59"/>
      <c r="I758" s="94"/>
      <c r="J758" s="59"/>
      <c r="K758" s="94"/>
      <c r="L758" s="94"/>
      <c r="M758" s="94"/>
      <c r="N758" s="59"/>
      <c r="O758" s="88"/>
      <c r="P758" s="95"/>
      <c r="Q758" s="88"/>
      <c r="R758" s="88"/>
      <c r="S758" s="88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</row>
    <row r="759">
      <c r="A759" s="59"/>
      <c r="B759" s="59"/>
      <c r="C759" s="70"/>
      <c r="D759" s="59"/>
      <c r="E759" s="94"/>
      <c r="F759" s="94"/>
      <c r="G759" s="94"/>
      <c r="H759" s="59"/>
      <c r="I759" s="94"/>
      <c r="J759" s="59"/>
      <c r="K759" s="94"/>
      <c r="L759" s="94"/>
      <c r="M759" s="94"/>
      <c r="N759" s="59"/>
      <c r="O759" s="88"/>
      <c r="P759" s="95"/>
      <c r="Q759" s="88"/>
      <c r="R759" s="88"/>
      <c r="S759" s="88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</row>
    <row r="760">
      <c r="A760" s="59"/>
      <c r="B760" s="59"/>
      <c r="C760" s="70"/>
      <c r="D760" s="59"/>
      <c r="E760" s="94"/>
      <c r="F760" s="94"/>
      <c r="G760" s="94"/>
      <c r="H760" s="59"/>
      <c r="I760" s="94"/>
      <c r="J760" s="59"/>
      <c r="K760" s="94"/>
      <c r="L760" s="94"/>
      <c r="M760" s="94"/>
      <c r="N760" s="59"/>
      <c r="O760" s="88"/>
      <c r="P760" s="95"/>
      <c r="Q760" s="88"/>
      <c r="R760" s="88"/>
      <c r="S760" s="88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</row>
    <row r="761">
      <c r="A761" s="59"/>
      <c r="B761" s="59"/>
      <c r="C761" s="70"/>
      <c r="D761" s="59"/>
      <c r="E761" s="94"/>
      <c r="F761" s="94"/>
      <c r="G761" s="94"/>
      <c r="H761" s="59"/>
      <c r="I761" s="94"/>
      <c r="J761" s="59"/>
      <c r="K761" s="94"/>
      <c r="L761" s="94"/>
      <c r="M761" s="94"/>
      <c r="N761" s="59"/>
      <c r="O761" s="88"/>
      <c r="P761" s="95"/>
      <c r="Q761" s="88"/>
      <c r="R761" s="88"/>
      <c r="S761" s="88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</row>
    <row r="762">
      <c r="A762" s="59"/>
      <c r="B762" s="59"/>
      <c r="C762" s="70"/>
      <c r="D762" s="59"/>
      <c r="E762" s="94"/>
      <c r="F762" s="94"/>
      <c r="G762" s="94"/>
      <c r="H762" s="59"/>
      <c r="I762" s="94"/>
      <c r="J762" s="59"/>
      <c r="K762" s="94"/>
      <c r="L762" s="94"/>
      <c r="M762" s="94"/>
      <c r="N762" s="59"/>
      <c r="O762" s="88"/>
      <c r="P762" s="95"/>
      <c r="Q762" s="88"/>
      <c r="R762" s="88"/>
      <c r="S762" s="88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</row>
    <row r="763">
      <c r="A763" s="59"/>
      <c r="B763" s="59"/>
      <c r="C763" s="70"/>
      <c r="D763" s="59"/>
      <c r="E763" s="94"/>
      <c r="F763" s="94"/>
      <c r="G763" s="94"/>
      <c r="H763" s="59"/>
      <c r="I763" s="94"/>
      <c r="J763" s="59"/>
      <c r="K763" s="94"/>
      <c r="L763" s="94"/>
      <c r="M763" s="94"/>
      <c r="N763" s="59"/>
      <c r="O763" s="88"/>
      <c r="P763" s="95"/>
      <c r="Q763" s="88"/>
      <c r="R763" s="88"/>
      <c r="S763" s="88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</row>
    <row r="764">
      <c r="A764" s="59"/>
      <c r="B764" s="59"/>
      <c r="C764" s="70"/>
      <c r="D764" s="59"/>
      <c r="E764" s="94"/>
      <c r="F764" s="94"/>
      <c r="G764" s="94"/>
      <c r="H764" s="59"/>
      <c r="I764" s="94"/>
      <c r="J764" s="59"/>
      <c r="K764" s="94"/>
      <c r="L764" s="94"/>
      <c r="M764" s="94"/>
      <c r="N764" s="59"/>
      <c r="O764" s="88"/>
      <c r="P764" s="95"/>
      <c r="Q764" s="88"/>
      <c r="R764" s="88"/>
      <c r="S764" s="88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</row>
    <row r="765">
      <c r="A765" s="59"/>
      <c r="B765" s="59"/>
      <c r="C765" s="70"/>
      <c r="D765" s="59"/>
      <c r="E765" s="94"/>
      <c r="F765" s="94"/>
      <c r="G765" s="94"/>
      <c r="H765" s="59"/>
      <c r="I765" s="94"/>
      <c r="J765" s="59"/>
      <c r="K765" s="94"/>
      <c r="L765" s="94"/>
      <c r="M765" s="94"/>
      <c r="N765" s="59"/>
      <c r="O765" s="88"/>
      <c r="P765" s="95"/>
      <c r="Q765" s="88"/>
      <c r="R765" s="88"/>
      <c r="S765" s="88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</row>
    <row r="766">
      <c r="A766" s="59"/>
      <c r="B766" s="59"/>
      <c r="C766" s="70"/>
      <c r="D766" s="59"/>
      <c r="E766" s="94"/>
      <c r="F766" s="94"/>
      <c r="G766" s="94"/>
      <c r="H766" s="59"/>
      <c r="I766" s="94"/>
      <c r="J766" s="59"/>
      <c r="K766" s="94"/>
      <c r="L766" s="94"/>
      <c r="M766" s="94"/>
      <c r="N766" s="59"/>
      <c r="O766" s="88"/>
      <c r="P766" s="95"/>
      <c r="Q766" s="88"/>
      <c r="R766" s="88"/>
      <c r="S766" s="88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</row>
    <row r="767">
      <c r="A767" s="59"/>
      <c r="B767" s="59"/>
      <c r="C767" s="70"/>
      <c r="D767" s="59"/>
      <c r="E767" s="94"/>
      <c r="F767" s="94"/>
      <c r="G767" s="94"/>
      <c r="H767" s="59"/>
      <c r="I767" s="94"/>
      <c r="J767" s="59"/>
      <c r="K767" s="94"/>
      <c r="L767" s="94"/>
      <c r="M767" s="94"/>
      <c r="N767" s="59"/>
      <c r="O767" s="88"/>
      <c r="P767" s="95"/>
      <c r="Q767" s="88"/>
      <c r="R767" s="88"/>
      <c r="S767" s="88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</row>
    <row r="768">
      <c r="A768" s="59"/>
      <c r="B768" s="59"/>
      <c r="C768" s="70"/>
      <c r="D768" s="59"/>
      <c r="E768" s="94"/>
      <c r="F768" s="94"/>
      <c r="G768" s="94"/>
      <c r="H768" s="59"/>
      <c r="I768" s="94"/>
      <c r="J768" s="59"/>
      <c r="K768" s="94"/>
      <c r="L768" s="94"/>
      <c r="M768" s="94"/>
      <c r="N768" s="59"/>
      <c r="O768" s="88"/>
      <c r="P768" s="95"/>
      <c r="Q768" s="88"/>
      <c r="R768" s="88"/>
      <c r="S768" s="88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</row>
    <row r="769">
      <c r="A769" s="59"/>
      <c r="B769" s="59"/>
      <c r="C769" s="70"/>
      <c r="D769" s="59"/>
      <c r="E769" s="94"/>
      <c r="F769" s="94"/>
      <c r="G769" s="94"/>
      <c r="H769" s="59"/>
      <c r="I769" s="94"/>
      <c r="J769" s="59"/>
      <c r="K769" s="94"/>
      <c r="L769" s="94"/>
      <c r="M769" s="94"/>
      <c r="N769" s="59"/>
      <c r="O769" s="88"/>
      <c r="P769" s="95"/>
      <c r="Q769" s="88"/>
      <c r="R769" s="88"/>
      <c r="S769" s="88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</row>
    <row r="770">
      <c r="A770" s="59"/>
      <c r="B770" s="59"/>
      <c r="C770" s="70"/>
      <c r="D770" s="59"/>
      <c r="E770" s="94"/>
      <c r="F770" s="94"/>
      <c r="G770" s="94"/>
      <c r="H770" s="59"/>
      <c r="I770" s="94"/>
      <c r="J770" s="59"/>
      <c r="K770" s="94"/>
      <c r="L770" s="94"/>
      <c r="M770" s="94"/>
      <c r="N770" s="59"/>
      <c r="O770" s="88"/>
      <c r="P770" s="95"/>
      <c r="Q770" s="88"/>
      <c r="R770" s="88"/>
      <c r="S770" s="88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</row>
    <row r="771">
      <c r="A771" s="59"/>
      <c r="B771" s="59"/>
      <c r="C771" s="70"/>
      <c r="D771" s="59"/>
      <c r="E771" s="94"/>
      <c r="F771" s="94"/>
      <c r="G771" s="94"/>
      <c r="H771" s="59"/>
      <c r="I771" s="94"/>
      <c r="J771" s="59"/>
      <c r="K771" s="94"/>
      <c r="L771" s="94"/>
      <c r="M771" s="94"/>
      <c r="N771" s="59"/>
      <c r="O771" s="88"/>
      <c r="P771" s="95"/>
      <c r="Q771" s="88"/>
      <c r="R771" s="88"/>
      <c r="S771" s="88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</row>
    <row r="772">
      <c r="A772" s="59"/>
      <c r="B772" s="59"/>
      <c r="C772" s="70"/>
      <c r="D772" s="59"/>
      <c r="E772" s="94"/>
      <c r="F772" s="94"/>
      <c r="G772" s="94"/>
      <c r="H772" s="59"/>
      <c r="I772" s="94"/>
      <c r="J772" s="59"/>
      <c r="K772" s="94"/>
      <c r="L772" s="94"/>
      <c r="M772" s="94"/>
      <c r="N772" s="59"/>
      <c r="O772" s="88"/>
      <c r="P772" s="95"/>
      <c r="Q772" s="88"/>
      <c r="R772" s="88"/>
      <c r="S772" s="88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</row>
    <row r="773">
      <c r="A773" s="59"/>
      <c r="B773" s="59"/>
      <c r="C773" s="70"/>
      <c r="D773" s="59"/>
      <c r="E773" s="94"/>
      <c r="F773" s="94"/>
      <c r="G773" s="94"/>
      <c r="H773" s="59"/>
      <c r="I773" s="94"/>
      <c r="J773" s="59"/>
      <c r="K773" s="94"/>
      <c r="L773" s="94"/>
      <c r="M773" s="94"/>
      <c r="N773" s="59"/>
      <c r="O773" s="88"/>
      <c r="P773" s="95"/>
      <c r="Q773" s="88"/>
      <c r="R773" s="88"/>
      <c r="S773" s="88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</row>
    <row r="774">
      <c r="A774" s="59"/>
      <c r="B774" s="59"/>
      <c r="C774" s="70"/>
      <c r="D774" s="59"/>
      <c r="E774" s="94"/>
      <c r="F774" s="94"/>
      <c r="G774" s="94"/>
      <c r="H774" s="59"/>
      <c r="I774" s="94"/>
      <c r="J774" s="59"/>
      <c r="K774" s="94"/>
      <c r="L774" s="94"/>
      <c r="M774" s="94"/>
      <c r="N774" s="59"/>
      <c r="O774" s="88"/>
      <c r="P774" s="95"/>
      <c r="Q774" s="88"/>
      <c r="R774" s="88"/>
      <c r="S774" s="88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</row>
    <row r="775">
      <c r="A775" s="59"/>
      <c r="B775" s="59"/>
      <c r="C775" s="70"/>
      <c r="D775" s="59"/>
      <c r="E775" s="94"/>
      <c r="F775" s="94"/>
      <c r="G775" s="94"/>
      <c r="H775" s="59"/>
      <c r="I775" s="94"/>
      <c r="J775" s="59"/>
      <c r="K775" s="94"/>
      <c r="L775" s="94"/>
      <c r="M775" s="94"/>
      <c r="N775" s="59"/>
      <c r="O775" s="88"/>
      <c r="P775" s="95"/>
      <c r="Q775" s="88"/>
      <c r="R775" s="88"/>
      <c r="S775" s="88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</row>
    <row r="776">
      <c r="A776" s="59"/>
      <c r="B776" s="59"/>
      <c r="C776" s="70"/>
      <c r="D776" s="59"/>
      <c r="E776" s="94"/>
      <c r="F776" s="94"/>
      <c r="G776" s="94"/>
      <c r="H776" s="59"/>
      <c r="I776" s="94"/>
      <c r="J776" s="59"/>
      <c r="K776" s="94"/>
      <c r="L776" s="94"/>
      <c r="M776" s="94"/>
      <c r="N776" s="59"/>
      <c r="O776" s="88"/>
      <c r="P776" s="95"/>
      <c r="Q776" s="88"/>
      <c r="R776" s="88"/>
      <c r="S776" s="88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</row>
    <row r="777">
      <c r="A777" s="59"/>
      <c r="B777" s="59"/>
      <c r="C777" s="70"/>
      <c r="D777" s="59"/>
      <c r="E777" s="94"/>
      <c r="F777" s="94"/>
      <c r="G777" s="94"/>
      <c r="H777" s="59"/>
      <c r="I777" s="94"/>
      <c r="J777" s="59"/>
      <c r="K777" s="94"/>
      <c r="L777" s="94"/>
      <c r="M777" s="94"/>
      <c r="N777" s="59"/>
      <c r="O777" s="88"/>
      <c r="P777" s="95"/>
      <c r="Q777" s="88"/>
      <c r="R777" s="88"/>
      <c r="S777" s="88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</row>
    <row r="778">
      <c r="A778" s="59"/>
      <c r="B778" s="59"/>
      <c r="C778" s="70"/>
      <c r="D778" s="59"/>
      <c r="E778" s="94"/>
      <c r="F778" s="94"/>
      <c r="G778" s="94"/>
      <c r="H778" s="59"/>
      <c r="I778" s="94"/>
      <c r="J778" s="59"/>
      <c r="K778" s="94"/>
      <c r="L778" s="94"/>
      <c r="M778" s="94"/>
      <c r="N778" s="59"/>
      <c r="O778" s="88"/>
      <c r="P778" s="95"/>
      <c r="Q778" s="88"/>
      <c r="R778" s="88"/>
      <c r="S778" s="88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</row>
    <row r="779">
      <c r="A779" s="59"/>
      <c r="B779" s="59"/>
      <c r="C779" s="70"/>
      <c r="D779" s="59"/>
      <c r="E779" s="94"/>
      <c r="F779" s="94"/>
      <c r="G779" s="94"/>
      <c r="H779" s="59"/>
      <c r="I779" s="94"/>
      <c r="J779" s="59"/>
      <c r="K779" s="94"/>
      <c r="L779" s="94"/>
      <c r="M779" s="94"/>
      <c r="N779" s="59"/>
      <c r="O779" s="88"/>
      <c r="P779" s="95"/>
      <c r="Q779" s="88"/>
      <c r="R779" s="88"/>
      <c r="S779" s="88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</row>
    <row r="780">
      <c r="A780" s="59"/>
      <c r="B780" s="59"/>
      <c r="C780" s="70"/>
      <c r="D780" s="59"/>
      <c r="E780" s="94"/>
      <c r="F780" s="94"/>
      <c r="G780" s="94"/>
      <c r="H780" s="59"/>
      <c r="I780" s="94"/>
      <c r="J780" s="59"/>
      <c r="K780" s="94"/>
      <c r="L780" s="94"/>
      <c r="M780" s="94"/>
      <c r="N780" s="59"/>
      <c r="O780" s="88"/>
      <c r="P780" s="95"/>
      <c r="Q780" s="88"/>
      <c r="R780" s="88"/>
      <c r="S780" s="88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</row>
    <row r="781">
      <c r="A781" s="59"/>
      <c r="B781" s="59"/>
      <c r="C781" s="70"/>
      <c r="D781" s="59"/>
      <c r="E781" s="94"/>
      <c r="F781" s="94"/>
      <c r="G781" s="94"/>
      <c r="H781" s="59"/>
      <c r="I781" s="94"/>
      <c r="J781" s="59"/>
      <c r="K781" s="94"/>
      <c r="L781" s="94"/>
      <c r="M781" s="94"/>
      <c r="N781" s="59"/>
      <c r="O781" s="88"/>
      <c r="P781" s="95"/>
      <c r="Q781" s="88"/>
      <c r="R781" s="88"/>
      <c r="S781" s="88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</row>
    <row r="782">
      <c r="A782" s="59"/>
      <c r="B782" s="59"/>
      <c r="C782" s="70"/>
      <c r="D782" s="59"/>
      <c r="E782" s="94"/>
      <c r="F782" s="94"/>
      <c r="G782" s="94"/>
      <c r="H782" s="59"/>
      <c r="I782" s="94"/>
      <c r="J782" s="59"/>
      <c r="K782" s="94"/>
      <c r="L782" s="94"/>
      <c r="M782" s="94"/>
      <c r="N782" s="59"/>
      <c r="O782" s="88"/>
      <c r="P782" s="95"/>
      <c r="Q782" s="88"/>
      <c r="R782" s="88"/>
      <c r="S782" s="88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</row>
    <row r="783">
      <c r="A783" s="59"/>
      <c r="B783" s="59"/>
      <c r="C783" s="70"/>
      <c r="D783" s="59"/>
      <c r="E783" s="94"/>
      <c r="F783" s="94"/>
      <c r="G783" s="94"/>
      <c r="H783" s="59"/>
      <c r="I783" s="94"/>
      <c r="J783" s="59"/>
      <c r="K783" s="94"/>
      <c r="L783" s="94"/>
      <c r="M783" s="94"/>
      <c r="N783" s="59"/>
      <c r="O783" s="88"/>
      <c r="P783" s="95"/>
      <c r="Q783" s="88"/>
      <c r="R783" s="88"/>
      <c r="S783" s="88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</row>
    <row r="784">
      <c r="A784" s="59"/>
      <c r="B784" s="59"/>
      <c r="C784" s="70"/>
      <c r="D784" s="59"/>
      <c r="E784" s="94"/>
      <c r="F784" s="94"/>
      <c r="G784" s="94"/>
      <c r="H784" s="59"/>
      <c r="I784" s="94"/>
      <c r="J784" s="59"/>
      <c r="K784" s="94"/>
      <c r="L784" s="94"/>
      <c r="M784" s="94"/>
      <c r="N784" s="59"/>
      <c r="O784" s="88"/>
      <c r="P784" s="95"/>
      <c r="Q784" s="88"/>
      <c r="R784" s="88"/>
      <c r="S784" s="88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</row>
    <row r="785">
      <c r="A785" s="59"/>
      <c r="B785" s="59"/>
      <c r="C785" s="70"/>
      <c r="D785" s="59"/>
      <c r="E785" s="94"/>
      <c r="F785" s="94"/>
      <c r="G785" s="94"/>
      <c r="H785" s="59"/>
      <c r="I785" s="94"/>
      <c r="J785" s="59"/>
      <c r="K785" s="94"/>
      <c r="L785" s="94"/>
      <c r="M785" s="94"/>
      <c r="N785" s="59"/>
      <c r="O785" s="88"/>
      <c r="P785" s="95"/>
      <c r="Q785" s="88"/>
      <c r="R785" s="88"/>
      <c r="S785" s="88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</row>
    <row r="786">
      <c r="A786" s="59"/>
      <c r="B786" s="59"/>
      <c r="C786" s="70"/>
      <c r="D786" s="59"/>
      <c r="E786" s="94"/>
      <c r="F786" s="94"/>
      <c r="G786" s="94"/>
      <c r="H786" s="59"/>
      <c r="I786" s="94"/>
      <c r="J786" s="59"/>
      <c r="K786" s="94"/>
      <c r="L786" s="94"/>
      <c r="M786" s="94"/>
      <c r="N786" s="59"/>
      <c r="O786" s="88"/>
      <c r="P786" s="95"/>
      <c r="Q786" s="88"/>
      <c r="R786" s="88"/>
      <c r="S786" s="88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</row>
    <row r="787">
      <c r="A787" s="59"/>
      <c r="B787" s="59"/>
      <c r="C787" s="70"/>
      <c r="D787" s="59"/>
      <c r="E787" s="94"/>
      <c r="F787" s="94"/>
      <c r="G787" s="94"/>
      <c r="H787" s="59"/>
      <c r="I787" s="94"/>
      <c r="J787" s="59"/>
      <c r="K787" s="94"/>
      <c r="L787" s="94"/>
      <c r="M787" s="94"/>
      <c r="N787" s="59"/>
      <c r="O787" s="88"/>
      <c r="P787" s="95"/>
      <c r="Q787" s="88"/>
      <c r="R787" s="88"/>
      <c r="S787" s="88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</row>
    <row r="788">
      <c r="A788" s="59"/>
      <c r="B788" s="59"/>
      <c r="C788" s="70"/>
      <c r="D788" s="59"/>
      <c r="E788" s="94"/>
      <c r="F788" s="94"/>
      <c r="G788" s="94"/>
      <c r="H788" s="59"/>
      <c r="I788" s="94"/>
      <c r="J788" s="59"/>
      <c r="K788" s="94"/>
      <c r="L788" s="94"/>
      <c r="M788" s="94"/>
      <c r="N788" s="59"/>
      <c r="O788" s="88"/>
      <c r="P788" s="95"/>
      <c r="Q788" s="88"/>
      <c r="R788" s="88"/>
      <c r="S788" s="88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</row>
    <row r="789">
      <c r="A789" s="59"/>
      <c r="B789" s="59"/>
      <c r="C789" s="70"/>
      <c r="D789" s="59"/>
      <c r="E789" s="94"/>
      <c r="F789" s="94"/>
      <c r="G789" s="94"/>
      <c r="H789" s="59"/>
      <c r="I789" s="94"/>
      <c r="J789" s="59"/>
      <c r="K789" s="94"/>
      <c r="L789" s="94"/>
      <c r="M789" s="94"/>
      <c r="N789" s="59"/>
      <c r="O789" s="88"/>
      <c r="P789" s="95"/>
      <c r="Q789" s="88"/>
      <c r="R789" s="88"/>
      <c r="S789" s="88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</row>
    <row r="790">
      <c r="A790" s="59"/>
      <c r="B790" s="59"/>
      <c r="C790" s="70"/>
      <c r="D790" s="59"/>
      <c r="E790" s="94"/>
      <c r="F790" s="94"/>
      <c r="G790" s="94"/>
      <c r="H790" s="59"/>
      <c r="I790" s="94"/>
      <c r="J790" s="59"/>
      <c r="K790" s="94"/>
      <c r="L790" s="94"/>
      <c r="M790" s="94"/>
      <c r="N790" s="59"/>
      <c r="O790" s="88"/>
      <c r="P790" s="95"/>
      <c r="Q790" s="88"/>
      <c r="R790" s="88"/>
      <c r="S790" s="88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</row>
    <row r="791">
      <c r="A791" s="59"/>
      <c r="B791" s="59"/>
      <c r="C791" s="70"/>
      <c r="D791" s="59"/>
      <c r="E791" s="94"/>
      <c r="F791" s="94"/>
      <c r="G791" s="94"/>
      <c r="H791" s="59"/>
      <c r="I791" s="94"/>
      <c r="J791" s="59"/>
      <c r="K791" s="94"/>
      <c r="L791" s="94"/>
      <c r="M791" s="94"/>
      <c r="N791" s="59"/>
      <c r="O791" s="88"/>
      <c r="P791" s="95"/>
      <c r="Q791" s="88"/>
      <c r="R791" s="88"/>
      <c r="S791" s="88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</row>
    <row r="792">
      <c r="A792" s="59"/>
      <c r="B792" s="59"/>
      <c r="C792" s="70"/>
      <c r="D792" s="59"/>
      <c r="E792" s="94"/>
      <c r="F792" s="94"/>
      <c r="G792" s="94"/>
      <c r="H792" s="59"/>
      <c r="I792" s="94"/>
      <c r="J792" s="59"/>
      <c r="K792" s="94"/>
      <c r="L792" s="94"/>
      <c r="M792" s="94"/>
      <c r="N792" s="59"/>
      <c r="O792" s="88"/>
      <c r="P792" s="95"/>
      <c r="Q792" s="88"/>
      <c r="R792" s="88"/>
      <c r="S792" s="88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</row>
    <row r="793">
      <c r="A793" s="59"/>
      <c r="B793" s="59"/>
      <c r="C793" s="70"/>
      <c r="D793" s="59"/>
      <c r="E793" s="94"/>
      <c r="F793" s="94"/>
      <c r="G793" s="94"/>
      <c r="H793" s="59"/>
      <c r="I793" s="94"/>
      <c r="J793" s="59"/>
      <c r="K793" s="94"/>
      <c r="L793" s="94"/>
      <c r="M793" s="94"/>
      <c r="N793" s="59"/>
      <c r="O793" s="88"/>
      <c r="P793" s="95"/>
      <c r="Q793" s="88"/>
      <c r="R793" s="88"/>
      <c r="S793" s="88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</row>
    <row r="794">
      <c r="A794" s="59"/>
      <c r="B794" s="59"/>
      <c r="C794" s="70"/>
      <c r="D794" s="59"/>
      <c r="E794" s="94"/>
      <c r="F794" s="94"/>
      <c r="G794" s="94"/>
      <c r="H794" s="59"/>
      <c r="I794" s="94"/>
      <c r="J794" s="59"/>
      <c r="K794" s="94"/>
      <c r="L794" s="94"/>
      <c r="M794" s="94"/>
      <c r="N794" s="59"/>
      <c r="O794" s="88"/>
      <c r="P794" s="95"/>
      <c r="Q794" s="88"/>
      <c r="R794" s="88"/>
      <c r="S794" s="88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</row>
    <row r="795">
      <c r="A795" s="59"/>
      <c r="B795" s="59"/>
      <c r="C795" s="70"/>
      <c r="D795" s="59"/>
      <c r="E795" s="94"/>
      <c r="F795" s="94"/>
      <c r="G795" s="94"/>
      <c r="H795" s="59"/>
      <c r="I795" s="94"/>
      <c r="J795" s="59"/>
      <c r="K795" s="94"/>
      <c r="L795" s="94"/>
      <c r="M795" s="94"/>
      <c r="N795" s="59"/>
      <c r="O795" s="88"/>
      <c r="P795" s="95"/>
      <c r="Q795" s="88"/>
      <c r="R795" s="88"/>
      <c r="S795" s="88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</row>
    <row r="796">
      <c r="A796" s="59"/>
      <c r="B796" s="59"/>
      <c r="C796" s="70"/>
      <c r="D796" s="59"/>
      <c r="E796" s="94"/>
      <c r="F796" s="94"/>
      <c r="G796" s="94"/>
      <c r="H796" s="59"/>
      <c r="I796" s="94"/>
      <c r="J796" s="59"/>
      <c r="K796" s="94"/>
      <c r="L796" s="94"/>
      <c r="M796" s="94"/>
      <c r="N796" s="59"/>
      <c r="O796" s="88"/>
      <c r="P796" s="95"/>
      <c r="Q796" s="88"/>
      <c r="R796" s="88"/>
      <c r="S796" s="88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</row>
    <row r="797">
      <c r="A797" s="59"/>
      <c r="B797" s="59"/>
      <c r="C797" s="70"/>
      <c r="D797" s="59"/>
      <c r="E797" s="94"/>
      <c r="F797" s="94"/>
      <c r="G797" s="94"/>
      <c r="H797" s="59"/>
      <c r="I797" s="94"/>
      <c r="J797" s="59"/>
      <c r="K797" s="94"/>
      <c r="L797" s="94"/>
      <c r="M797" s="94"/>
      <c r="N797" s="59"/>
      <c r="O797" s="88"/>
      <c r="P797" s="95"/>
      <c r="Q797" s="88"/>
      <c r="R797" s="88"/>
      <c r="S797" s="88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</row>
    <row r="798">
      <c r="A798" s="59"/>
      <c r="B798" s="59"/>
      <c r="C798" s="70"/>
      <c r="D798" s="59"/>
      <c r="E798" s="94"/>
      <c r="F798" s="94"/>
      <c r="G798" s="94"/>
      <c r="H798" s="59"/>
      <c r="I798" s="94"/>
      <c r="J798" s="59"/>
      <c r="K798" s="94"/>
      <c r="L798" s="94"/>
      <c r="M798" s="94"/>
      <c r="N798" s="59"/>
      <c r="O798" s="88"/>
      <c r="P798" s="95"/>
      <c r="Q798" s="88"/>
      <c r="R798" s="88"/>
      <c r="S798" s="88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</row>
    <row r="799">
      <c r="A799" s="59"/>
      <c r="B799" s="59"/>
      <c r="C799" s="70"/>
      <c r="D799" s="59"/>
      <c r="E799" s="94"/>
      <c r="F799" s="94"/>
      <c r="G799" s="94"/>
      <c r="H799" s="59"/>
      <c r="I799" s="94"/>
      <c r="J799" s="59"/>
      <c r="K799" s="94"/>
      <c r="L799" s="94"/>
      <c r="M799" s="94"/>
      <c r="N799" s="59"/>
      <c r="O799" s="88"/>
      <c r="P799" s="95"/>
      <c r="Q799" s="88"/>
      <c r="R799" s="88"/>
      <c r="S799" s="88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</row>
    <row r="800">
      <c r="A800" s="59"/>
      <c r="B800" s="59"/>
      <c r="C800" s="70"/>
      <c r="D800" s="59"/>
      <c r="E800" s="94"/>
      <c r="F800" s="94"/>
      <c r="G800" s="94"/>
      <c r="H800" s="59"/>
      <c r="I800" s="94"/>
      <c r="J800" s="59"/>
      <c r="K800" s="94"/>
      <c r="L800" s="94"/>
      <c r="M800" s="94"/>
      <c r="N800" s="59"/>
      <c r="O800" s="88"/>
      <c r="P800" s="95"/>
      <c r="Q800" s="88"/>
      <c r="R800" s="88"/>
      <c r="S800" s="88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</row>
    <row r="801">
      <c r="A801" s="59"/>
      <c r="B801" s="59"/>
      <c r="C801" s="70"/>
      <c r="D801" s="59"/>
      <c r="E801" s="94"/>
      <c r="F801" s="94"/>
      <c r="G801" s="94"/>
      <c r="H801" s="59"/>
      <c r="I801" s="94"/>
      <c r="J801" s="59"/>
      <c r="K801" s="94"/>
      <c r="L801" s="94"/>
      <c r="M801" s="94"/>
      <c r="N801" s="59"/>
      <c r="O801" s="88"/>
      <c r="P801" s="95"/>
      <c r="Q801" s="88"/>
      <c r="R801" s="88"/>
      <c r="S801" s="88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</row>
    <row r="802">
      <c r="A802" s="59"/>
      <c r="B802" s="59"/>
      <c r="C802" s="70"/>
      <c r="D802" s="59"/>
      <c r="E802" s="94"/>
      <c r="F802" s="94"/>
      <c r="G802" s="94"/>
      <c r="H802" s="59"/>
      <c r="I802" s="94"/>
      <c r="J802" s="59"/>
      <c r="K802" s="94"/>
      <c r="L802" s="94"/>
      <c r="M802" s="94"/>
      <c r="N802" s="59"/>
      <c r="O802" s="88"/>
      <c r="P802" s="95"/>
      <c r="Q802" s="88"/>
      <c r="R802" s="88"/>
      <c r="S802" s="88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</row>
    <row r="803">
      <c r="A803" s="59"/>
      <c r="B803" s="59"/>
      <c r="C803" s="70"/>
      <c r="D803" s="59"/>
      <c r="E803" s="94"/>
      <c r="F803" s="94"/>
      <c r="G803" s="94"/>
      <c r="H803" s="59"/>
      <c r="I803" s="94"/>
      <c r="J803" s="59"/>
      <c r="K803" s="94"/>
      <c r="L803" s="94"/>
      <c r="M803" s="94"/>
      <c r="N803" s="59"/>
      <c r="O803" s="88"/>
      <c r="P803" s="95"/>
      <c r="Q803" s="88"/>
      <c r="R803" s="88"/>
      <c r="S803" s="88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</row>
    <row r="804">
      <c r="A804" s="59"/>
      <c r="B804" s="59"/>
      <c r="C804" s="70"/>
      <c r="D804" s="59"/>
      <c r="E804" s="94"/>
      <c r="F804" s="94"/>
      <c r="G804" s="94"/>
      <c r="H804" s="59"/>
      <c r="I804" s="94"/>
      <c r="J804" s="59"/>
      <c r="K804" s="94"/>
      <c r="L804" s="94"/>
      <c r="M804" s="94"/>
      <c r="N804" s="59"/>
      <c r="O804" s="88"/>
      <c r="P804" s="95"/>
      <c r="Q804" s="88"/>
      <c r="R804" s="88"/>
      <c r="S804" s="88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</row>
    <row r="805">
      <c r="A805" s="59"/>
      <c r="B805" s="59"/>
      <c r="C805" s="70"/>
      <c r="D805" s="59"/>
      <c r="E805" s="94"/>
      <c r="F805" s="94"/>
      <c r="G805" s="94"/>
      <c r="H805" s="59"/>
      <c r="I805" s="94"/>
      <c r="J805" s="59"/>
      <c r="K805" s="94"/>
      <c r="L805" s="94"/>
      <c r="M805" s="94"/>
      <c r="N805" s="59"/>
      <c r="O805" s="88"/>
      <c r="P805" s="95"/>
      <c r="Q805" s="88"/>
      <c r="R805" s="88"/>
      <c r="S805" s="88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</row>
    <row r="806">
      <c r="A806" s="59"/>
      <c r="B806" s="59"/>
      <c r="C806" s="70"/>
      <c r="D806" s="59"/>
      <c r="E806" s="94"/>
      <c r="F806" s="94"/>
      <c r="G806" s="94"/>
      <c r="H806" s="59"/>
      <c r="I806" s="94"/>
      <c r="J806" s="59"/>
      <c r="K806" s="94"/>
      <c r="L806" s="94"/>
      <c r="M806" s="94"/>
      <c r="N806" s="59"/>
      <c r="O806" s="88"/>
      <c r="P806" s="95"/>
      <c r="Q806" s="88"/>
      <c r="R806" s="88"/>
      <c r="S806" s="88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</row>
    <row r="807">
      <c r="A807" s="59"/>
      <c r="B807" s="59"/>
      <c r="C807" s="70"/>
      <c r="D807" s="59"/>
      <c r="E807" s="94"/>
      <c r="F807" s="94"/>
      <c r="G807" s="94"/>
      <c r="H807" s="59"/>
      <c r="I807" s="94"/>
      <c r="J807" s="59"/>
      <c r="K807" s="94"/>
      <c r="L807" s="94"/>
      <c r="M807" s="94"/>
      <c r="N807" s="59"/>
      <c r="O807" s="88"/>
      <c r="P807" s="95"/>
      <c r="Q807" s="88"/>
      <c r="R807" s="88"/>
      <c r="S807" s="88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</row>
    <row r="808">
      <c r="A808" s="59"/>
      <c r="B808" s="59"/>
      <c r="C808" s="70"/>
      <c r="D808" s="59"/>
      <c r="E808" s="94"/>
      <c r="F808" s="94"/>
      <c r="G808" s="94"/>
      <c r="H808" s="59"/>
      <c r="I808" s="94"/>
      <c r="J808" s="59"/>
      <c r="K808" s="94"/>
      <c r="L808" s="94"/>
      <c r="M808" s="94"/>
      <c r="N808" s="59"/>
      <c r="O808" s="88"/>
      <c r="P808" s="95"/>
      <c r="Q808" s="88"/>
      <c r="R808" s="88"/>
      <c r="S808" s="88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</row>
    <row r="809">
      <c r="A809" s="59"/>
      <c r="B809" s="59"/>
      <c r="C809" s="70"/>
      <c r="D809" s="59"/>
      <c r="E809" s="94"/>
      <c r="F809" s="94"/>
      <c r="G809" s="94"/>
      <c r="H809" s="59"/>
      <c r="I809" s="94"/>
      <c r="J809" s="59"/>
      <c r="K809" s="94"/>
      <c r="L809" s="94"/>
      <c r="M809" s="94"/>
      <c r="N809" s="59"/>
      <c r="O809" s="88"/>
      <c r="P809" s="95"/>
      <c r="Q809" s="88"/>
      <c r="R809" s="88"/>
      <c r="S809" s="88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</row>
    <row r="810">
      <c r="A810" s="59"/>
      <c r="B810" s="59"/>
      <c r="C810" s="70"/>
      <c r="D810" s="59"/>
      <c r="E810" s="94"/>
      <c r="F810" s="94"/>
      <c r="G810" s="94"/>
      <c r="H810" s="59"/>
      <c r="I810" s="94"/>
      <c r="J810" s="59"/>
      <c r="K810" s="94"/>
      <c r="L810" s="94"/>
      <c r="M810" s="94"/>
      <c r="N810" s="59"/>
      <c r="O810" s="88"/>
      <c r="P810" s="95"/>
      <c r="Q810" s="88"/>
      <c r="R810" s="88"/>
      <c r="S810" s="88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</row>
    <row r="811">
      <c r="A811" s="59"/>
      <c r="B811" s="59"/>
      <c r="C811" s="70"/>
      <c r="D811" s="59"/>
      <c r="E811" s="94"/>
      <c r="F811" s="94"/>
      <c r="G811" s="94"/>
      <c r="H811" s="59"/>
      <c r="I811" s="94"/>
      <c r="J811" s="59"/>
      <c r="K811" s="94"/>
      <c r="L811" s="94"/>
      <c r="M811" s="94"/>
      <c r="N811" s="59"/>
      <c r="O811" s="88"/>
      <c r="P811" s="95"/>
      <c r="Q811" s="88"/>
      <c r="R811" s="88"/>
      <c r="S811" s="88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</row>
    <row r="812">
      <c r="A812" s="59"/>
      <c r="B812" s="59"/>
      <c r="C812" s="70"/>
      <c r="D812" s="59"/>
      <c r="E812" s="94"/>
      <c r="F812" s="94"/>
      <c r="G812" s="94"/>
      <c r="H812" s="59"/>
      <c r="I812" s="94"/>
      <c r="J812" s="59"/>
      <c r="K812" s="94"/>
      <c r="L812" s="94"/>
      <c r="M812" s="94"/>
      <c r="N812" s="59"/>
      <c r="O812" s="88"/>
      <c r="P812" s="95"/>
      <c r="Q812" s="88"/>
      <c r="R812" s="88"/>
      <c r="S812" s="88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</row>
    <row r="813">
      <c r="A813" s="59"/>
      <c r="B813" s="59"/>
      <c r="C813" s="70"/>
      <c r="D813" s="59"/>
      <c r="E813" s="94"/>
      <c r="F813" s="94"/>
      <c r="G813" s="94"/>
      <c r="H813" s="59"/>
      <c r="I813" s="94"/>
      <c r="J813" s="59"/>
      <c r="K813" s="94"/>
      <c r="L813" s="94"/>
      <c r="M813" s="94"/>
      <c r="N813" s="59"/>
      <c r="O813" s="88"/>
      <c r="P813" s="95"/>
      <c r="Q813" s="88"/>
      <c r="R813" s="88"/>
      <c r="S813" s="88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</row>
    <row r="814">
      <c r="A814" s="59"/>
      <c r="B814" s="59"/>
      <c r="C814" s="70"/>
      <c r="D814" s="59"/>
      <c r="E814" s="94"/>
      <c r="F814" s="94"/>
      <c r="G814" s="94"/>
      <c r="H814" s="59"/>
      <c r="I814" s="94"/>
      <c r="J814" s="59"/>
      <c r="K814" s="94"/>
      <c r="L814" s="94"/>
      <c r="M814" s="94"/>
      <c r="N814" s="59"/>
      <c r="O814" s="88"/>
      <c r="P814" s="95"/>
      <c r="Q814" s="88"/>
      <c r="R814" s="88"/>
      <c r="S814" s="88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</row>
    <row r="815">
      <c r="A815" s="59"/>
      <c r="B815" s="59"/>
      <c r="C815" s="70"/>
      <c r="D815" s="59"/>
      <c r="E815" s="94"/>
      <c r="F815" s="94"/>
      <c r="G815" s="94"/>
      <c r="H815" s="59"/>
      <c r="I815" s="94"/>
      <c r="J815" s="59"/>
      <c r="K815" s="94"/>
      <c r="L815" s="94"/>
      <c r="M815" s="94"/>
      <c r="N815" s="59"/>
      <c r="O815" s="88"/>
      <c r="P815" s="95"/>
      <c r="Q815" s="88"/>
      <c r="R815" s="88"/>
      <c r="S815" s="88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</row>
    <row r="816">
      <c r="A816" s="59"/>
      <c r="B816" s="59"/>
      <c r="C816" s="70"/>
      <c r="D816" s="59"/>
      <c r="E816" s="94"/>
      <c r="F816" s="94"/>
      <c r="G816" s="94"/>
      <c r="H816" s="59"/>
      <c r="I816" s="94"/>
      <c r="J816" s="59"/>
      <c r="K816" s="94"/>
      <c r="L816" s="94"/>
      <c r="M816" s="94"/>
      <c r="N816" s="59"/>
      <c r="O816" s="88"/>
      <c r="P816" s="95"/>
      <c r="Q816" s="88"/>
      <c r="R816" s="88"/>
      <c r="S816" s="88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</row>
    <row r="817">
      <c r="A817" s="59"/>
      <c r="B817" s="59"/>
      <c r="C817" s="70"/>
      <c r="D817" s="59"/>
      <c r="E817" s="94"/>
      <c r="F817" s="94"/>
      <c r="G817" s="94"/>
      <c r="H817" s="59"/>
      <c r="I817" s="94"/>
      <c r="J817" s="59"/>
      <c r="K817" s="94"/>
      <c r="L817" s="94"/>
      <c r="M817" s="94"/>
      <c r="N817" s="59"/>
      <c r="O817" s="88"/>
      <c r="P817" s="95"/>
      <c r="Q817" s="88"/>
      <c r="R817" s="88"/>
      <c r="S817" s="88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</row>
    <row r="818">
      <c r="A818" s="59"/>
      <c r="B818" s="59"/>
      <c r="C818" s="70"/>
      <c r="D818" s="59"/>
      <c r="E818" s="94"/>
      <c r="F818" s="94"/>
      <c r="G818" s="94"/>
      <c r="H818" s="59"/>
      <c r="I818" s="94"/>
      <c r="J818" s="59"/>
      <c r="K818" s="94"/>
      <c r="L818" s="94"/>
      <c r="M818" s="94"/>
      <c r="N818" s="59"/>
      <c r="O818" s="88"/>
      <c r="P818" s="95"/>
      <c r="Q818" s="88"/>
      <c r="R818" s="88"/>
      <c r="S818" s="88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</row>
    <row r="819">
      <c r="A819" s="59"/>
      <c r="B819" s="59"/>
      <c r="C819" s="70"/>
      <c r="D819" s="59"/>
      <c r="E819" s="94"/>
      <c r="F819" s="94"/>
      <c r="G819" s="94"/>
      <c r="H819" s="59"/>
      <c r="I819" s="94"/>
      <c r="J819" s="59"/>
      <c r="K819" s="94"/>
      <c r="L819" s="94"/>
      <c r="M819" s="94"/>
      <c r="N819" s="59"/>
      <c r="O819" s="88"/>
      <c r="P819" s="95"/>
      <c r="Q819" s="88"/>
      <c r="R819" s="88"/>
      <c r="S819" s="88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</row>
    <row r="820">
      <c r="A820" s="59"/>
      <c r="B820" s="59"/>
      <c r="C820" s="70"/>
      <c r="D820" s="59"/>
      <c r="E820" s="94"/>
      <c r="F820" s="94"/>
      <c r="G820" s="94"/>
      <c r="H820" s="59"/>
      <c r="I820" s="94"/>
      <c r="J820" s="59"/>
      <c r="K820" s="94"/>
      <c r="L820" s="94"/>
      <c r="M820" s="94"/>
      <c r="N820" s="59"/>
      <c r="O820" s="88"/>
      <c r="P820" s="95"/>
      <c r="Q820" s="88"/>
      <c r="R820" s="88"/>
      <c r="S820" s="88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</row>
    <row r="821">
      <c r="A821" s="59"/>
      <c r="B821" s="59"/>
      <c r="C821" s="70"/>
      <c r="D821" s="59"/>
      <c r="E821" s="94"/>
      <c r="F821" s="94"/>
      <c r="G821" s="94"/>
      <c r="H821" s="59"/>
      <c r="I821" s="94"/>
      <c r="J821" s="59"/>
      <c r="K821" s="94"/>
      <c r="L821" s="94"/>
      <c r="M821" s="94"/>
      <c r="N821" s="59"/>
      <c r="O821" s="88"/>
      <c r="P821" s="95"/>
      <c r="Q821" s="88"/>
      <c r="R821" s="88"/>
      <c r="S821" s="88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</row>
    <row r="822">
      <c r="A822" s="59"/>
      <c r="B822" s="59"/>
      <c r="C822" s="70"/>
      <c r="D822" s="59"/>
      <c r="E822" s="94"/>
      <c r="F822" s="94"/>
      <c r="G822" s="94"/>
      <c r="H822" s="59"/>
      <c r="I822" s="94"/>
      <c r="J822" s="59"/>
      <c r="K822" s="94"/>
      <c r="L822" s="94"/>
      <c r="M822" s="94"/>
      <c r="N822" s="59"/>
      <c r="O822" s="88"/>
      <c r="P822" s="95"/>
      <c r="Q822" s="88"/>
      <c r="R822" s="88"/>
      <c r="S822" s="88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</row>
    <row r="823">
      <c r="A823" s="59"/>
      <c r="B823" s="59"/>
      <c r="C823" s="70"/>
      <c r="D823" s="59"/>
      <c r="E823" s="94"/>
      <c r="F823" s="94"/>
      <c r="G823" s="94"/>
      <c r="H823" s="59"/>
      <c r="I823" s="94"/>
      <c r="J823" s="59"/>
      <c r="K823" s="94"/>
      <c r="L823" s="94"/>
      <c r="M823" s="94"/>
      <c r="N823" s="59"/>
      <c r="O823" s="88"/>
      <c r="P823" s="95"/>
      <c r="Q823" s="88"/>
      <c r="R823" s="88"/>
      <c r="S823" s="88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</row>
    <row r="824">
      <c r="A824" s="59"/>
      <c r="B824" s="59"/>
      <c r="C824" s="70"/>
      <c r="D824" s="59"/>
      <c r="E824" s="94"/>
      <c r="F824" s="94"/>
      <c r="G824" s="94"/>
      <c r="H824" s="59"/>
      <c r="I824" s="94"/>
      <c r="J824" s="59"/>
      <c r="K824" s="94"/>
      <c r="L824" s="94"/>
      <c r="M824" s="94"/>
      <c r="N824" s="59"/>
      <c r="O824" s="88"/>
      <c r="P824" s="95"/>
      <c r="Q824" s="88"/>
      <c r="R824" s="88"/>
      <c r="S824" s="88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</row>
    <row r="825">
      <c r="A825" s="59"/>
      <c r="B825" s="59"/>
      <c r="C825" s="70"/>
      <c r="D825" s="59"/>
      <c r="E825" s="94"/>
      <c r="F825" s="94"/>
      <c r="G825" s="94"/>
      <c r="H825" s="59"/>
      <c r="I825" s="94"/>
      <c r="J825" s="59"/>
      <c r="K825" s="94"/>
      <c r="L825" s="94"/>
      <c r="M825" s="94"/>
      <c r="N825" s="59"/>
      <c r="O825" s="88"/>
      <c r="P825" s="95"/>
      <c r="Q825" s="88"/>
      <c r="R825" s="88"/>
      <c r="S825" s="88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</row>
    <row r="826">
      <c r="A826" s="59"/>
      <c r="B826" s="59"/>
      <c r="C826" s="70"/>
      <c r="D826" s="59"/>
      <c r="E826" s="94"/>
      <c r="F826" s="94"/>
      <c r="G826" s="94"/>
      <c r="H826" s="59"/>
      <c r="I826" s="94"/>
      <c r="J826" s="59"/>
      <c r="K826" s="94"/>
      <c r="L826" s="94"/>
      <c r="M826" s="94"/>
      <c r="N826" s="59"/>
      <c r="O826" s="88"/>
      <c r="P826" s="95"/>
      <c r="Q826" s="88"/>
      <c r="R826" s="88"/>
      <c r="S826" s="88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</row>
    <row r="827">
      <c r="A827" s="59"/>
      <c r="B827" s="59"/>
      <c r="C827" s="70"/>
      <c r="D827" s="59"/>
      <c r="E827" s="94"/>
      <c r="F827" s="94"/>
      <c r="G827" s="94"/>
      <c r="H827" s="59"/>
      <c r="I827" s="94"/>
      <c r="J827" s="59"/>
      <c r="K827" s="94"/>
      <c r="L827" s="94"/>
      <c r="M827" s="94"/>
      <c r="N827" s="59"/>
      <c r="O827" s="88"/>
      <c r="P827" s="95"/>
      <c r="Q827" s="88"/>
      <c r="R827" s="88"/>
      <c r="S827" s="88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</row>
    <row r="828">
      <c r="A828" s="59"/>
      <c r="B828" s="59"/>
      <c r="C828" s="70"/>
      <c r="D828" s="59"/>
      <c r="E828" s="94"/>
      <c r="F828" s="94"/>
      <c r="G828" s="94"/>
      <c r="H828" s="59"/>
      <c r="I828" s="94"/>
      <c r="J828" s="59"/>
      <c r="K828" s="94"/>
      <c r="L828" s="94"/>
      <c r="M828" s="94"/>
      <c r="N828" s="59"/>
      <c r="O828" s="88"/>
      <c r="P828" s="95"/>
      <c r="Q828" s="88"/>
      <c r="R828" s="88"/>
      <c r="S828" s="88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</row>
    <row r="829">
      <c r="A829" s="59"/>
      <c r="B829" s="59"/>
      <c r="C829" s="70"/>
      <c r="D829" s="59"/>
      <c r="E829" s="94"/>
      <c r="F829" s="94"/>
      <c r="G829" s="94"/>
      <c r="H829" s="59"/>
      <c r="I829" s="94"/>
      <c r="J829" s="59"/>
      <c r="K829" s="94"/>
      <c r="L829" s="94"/>
      <c r="M829" s="94"/>
      <c r="N829" s="59"/>
      <c r="O829" s="88"/>
      <c r="P829" s="95"/>
      <c r="Q829" s="88"/>
      <c r="R829" s="88"/>
      <c r="S829" s="88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</row>
    <row r="830">
      <c r="A830" s="59"/>
      <c r="B830" s="59"/>
      <c r="C830" s="70"/>
      <c r="D830" s="59"/>
      <c r="E830" s="94"/>
      <c r="F830" s="94"/>
      <c r="G830" s="94"/>
      <c r="H830" s="59"/>
      <c r="I830" s="94"/>
      <c r="J830" s="59"/>
      <c r="K830" s="94"/>
      <c r="L830" s="94"/>
      <c r="M830" s="94"/>
      <c r="N830" s="59"/>
      <c r="O830" s="88"/>
      <c r="P830" s="95"/>
      <c r="Q830" s="88"/>
      <c r="R830" s="88"/>
      <c r="S830" s="88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</row>
    <row r="831">
      <c r="A831" s="59"/>
      <c r="B831" s="59"/>
      <c r="C831" s="70"/>
      <c r="D831" s="59"/>
      <c r="E831" s="94"/>
      <c r="F831" s="94"/>
      <c r="G831" s="94"/>
      <c r="H831" s="59"/>
      <c r="I831" s="94"/>
      <c r="J831" s="59"/>
      <c r="K831" s="94"/>
      <c r="L831" s="94"/>
      <c r="M831" s="94"/>
      <c r="N831" s="59"/>
      <c r="O831" s="88"/>
      <c r="P831" s="95"/>
      <c r="Q831" s="88"/>
      <c r="R831" s="88"/>
      <c r="S831" s="88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</row>
    <row r="832">
      <c r="A832" s="59"/>
      <c r="B832" s="59"/>
      <c r="C832" s="70"/>
      <c r="D832" s="59"/>
      <c r="E832" s="94"/>
      <c r="F832" s="94"/>
      <c r="G832" s="94"/>
      <c r="H832" s="59"/>
      <c r="I832" s="94"/>
      <c r="J832" s="59"/>
      <c r="K832" s="94"/>
      <c r="L832" s="94"/>
      <c r="M832" s="94"/>
      <c r="N832" s="59"/>
      <c r="O832" s="88"/>
      <c r="P832" s="95"/>
      <c r="Q832" s="88"/>
      <c r="R832" s="88"/>
      <c r="S832" s="88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</row>
    <row r="833">
      <c r="A833" s="59"/>
      <c r="B833" s="59"/>
      <c r="C833" s="70"/>
      <c r="D833" s="59"/>
      <c r="E833" s="94"/>
      <c r="F833" s="94"/>
      <c r="G833" s="94"/>
      <c r="H833" s="59"/>
      <c r="I833" s="94"/>
      <c r="J833" s="59"/>
      <c r="K833" s="94"/>
      <c r="L833" s="94"/>
      <c r="M833" s="94"/>
      <c r="N833" s="59"/>
      <c r="O833" s="88"/>
      <c r="P833" s="95"/>
      <c r="Q833" s="88"/>
      <c r="R833" s="88"/>
      <c r="S833" s="88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</row>
    <row r="834">
      <c r="A834" s="59"/>
      <c r="B834" s="59"/>
      <c r="C834" s="70"/>
      <c r="D834" s="59"/>
      <c r="E834" s="94"/>
      <c r="F834" s="94"/>
      <c r="G834" s="94"/>
      <c r="H834" s="59"/>
      <c r="I834" s="94"/>
      <c r="J834" s="59"/>
      <c r="K834" s="94"/>
      <c r="L834" s="94"/>
      <c r="M834" s="94"/>
      <c r="N834" s="59"/>
      <c r="O834" s="88"/>
      <c r="P834" s="95"/>
      <c r="Q834" s="88"/>
      <c r="R834" s="88"/>
      <c r="S834" s="88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</row>
    <row r="835">
      <c r="A835" s="59"/>
      <c r="B835" s="59"/>
      <c r="C835" s="70"/>
      <c r="D835" s="59"/>
      <c r="E835" s="94"/>
      <c r="F835" s="94"/>
      <c r="G835" s="94"/>
      <c r="H835" s="59"/>
      <c r="I835" s="94"/>
      <c r="J835" s="59"/>
      <c r="K835" s="94"/>
      <c r="L835" s="94"/>
      <c r="M835" s="94"/>
      <c r="N835" s="59"/>
      <c r="O835" s="88"/>
      <c r="P835" s="95"/>
      <c r="Q835" s="88"/>
      <c r="R835" s="88"/>
      <c r="S835" s="88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</row>
    <row r="836">
      <c r="A836" s="59"/>
      <c r="B836" s="59"/>
      <c r="C836" s="70"/>
      <c r="D836" s="59"/>
      <c r="E836" s="94"/>
      <c r="F836" s="94"/>
      <c r="G836" s="94"/>
      <c r="H836" s="59"/>
      <c r="I836" s="94"/>
      <c r="J836" s="59"/>
      <c r="K836" s="94"/>
      <c r="L836" s="94"/>
      <c r="M836" s="94"/>
      <c r="N836" s="59"/>
      <c r="O836" s="88"/>
      <c r="P836" s="95"/>
      <c r="Q836" s="88"/>
      <c r="R836" s="88"/>
      <c r="S836" s="88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</row>
    <row r="837">
      <c r="A837" s="59"/>
      <c r="B837" s="59"/>
      <c r="C837" s="70"/>
      <c r="D837" s="59"/>
      <c r="E837" s="94"/>
      <c r="F837" s="94"/>
      <c r="G837" s="94"/>
      <c r="H837" s="59"/>
      <c r="I837" s="94"/>
      <c r="J837" s="59"/>
      <c r="K837" s="94"/>
      <c r="L837" s="94"/>
      <c r="M837" s="94"/>
      <c r="N837" s="59"/>
      <c r="O837" s="88"/>
      <c r="P837" s="95"/>
      <c r="Q837" s="88"/>
      <c r="R837" s="88"/>
      <c r="S837" s="88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</row>
    <row r="838">
      <c r="A838" s="59"/>
      <c r="B838" s="59"/>
      <c r="C838" s="70"/>
      <c r="D838" s="59"/>
      <c r="E838" s="94"/>
      <c r="F838" s="94"/>
      <c r="G838" s="94"/>
      <c r="H838" s="59"/>
      <c r="I838" s="94"/>
      <c r="J838" s="59"/>
      <c r="K838" s="94"/>
      <c r="L838" s="94"/>
      <c r="M838" s="94"/>
      <c r="N838" s="59"/>
      <c r="O838" s="88"/>
      <c r="P838" s="95"/>
      <c r="Q838" s="88"/>
      <c r="R838" s="88"/>
      <c r="S838" s="88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</row>
    <row r="839">
      <c r="A839" s="59"/>
      <c r="B839" s="59"/>
      <c r="C839" s="70"/>
      <c r="D839" s="59"/>
      <c r="E839" s="94"/>
      <c r="F839" s="94"/>
      <c r="G839" s="94"/>
      <c r="H839" s="59"/>
      <c r="I839" s="94"/>
      <c r="J839" s="59"/>
      <c r="K839" s="94"/>
      <c r="L839" s="94"/>
      <c r="M839" s="94"/>
      <c r="N839" s="59"/>
      <c r="O839" s="88"/>
      <c r="P839" s="95"/>
      <c r="Q839" s="88"/>
      <c r="R839" s="88"/>
      <c r="S839" s="88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</row>
    <row r="840">
      <c r="A840" s="59"/>
      <c r="B840" s="59"/>
      <c r="C840" s="70"/>
      <c r="D840" s="59"/>
      <c r="E840" s="94"/>
      <c r="F840" s="94"/>
      <c r="G840" s="94"/>
      <c r="H840" s="59"/>
      <c r="I840" s="94"/>
      <c r="J840" s="59"/>
      <c r="K840" s="94"/>
      <c r="L840" s="94"/>
      <c r="M840" s="94"/>
      <c r="N840" s="59"/>
      <c r="O840" s="88"/>
      <c r="P840" s="95"/>
      <c r="Q840" s="88"/>
      <c r="R840" s="88"/>
      <c r="S840" s="88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</row>
    <row r="841">
      <c r="A841" s="59"/>
      <c r="B841" s="59"/>
      <c r="C841" s="70"/>
      <c r="D841" s="59"/>
      <c r="E841" s="94"/>
      <c r="F841" s="94"/>
      <c r="G841" s="94"/>
      <c r="H841" s="59"/>
      <c r="I841" s="94"/>
      <c r="J841" s="59"/>
      <c r="K841" s="94"/>
      <c r="L841" s="94"/>
      <c r="M841" s="94"/>
      <c r="N841" s="59"/>
      <c r="O841" s="88"/>
      <c r="P841" s="95"/>
      <c r="Q841" s="88"/>
      <c r="R841" s="88"/>
      <c r="S841" s="88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</row>
    <row r="842">
      <c r="A842" s="59"/>
      <c r="B842" s="59"/>
      <c r="C842" s="70"/>
      <c r="D842" s="59"/>
      <c r="E842" s="94"/>
      <c r="F842" s="94"/>
      <c r="G842" s="94"/>
      <c r="H842" s="59"/>
      <c r="I842" s="94"/>
      <c r="J842" s="59"/>
      <c r="K842" s="94"/>
      <c r="L842" s="94"/>
      <c r="M842" s="94"/>
      <c r="N842" s="59"/>
      <c r="O842" s="88"/>
      <c r="P842" s="95"/>
      <c r="Q842" s="88"/>
      <c r="R842" s="88"/>
      <c r="S842" s="88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</row>
    <row r="843">
      <c r="A843" s="59"/>
      <c r="B843" s="59"/>
      <c r="C843" s="70"/>
      <c r="D843" s="59"/>
      <c r="E843" s="94"/>
      <c r="F843" s="94"/>
      <c r="G843" s="94"/>
      <c r="H843" s="59"/>
      <c r="I843" s="94"/>
      <c r="J843" s="59"/>
      <c r="K843" s="94"/>
      <c r="L843" s="94"/>
      <c r="M843" s="94"/>
      <c r="N843" s="59"/>
      <c r="O843" s="88"/>
      <c r="P843" s="95"/>
      <c r="Q843" s="88"/>
      <c r="R843" s="88"/>
      <c r="S843" s="88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</row>
    <row r="844">
      <c r="A844" s="59"/>
      <c r="B844" s="59"/>
      <c r="C844" s="70"/>
      <c r="D844" s="59"/>
      <c r="E844" s="94"/>
      <c r="F844" s="94"/>
      <c r="G844" s="94"/>
      <c r="H844" s="59"/>
      <c r="I844" s="94"/>
      <c r="J844" s="59"/>
      <c r="K844" s="94"/>
      <c r="L844" s="94"/>
      <c r="M844" s="94"/>
      <c r="N844" s="59"/>
      <c r="O844" s="88"/>
      <c r="P844" s="95"/>
      <c r="Q844" s="88"/>
      <c r="R844" s="88"/>
      <c r="S844" s="88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</row>
    <row r="845">
      <c r="A845" s="59"/>
      <c r="B845" s="59"/>
      <c r="C845" s="70"/>
      <c r="D845" s="59"/>
      <c r="E845" s="94"/>
      <c r="F845" s="94"/>
      <c r="G845" s="94"/>
      <c r="H845" s="59"/>
      <c r="I845" s="94"/>
      <c r="J845" s="59"/>
      <c r="K845" s="94"/>
      <c r="L845" s="94"/>
      <c r="M845" s="94"/>
      <c r="N845" s="59"/>
      <c r="O845" s="88"/>
      <c r="P845" s="95"/>
      <c r="Q845" s="88"/>
      <c r="R845" s="88"/>
      <c r="S845" s="88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</row>
    <row r="846">
      <c r="A846" s="59"/>
      <c r="B846" s="59"/>
      <c r="C846" s="70"/>
      <c r="D846" s="59"/>
      <c r="E846" s="94"/>
      <c r="F846" s="94"/>
      <c r="G846" s="94"/>
      <c r="H846" s="59"/>
      <c r="I846" s="94"/>
      <c r="J846" s="59"/>
      <c r="K846" s="94"/>
      <c r="L846" s="94"/>
      <c r="M846" s="94"/>
      <c r="N846" s="59"/>
      <c r="O846" s="88"/>
      <c r="P846" s="95"/>
      <c r="Q846" s="88"/>
      <c r="R846" s="88"/>
      <c r="S846" s="88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</row>
    <row r="847">
      <c r="A847" s="59"/>
      <c r="B847" s="59"/>
      <c r="C847" s="70"/>
      <c r="D847" s="59"/>
      <c r="E847" s="94"/>
      <c r="F847" s="94"/>
      <c r="G847" s="94"/>
      <c r="H847" s="59"/>
      <c r="I847" s="94"/>
      <c r="J847" s="59"/>
      <c r="K847" s="94"/>
      <c r="L847" s="94"/>
      <c r="M847" s="94"/>
      <c r="N847" s="59"/>
      <c r="O847" s="88"/>
      <c r="P847" s="95"/>
      <c r="Q847" s="88"/>
      <c r="R847" s="88"/>
      <c r="S847" s="88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</row>
    <row r="848">
      <c r="A848" s="59"/>
      <c r="B848" s="59"/>
      <c r="C848" s="70"/>
      <c r="D848" s="59"/>
      <c r="E848" s="94"/>
      <c r="F848" s="94"/>
      <c r="G848" s="94"/>
      <c r="H848" s="59"/>
      <c r="I848" s="94"/>
      <c r="J848" s="59"/>
      <c r="K848" s="94"/>
      <c r="L848" s="94"/>
      <c r="M848" s="94"/>
      <c r="N848" s="59"/>
      <c r="O848" s="88"/>
      <c r="P848" s="95"/>
      <c r="Q848" s="88"/>
      <c r="R848" s="88"/>
      <c r="S848" s="88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</row>
    <row r="849">
      <c r="A849" s="59"/>
      <c r="B849" s="59"/>
      <c r="C849" s="70"/>
      <c r="D849" s="59"/>
      <c r="E849" s="94"/>
      <c r="F849" s="94"/>
      <c r="G849" s="94"/>
      <c r="H849" s="59"/>
      <c r="I849" s="94"/>
      <c r="J849" s="59"/>
      <c r="K849" s="94"/>
      <c r="L849" s="94"/>
      <c r="M849" s="94"/>
      <c r="N849" s="59"/>
      <c r="O849" s="88"/>
      <c r="P849" s="95"/>
      <c r="Q849" s="88"/>
      <c r="R849" s="88"/>
      <c r="S849" s="88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</row>
    <row r="850">
      <c r="A850" s="59"/>
      <c r="B850" s="59"/>
      <c r="C850" s="70"/>
      <c r="D850" s="59"/>
      <c r="E850" s="94"/>
      <c r="F850" s="94"/>
      <c r="G850" s="94"/>
      <c r="H850" s="59"/>
      <c r="I850" s="94"/>
      <c r="J850" s="59"/>
      <c r="K850" s="94"/>
      <c r="L850" s="94"/>
      <c r="M850" s="94"/>
      <c r="N850" s="59"/>
      <c r="O850" s="88"/>
      <c r="P850" s="95"/>
      <c r="Q850" s="88"/>
      <c r="R850" s="88"/>
      <c r="S850" s="88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</row>
    <row r="851">
      <c r="A851" s="59"/>
      <c r="B851" s="59"/>
      <c r="C851" s="70"/>
      <c r="D851" s="59"/>
      <c r="E851" s="94"/>
      <c r="F851" s="94"/>
      <c r="G851" s="94"/>
      <c r="H851" s="59"/>
      <c r="I851" s="94"/>
      <c r="J851" s="59"/>
      <c r="K851" s="94"/>
      <c r="L851" s="94"/>
      <c r="M851" s="94"/>
      <c r="N851" s="59"/>
      <c r="O851" s="88"/>
      <c r="P851" s="95"/>
      <c r="Q851" s="88"/>
      <c r="R851" s="88"/>
      <c r="S851" s="88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</row>
    <row r="852">
      <c r="A852" s="59"/>
      <c r="B852" s="59"/>
      <c r="C852" s="70"/>
      <c r="D852" s="59"/>
      <c r="E852" s="94"/>
      <c r="F852" s="94"/>
      <c r="G852" s="94"/>
      <c r="H852" s="59"/>
      <c r="I852" s="94"/>
      <c r="J852" s="59"/>
      <c r="K852" s="94"/>
      <c r="L852" s="94"/>
      <c r="M852" s="94"/>
      <c r="N852" s="59"/>
      <c r="O852" s="88"/>
      <c r="P852" s="95"/>
      <c r="Q852" s="88"/>
      <c r="R852" s="88"/>
      <c r="S852" s="88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</row>
    <row r="853">
      <c r="A853" s="59"/>
      <c r="B853" s="59"/>
      <c r="C853" s="70"/>
      <c r="D853" s="59"/>
      <c r="E853" s="94"/>
      <c r="F853" s="94"/>
      <c r="G853" s="94"/>
      <c r="H853" s="59"/>
      <c r="I853" s="94"/>
      <c r="J853" s="59"/>
      <c r="K853" s="94"/>
      <c r="L853" s="94"/>
      <c r="M853" s="94"/>
      <c r="N853" s="59"/>
      <c r="O853" s="88"/>
      <c r="P853" s="95"/>
      <c r="Q853" s="88"/>
      <c r="R853" s="88"/>
      <c r="S853" s="88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</row>
    <row r="854">
      <c r="A854" s="59"/>
      <c r="B854" s="59"/>
      <c r="C854" s="70"/>
      <c r="D854" s="59"/>
      <c r="E854" s="94"/>
      <c r="F854" s="94"/>
      <c r="G854" s="94"/>
      <c r="H854" s="59"/>
      <c r="I854" s="94"/>
      <c r="J854" s="59"/>
      <c r="K854" s="94"/>
      <c r="L854" s="94"/>
      <c r="M854" s="94"/>
      <c r="N854" s="59"/>
      <c r="O854" s="88"/>
      <c r="P854" s="95"/>
      <c r="Q854" s="88"/>
      <c r="R854" s="88"/>
      <c r="S854" s="88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</row>
    <row r="855">
      <c r="A855" s="59"/>
      <c r="B855" s="59"/>
      <c r="C855" s="70"/>
      <c r="D855" s="59"/>
      <c r="E855" s="94"/>
      <c r="F855" s="94"/>
      <c r="G855" s="94"/>
      <c r="H855" s="59"/>
      <c r="I855" s="94"/>
      <c r="J855" s="59"/>
      <c r="K855" s="94"/>
      <c r="L855" s="94"/>
      <c r="M855" s="94"/>
      <c r="N855" s="59"/>
      <c r="O855" s="88"/>
      <c r="P855" s="95"/>
      <c r="Q855" s="88"/>
      <c r="R855" s="88"/>
      <c r="S855" s="88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</row>
    <row r="856">
      <c r="A856" s="59"/>
      <c r="B856" s="59"/>
      <c r="C856" s="70"/>
      <c r="D856" s="59"/>
      <c r="E856" s="94"/>
      <c r="F856" s="94"/>
      <c r="G856" s="94"/>
      <c r="H856" s="59"/>
      <c r="I856" s="94"/>
      <c r="J856" s="59"/>
      <c r="K856" s="94"/>
      <c r="L856" s="94"/>
      <c r="M856" s="94"/>
      <c r="N856" s="59"/>
      <c r="O856" s="88"/>
      <c r="P856" s="95"/>
      <c r="Q856" s="88"/>
      <c r="R856" s="88"/>
      <c r="S856" s="88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</row>
    <row r="857">
      <c r="A857" s="59"/>
      <c r="B857" s="59"/>
      <c r="C857" s="70"/>
      <c r="D857" s="59"/>
      <c r="E857" s="94"/>
      <c r="F857" s="94"/>
      <c r="G857" s="94"/>
      <c r="H857" s="59"/>
      <c r="I857" s="94"/>
      <c r="J857" s="59"/>
      <c r="K857" s="94"/>
      <c r="L857" s="94"/>
      <c r="M857" s="94"/>
      <c r="N857" s="59"/>
      <c r="O857" s="88"/>
      <c r="P857" s="95"/>
      <c r="Q857" s="88"/>
      <c r="R857" s="88"/>
      <c r="S857" s="88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</row>
    <row r="858">
      <c r="A858" s="59"/>
      <c r="B858" s="59"/>
      <c r="C858" s="70"/>
      <c r="D858" s="59"/>
      <c r="E858" s="94"/>
      <c r="F858" s="94"/>
      <c r="G858" s="94"/>
      <c r="H858" s="59"/>
      <c r="I858" s="94"/>
      <c r="J858" s="59"/>
      <c r="K858" s="94"/>
      <c r="L858" s="94"/>
      <c r="M858" s="94"/>
      <c r="N858" s="59"/>
      <c r="O858" s="88"/>
      <c r="P858" s="95"/>
      <c r="Q858" s="88"/>
      <c r="R858" s="88"/>
      <c r="S858" s="88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</row>
    <row r="859">
      <c r="A859" s="59"/>
      <c r="B859" s="59"/>
      <c r="C859" s="70"/>
      <c r="D859" s="59"/>
      <c r="E859" s="94"/>
      <c r="F859" s="94"/>
      <c r="G859" s="94"/>
      <c r="H859" s="59"/>
      <c r="I859" s="94"/>
      <c r="J859" s="59"/>
      <c r="K859" s="94"/>
      <c r="L859" s="94"/>
      <c r="M859" s="94"/>
      <c r="N859" s="59"/>
      <c r="O859" s="88"/>
      <c r="P859" s="95"/>
      <c r="Q859" s="88"/>
      <c r="R859" s="88"/>
      <c r="S859" s="88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</row>
    <row r="860">
      <c r="A860" s="59"/>
      <c r="B860" s="59"/>
      <c r="C860" s="70"/>
      <c r="D860" s="59"/>
      <c r="E860" s="94"/>
      <c r="F860" s="94"/>
      <c r="G860" s="94"/>
      <c r="H860" s="59"/>
      <c r="I860" s="94"/>
      <c r="J860" s="59"/>
      <c r="K860" s="94"/>
      <c r="L860" s="94"/>
      <c r="M860" s="94"/>
      <c r="N860" s="59"/>
      <c r="O860" s="88"/>
      <c r="P860" s="95"/>
      <c r="Q860" s="88"/>
      <c r="R860" s="88"/>
      <c r="S860" s="88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</row>
    <row r="861">
      <c r="A861" s="59"/>
      <c r="B861" s="59"/>
      <c r="C861" s="70"/>
      <c r="D861" s="59"/>
      <c r="E861" s="94"/>
      <c r="F861" s="94"/>
      <c r="G861" s="94"/>
      <c r="H861" s="59"/>
      <c r="I861" s="94"/>
      <c r="J861" s="59"/>
      <c r="K861" s="94"/>
      <c r="L861" s="94"/>
      <c r="M861" s="94"/>
      <c r="N861" s="59"/>
      <c r="O861" s="88"/>
      <c r="P861" s="95"/>
      <c r="Q861" s="88"/>
      <c r="R861" s="88"/>
      <c r="S861" s="88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</row>
    <row r="862">
      <c r="A862" s="59"/>
      <c r="B862" s="59"/>
      <c r="C862" s="70"/>
      <c r="D862" s="59"/>
      <c r="E862" s="94"/>
      <c r="F862" s="94"/>
      <c r="G862" s="94"/>
      <c r="H862" s="59"/>
      <c r="I862" s="94"/>
      <c r="J862" s="59"/>
      <c r="K862" s="94"/>
      <c r="L862" s="94"/>
      <c r="M862" s="94"/>
      <c r="N862" s="59"/>
      <c r="O862" s="88"/>
      <c r="P862" s="95"/>
      <c r="Q862" s="88"/>
      <c r="R862" s="88"/>
      <c r="S862" s="88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</row>
    <row r="863">
      <c r="A863" s="59"/>
      <c r="B863" s="59"/>
      <c r="C863" s="70"/>
      <c r="D863" s="59"/>
      <c r="E863" s="94"/>
      <c r="F863" s="94"/>
      <c r="G863" s="94"/>
      <c r="H863" s="59"/>
      <c r="I863" s="94"/>
      <c r="J863" s="59"/>
      <c r="K863" s="94"/>
      <c r="L863" s="94"/>
      <c r="M863" s="94"/>
      <c r="N863" s="59"/>
      <c r="O863" s="88"/>
      <c r="P863" s="95"/>
      <c r="Q863" s="88"/>
      <c r="R863" s="88"/>
      <c r="S863" s="88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</row>
    <row r="864">
      <c r="A864" s="59"/>
      <c r="B864" s="59"/>
      <c r="C864" s="70"/>
      <c r="D864" s="59"/>
      <c r="E864" s="94"/>
      <c r="F864" s="94"/>
      <c r="G864" s="94"/>
      <c r="H864" s="59"/>
      <c r="I864" s="94"/>
      <c r="J864" s="59"/>
      <c r="K864" s="94"/>
      <c r="L864" s="94"/>
      <c r="M864" s="94"/>
      <c r="N864" s="59"/>
      <c r="O864" s="88"/>
      <c r="P864" s="95"/>
      <c r="Q864" s="88"/>
      <c r="R864" s="88"/>
      <c r="S864" s="88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</row>
    <row r="865">
      <c r="A865" s="59"/>
      <c r="B865" s="59"/>
      <c r="C865" s="70"/>
      <c r="D865" s="59"/>
      <c r="E865" s="94"/>
      <c r="F865" s="94"/>
      <c r="G865" s="94"/>
      <c r="H865" s="59"/>
      <c r="I865" s="94"/>
      <c r="J865" s="59"/>
      <c r="K865" s="94"/>
      <c r="L865" s="94"/>
      <c r="M865" s="94"/>
      <c r="N865" s="59"/>
      <c r="O865" s="88"/>
      <c r="P865" s="95"/>
      <c r="Q865" s="88"/>
      <c r="R865" s="88"/>
      <c r="S865" s="88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</row>
    <row r="866">
      <c r="A866" s="59"/>
      <c r="B866" s="59"/>
      <c r="C866" s="70"/>
      <c r="D866" s="59"/>
      <c r="E866" s="94"/>
      <c r="F866" s="94"/>
      <c r="G866" s="94"/>
      <c r="H866" s="59"/>
      <c r="I866" s="94"/>
      <c r="J866" s="59"/>
      <c r="K866" s="94"/>
      <c r="L866" s="94"/>
      <c r="M866" s="94"/>
      <c r="N866" s="59"/>
      <c r="O866" s="88"/>
      <c r="P866" s="95"/>
      <c r="Q866" s="88"/>
      <c r="R866" s="88"/>
      <c r="S866" s="88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</row>
    <row r="867">
      <c r="A867" s="59"/>
      <c r="B867" s="59"/>
      <c r="C867" s="70"/>
      <c r="D867" s="59"/>
      <c r="E867" s="94"/>
      <c r="F867" s="94"/>
      <c r="G867" s="94"/>
      <c r="H867" s="59"/>
      <c r="I867" s="94"/>
      <c r="J867" s="59"/>
      <c r="K867" s="94"/>
      <c r="L867" s="94"/>
      <c r="M867" s="94"/>
      <c r="N867" s="59"/>
      <c r="O867" s="88"/>
      <c r="P867" s="95"/>
      <c r="Q867" s="88"/>
      <c r="R867" s="88"/>
      <c r="S867" s="88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</row>
    <row r="868">
      <c r="A868" s="59"/>
      <c r="B868" s="59"/>
      <c r="C868" s="70"/>
      <c r="D868" s="59"/>
      <c r="E868" s="94"/>
      <c r="F868" s="94"/>
      <c r="G868" s="94"/>
      <c r="H868" s="59"/>
      <c r="I868" s="94"/>
      <c r="J868" s="59"/>
      <c r="K868" s="94"/>
      <c r="L868" s="94"/>
      <c r="M868" s="94"/>
      <c r="N868" s="59"/>
      <c r="O868" s="88"/>
      <c r="P868" s="95"/>
      <c r="Q868" s="88"/>
      <c r="R868" s="88"/>
      <c r="S868" s="88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</row>
    <row r="869">
      <c r="A869" s="59"/>
      <c r="B869" s="59"/>
      <c r="C869" s="70"/>
      <c r="D869" s="59"/>
      <c r="E869" s="94"/>
      <c r="F869" s="94"/>
      <c r="G869" s="94"/>
      <c r="H869" s="59"/>
      <c r="I869" s="94"/>
      <c r="J869" s="59"/>
      <c r="K869" s="94"/>
      <c r="L869" s="94"/>
      <c r="M869" s="94"/>
      <c r="N869" s="59"/>
      <c r="O869" s="88"/>
      <c r="P869" s="95"/>
      <c r="Q869" s="88"/>
      <c r="R869" s="88"/>
      <c r="S869" s="88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</row>
    <row r="870">
      <c r="A870" s="59"/>
      <c r="B870" s="59"/>
      <c r="C870" s="70"/>
      <c r="D870" s="59"/>
      <c r="E870" s="94"/>
      <c r="F870" s="94"/>
      <c r="G870" s="94"/>
      <c r="H870" s="59"/>
      <c r="I870" s="94"/>
      <c r="J870" s="59"/>
      <c r="K870" s="94"/>
      <c r="L870" s="94"/>
      <c r="M870" s="94"/>
      <c r="N870" s="59"/>
      <c r="O870" s="88"/>
      <c r="P870" s="95"/>
      <c r="Q870" s="88"/>
      <c r="R870" s="88"/>
      <c r="S870" s="88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</row>
    <row r="871">
      <c r="A871" s="59"/>
      <c r="B871" s="59"/>
      <c r="C871" s="70"/>
      <c r="D871" s="59"/>
      <c r="E871" s="94"/>
      <c r="F871" s="94"/>
      <c r="G871" s="94"/>
      <c r="H871" s="59"/>
      <c r="I871" s="94"/>
      <c r="J871" s="59"/>
      <c r="K871" s="94"/>
      <c r="L871" s="94"/>
      <c r="M871" s="94"/>
      <c r="N871" s="59"/>
      <c r="O871" s="88"/>
      <c r="P871" s="95"/>
      <c r="Q871" s="88"/>
      <c r="R871" s="88"/>
      <c r="S871" s="88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</row>
    <row r="872">
      <c r="A872" s="59"/>
      <c r="B872" s="59"/>
      <c r="C872" s="70"/>
      <c r="D872" s="59"/>
      <c r="E872" s="94"/>
      <c r="F872" s="94"/>
      <c r="G872" s="94"/>
      <c r="H872" s="59"/>
      <c r="I872" s="94"/>
      <c r="J872" s="59"/>
      <c r="K872" s="94"/>
      <c r="L872" s="94"/>
      <c r="M872" s="94"/>
      <c r="N872" s="59"/>
      <c r="O872" s="88"/>
      <c r="P872" s="95"/>
      <c r="Q872" s="88"/>
      <c r="R872" s="88"/>
      <c r="S872" s="88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</row>
    <row r="873">
      <c r="A873" s="59"/>
      <c r="B873" s="59"/>
      <c r="C873" s="70"/>
      <c r="D873" s="59"/>
      <c r="E873" s="94"/>
      <c r="F873" s="94"/>
      <c r="G873" s="94"/>
      <c r="H873" s="59"/>
      <c r="I873" s="94"/>
      <c r="J873" s="59"/>
      <c r="K873" s="94"/>
      <c r="L873" s="94"/>
      <c r="M873" s="94"/>
      <c r="N873" s="59"/>
      <c r="O873" s="88"/>
      <c r="P873" s="95"/>
      <c r="Q873" s="88"/>
      <c r="R873" s="88"/>
      <c r="S873" s="88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</row>
    <row r="874">
      <c r="A874" s="59"/>
      <c r="B874" s="59"/>
      <c r="C874" s="70"/>
      <c r="D874" s="59"/>
      <c r="E874" s="94"/>
      <c r="F874" s="94"/>
      <c r="G874" s="94"/>
      <c r="H874" s="59"/>
      <c r="I874" s="94"/>
      <c r="J874" s="59"/>
      <c r="K874" s="94"/>
      <c r="L874" s="94"/>
      <c r="M874" s="94"/>
      <c r="N874" s="59"/>
      <c r="O874" s="88"/>
      <c r="P874" s="95"/>
      <c r="Q874" s="88"/>
      <c r="R874" s="88"/>
      <c r="S874" s="88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</row>
    <row r="875">
      <c r="A875" s="59"/>
      <c r="B875" s="59"/>
      <c r="C875" s="70"/>
      <c r="D875" s="59"/>
      <c r="E875" s="94"/>
      <c r="F875" s="94"/>
      <c r="G875" s="94"/>
      <c r="H875" s="59"/>
      <c r="I875" s="94"/>
      <c r="J875" s="59"/>
      <c r="K875" s="94"/>
      <c r="L875" s="94"/>
      <c r="M875" s="94"/>
      <c r="N875" s="59"/>
      <c r="O875" s="88"/>
      <c r="P875" s="95"/>
      <c r="Q875" s="88"/>
      <c r="R875" s="88"/>
      <c r="S875" s="88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</row>
    <row r="876">
      <c r="A876" s="59"/>
      <c r="B876" s="59"/>
      <c r="C876" s="70"/>
      <c r="D876" s="59"/>
      <c r="E876" s="94"/>
      <c r="F876" s="94"/>
      <c r="G876" s="94"/>
      <c r="H876" s="59"/>
      <c r="I876" s="94"/>
      <c r="J876" s="59"/>
      <c r="K876" s="94"/>
      <c r="L876" s="94"/>
      <c r="M876" s="94"/>
      <c r="N876" s="59"/>
      <c r="O876" s="88"/>
      <c r="P876" s="95"/>
      <c r="Q876" s="88"/>
      <c r="R876" s="88"/>
      <c r="S876" s="88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</row>
    <row r="877">
      <c r="A877" s="59"/>
      <c r="B877" s="59"/>
      <c r="C877" s="70"/>
      <c r="D877" s="59"/>
      <c r="E877" s="94"/>
      <c r="F877" s="94"/>
      <c r="G877" s="94"/>
      <c r="H877" s="59"/>
      <c r="I877" s="94"/>
      <c r="J877" s="59"/>
      <c r="K877" s="94"/>
      <c r="L877" s="94"/>
      <c r="M877" s="94"/>
      <c r="N877" s="59"/>
      <c r="O877" s="88"/>
      <c r="P877" s="95"/>
      <c r="Q877" s="88"/>
      <c r="R877" s="88"/>
      <c r="S877" s="88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</row>
    <row r="878">
      <c r="A878" s="59"/>
      <c r="B878" s="59"/>
      <c r="C878" s="70"/>
      <c r="D878" s="59"/>
      <c r="E878" s="94"/>
      <c r="F878" s="94"/>
      <c r="G878" s="94"/>
      <c r="H878" s="59"/>
      <c r="I878" s="94"/>
      <c r="J878" s="59"/>
      <c r="K878" s="94"/>
      <c r="L878" s="94"/>
      <c r="M878" s="94"/>
      <c r="N878" s="59"/>
      <c r="O878" s="88"/>
      <c r="P878" s="95"/>
      <c r="Q878" s="88"/>
      <c r="R878" s="88"/>
      <c r="S878" s="88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</row>
    <row r="879">
      <c r="A879" s="59"/>
      <c r="B879" s="59"/>
      <c r="C879" s="70"/>
      <c r="D879" s="59"/>
      <c r="E879" s="94"/>
      <c r="F879" s="94"/>
      <c r="G879" s="94"/>
      <c r="H879" s="59"/>
      <c r="I879" s="94"/>
      <c r="J879" s="59"/>
      <c r="K879" s="94"/>
      <c r="L879" s="94"/>
      <c r="M879" s="94"/>
      <c r="N879" s="59"/>
      <c r="O879" s="88"/>
      <c r="P879" s="95"/>
      <c r="Q879" s="88"/>
      <c r="R879" s="88"/>
      <c r="S879" s="88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</row>
    <row r="880">
      <c r="A880" s="59"/>
      <c r="B880" s="59"/>
      <c r="C880" s="70"/>
      <c r="D880" s="59"/>
      <c r="E880" s="94"/>
      <c r="F880" s="94"/>
      <c r="G880" s="94"/>
      <c r="H880" s="59"/>
      <c r="I880" s="94"/>
      <c r="J880" s="59"/>
      <c r="K880" s="94"/>
      <c r="L880" s="94"/>
      <c r="M880" s="94"/>
      <c r="N880" s="59"/>
      <c r="O880" s="88"/>
      <c r="P880" s="95"/>
      <c r="Q880" s="88"/>
      <c r="R880" s="88"/>
      <c r="S880" s="88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</row>
    <row r="881">
      <c r="A881" s="59"/>
      <c r="B881" s="59"/>
      <c r="C881" s="70"/>
      <c r="D881" s="59"/>
      <c r="E881" s="94"/>
      <c r="F881" s="94"/>
      <c r="G881" s="94"/>
      <c r="H881" s="59"/>
      <c r="I881" s="94"/>
      <c r="J881" s="59"/>
      <c r="K881" s="94"/>
      <c r="L881" s="94"/>
      <c r="M881" s="94"/>
      <c r="N881" s="59"/>
      <c r="O881" s="88"/>
      <c r="P881" s="95"/>
      <c r="Q881" s="88"/>
      <c r="R881" s="88"/>
      <c r="S881" s="88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</row>
    <row r="882">
      <c r="A882" s="59"/>
      <c r="B882" s="59"/>
      <c r="C882" s="70"/>
      <c r="D882" s="59"/>
      <c r="E882" s="94"/>
      <c r="F882" s="94"/>
      <c r="G882" s="94"/>
      <c r="H882" s="59"/>
      <c r="I882" s="94"/>
      <c r="J882" s="59"/>
      <c r="K882" s="94"/>
      <c r="L882" s="94"/>
      <c r="M882" s="94"/>
      <c r="N882" s="59"/>
      <c r="O882" s="88"/>
      <c r="P882" s="95"/>
      <c r="Q882" s="88"/>
      <c r="R882" s="88"/>
      <c r="S882" s="88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</row>
    <row r="883">
      <c r="A883" s="59"/>
      <c r="B883" s="59"/>
      <c r="C883" s="70"/>
      <c r="D883" s="59"/>
      <c r="E883" s="94"/>
      <c r="F883" s="94"/>
      <c r="G883" s="94"/>
      <c r="H883" s="59"/>
      <c r="I883" s="94"/>
      <c r="J883" s="59"/>
      <c r="K883" s="94"/>
      <c r="L883" s="94"/>
      <c r="M883" s="94"/>
      <c r="N883" s="59"/>
      <c r="O883" s="88"/>
      <c r="P883" s="95"/>
      <c r="Q883" s="88"/>
      <c r="R883" s="88"/>
      <c r="S883" s="88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</row>
    <row r="884">
      <c r="A884" s="59"/>
      <c r="B884" s="59"/>
      <c r="C884" s="70"/>
      <c r="D884" s="59"/>
      <c r="E884" s="94"/>
      <c r="F884" s="94"/>
      <c r="G884" s="94"/>
      <c r="H884" s="59"/>
      <c r="I884" s="94"/>
      <c r="J884" s="59"/>
      <c r="K884" s="94"/>
      <c r="L884" s="94"/>
      <c r="M884" s="94"/>
      <c r="N884" s="59"/>
      <c r="O884" s="88"/>
      <c r="P884" s="95"/>
      <c r="Q884" s="88"/>
      <c r="R884" s="88"/>
      <c r="S884" s="88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</row>
    <row r="885">
      <c r="A885" s="59"/>
      <c r="B885" s="59"/>
      <c r="C885" s="70"/>
      <c r="D885" s="59"/>
      <c r="E885" s="94"/>
      <c r="F885" s="94"/>
      <c r="G885" s="94"/>
      <c r="H885" s="59"/>
      <c r="I885" s="94"/>
      <c r="J885" s="59"/>
      <c r="K885" s="94"/>
      <c r="L885" s="94"/>
      <c r="M885" s="94"/>
      <c r="N885" s="59"/>
      <c r="O885" s="88"/>
      <c r="P885" s="95"/>
      <c r="Q885" s="88"/>
      <c r="R885" s="88"/>
      <c r="S885" s="88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</row>
    <row r="886">
      <c r="A886" s="59"/>
      <c r="B886" s="59"/>
      <c r="C886" s="70"/>
      <c r="D886" s="59"/>
      <c r="E886" s="94"/>
      <c r="F886" s="94"/>
      <c r="G886" s="94"/>
      <c r="H886" s="59"/>
      <c r="I886" s="94"/>
      <c r="J886" s="59"/>
      <c r="K886" s="94"/>
      <c r="L886" s="94"/>
      <c r="M886" s="94"/>
      <c r="N886" s="59"/>
      <c r="O886" s="88"/>
      <c r="P886" s="95"/>
      <c r="Q886" s="88"/>
      <c r="R886" s="88"/>
      <c r="S886" s="88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</row>
    <row r="887">
      <c r="A887" s="59"/>
      <c r="B887" s="59"/>
      <c r="C887" s="70"/>
      <c r="D887" s="59"/>
      <c r="E887" s="94"/>
      <c r="F887" s="94"/>
      <c r="G887" s="94"/>
      <c r="H887" s="59"/>
      <c r="I887" s="94"/>
      <c r="J887" s="59"/>
      <c r="K887" s="94"/>
      <c r="L887" s="94"/>
      <c r="M887" s="94"/>
      <c r="N887" s="59"/>
      <c r="O887" s="88"/>
      <c r="P887" s="95"/>
      <c r="Q887" s="88"/>
      <c r="R887" s="88"/>
      <c r="S887" s="88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</row>
    <row r="888">
      <c r="A888" s="59"/>
      <c r="B888" s="59"/>
      <c r="C888" s="70"/>
      <c r="D888" s="59"/>
      <c r="E888" s="94"/>
      <c r="F888" s="94"/>
      <c r="G888" s="94"/>
      <c r="H888" s="59"/>
      <c r="I888" s="94"/>
      <c r="J888" s="59"/>
      <c r="K888" s="94"/>
      <c r="L888" s="94"/>
      <c r="M888" s="94"/>
      <c r="N888" s="59"/>
      <c r="O888" s="88"/>
      <c r="P888" s="95"/>
      <c r="Q888" s="88"/>
      <c r="R888" s="88"/>
      <c r="S888" s="88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</row>
    <row r="889">
      <c r="A889" s="59"/>
      <c r="B889" s="59"/>
      <c r="C889" s="70"/>
      <c r="D889" s="59"/>
      <c r="E889" s="94"/>
      <c r="F889" s="94"/>
      <c r="G889" s="94"/>
      <c r="H889" s="59"/>
      <c r="I889" s="94"/>
      <c r="J889" s="59"/>
      <c r="K889" s="94"/>
      <c r="L889" s="94"/>
      <c r="M889" s="94"/>
      <c r="N889" s="59"/>
      <c r="O889" s="88"/>
      <c r="P889" s="95"/>
      <c r="Q889" s="88"/>
      <c r="R889" s="88"/>
      <c r="S889" s="88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</row>
    <row r="890">
      <c r="A890" s="59"/>
      <c r="B890" s="59"/>
      <c r="C890" s="70"/>
      <c r="D890" s="59"/>
      <c r="E890" s="94"/>
      <c r="F890" s="94"/>
      <c r="G890" s="94"/>
      <c r="H890" s="59"/>
      <c r="I890" s="94"/>
      <c r="J890" s="59"/>
      <c r="K890" s="94"/>
      <c r="L890" s="94"/>
      <c r="M890" s="94"/>
      <c r="N890" s="59"/>
      <c r="O890" s="88"/>
      <c r="P890" s="95"/>
      <c r="Q890" s="88"/>
      <c r="R890" s="88"/>
      <c r="S890" s="88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</row>
    <row r="891">
      <c r="A891" s="59"/>
      <c r="B891" s="59"/>
      <c r="C891" s="70"/>
      <c r="D891" s="59"/>
      <c r="E891" s="94"/>
      <c r="F891" s="94"/>
      <c r="G891" s="94"/>
      <c r="H891" s="59"/>
      <c r="I891" s="94"/>
      <c r="J891" s="59"/>
      <c r="K891" s="94"/>
      <c r="L891" s="94"/>
      <c r="M891" s="94"/>
      <c r="N891" s="59"/>
      <c r="O891" s="88"/>
      <c r="P891" s="95"/>
      <c r="Q891" s="88"/>
      <c r="R891" s="88"/>
      <c r="S891" s="88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</row>
    <row r="892">
      <c r="A892" s="59"/>
      <c r="B892" s="59"/>
      <c r="C892" s="70"/>
      <c r="D892" s="59"/>
      <c r="E892" s="94"/>
      <c r="F892" s="94"/>
      <c r="G892" s="94"/>
      <c r="H892" s="59"/>
      <c r="I892" s="94"/>
      <c r="J892" s="59"/>
      <c r="K892" s="94"/>
      <c r="L892" s="94"/>
      <c r="M892" s="94"/>
      <c r="N892" s="59"/>
      <c r="O892" s="88"/>
      <c r="P892" s="95"/>
      <c r="Q892" s="88"/>
      <c r="R892" s="88"/>
      <c r="S892" s="88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</row>
    <row r="893">
      <c r="A893" s="59"/>
      <c r="B893" s="59"/>
      <c r="C893" s="70"/>
      <c r="D893" s="59"/>
      <c r="E893" s="94"/>
      <c r="F893" s="94"/>
      <c r="G893" s="94"/>
      <c r="H893" s="59"/>
      <c r="I893" s="94"/>
      <c r="J893" s="59"/>
      <c r="K893" s="94"/>
      <c r="L893" s="94"/>
      <c r="M893" s="94"/>
      <c r="N893" s="59"/>
      <c r="O893" s="88"/>
      <c r="P893" s="95"/>
      <c r="Q893" s="88"/>
      <c r="R893" s="88"/>
      <c r="S893" s="88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</row>
    <row r="894">
      <c r="A894" s="59"/>
      <c r="B894" s="59"/>
      <c r="C894" s="70"/>
      <c r="D894" s="59"/>
      <c r="E894" s="94"/>
      <c r="F894" s="94"/>
      <c r="G894" s="94"/>
      <c r="H894" s="59"/>
      <c r="I894" s="94"/>
      <c r="J894" s="59"/>
      <c r="K894" s="94"/>
      <c r="L894" s="94"/>
      <c r="M894" s="94"/>
      <c r="N894" s="59"/>
      <c r="O894" s="88"/>
      <c r="P894" s="95"/>
      <c r="Q894" s="88"/>
      <c r="R894" s="88"/>
      <c r="S894" s="88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</row>
    <row r="895">
      <c r="A895" s="59"/>
      <c r="B895" s="59"/>
      <c r="C895" s="70"/>
      <c r="D895" s="59"/>
      <c r="E895" s="94"/>
      <c r="F895" s="94"/>
      <c r="G895" s="94"/>
      <c r="H895" s="59"/>
      <c r="I895" s="94"/>
      <c r="J895" s="59"/>
      <c r="K895" s="94"/>
      <c r="L895" s="94"/>
      <c r="M895" s="94"/>
      <c r="N895" s="59"/>
      <c r="O895" s="88"/>
      <c r="P895" s="95"/>
      <c r="Q895" s="88"/>
      <c r="R895" s="88"/>
      <c r="S895" s="88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</row>
    <row r="896">
      <c r="A896" s="59"/>
      <c r="B896" s="59"/>
      <c r="C896" s="70"/>
      <c r="D896" s="59"/>
      <c r="E896" s="94"/>
      <c r="F896" s="94"/>
      <c r="G896" s="94"/>
      <c r="H896" s="59"/>
      <c r="I896" s="94"/>
      <c r="J896" s="59"/>
      <c r="K896" s="94"/>
      <c r="L896" s="94"/>
      <c r="M896" s="94"/>
      <c r="N896" s="59"/>
      <c r="O896" s="88"/>
      <c r="P896" s="95"/>
      <c r="Q896" s="88"/>
      <c r="R896" s="88"/>
      <c r="S896" s="88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</row>
    <row r="897">
      <c r="A897" s="59"/>
      <c r="B897" s="59"/>
      <c r="C897" s="70"/>
      <c r="D897" s="59"/>
      <c r="E897" s="94"/>
      <c r="F897" s="94"/>
      <c r="G897" s="94"/>
      <c r="H897" s="59"/>
      <c r="I897" s="94"/>
      <c r="J897" s="59"/>
      <c r="K897" s="94"/>
      <c r="L897" s="94"/>
      <c r="M897" s="94"/>
      <c r="N897" s="59"/>
      <c r="O897" s="88"/>
      <c r="P897" s="95"/>
      <c r="Q897" s="88"/>
      <c r="R897" s="88"/>
      <c r="S897" s="88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</row>
    <row r="898">
      <c r="A898" s="59"/>
      <c r="B898" s="59"/>
      <c r="C898" s="70"/>
      <c r="D898" s="59"/>
      <c r="E898" s="94"/>
      <c r="F898" s="94"/>
      <c r="G898" s="94"/>
      <c r="H898" s="59"/>
      <c r="I898" s="94"/>
      <c r="J898" s="59"/>
      <c r="K898" s="94"/>
      <c r="L898" s="94"/>
      <c r="M898" s="94"/>
      <c r="N898" s="59"/>
      <c r="O898" s="88"/>
      <c r="P898" s="95"/>
      <c r="Q898" s="88"/>
      <c r="R898" s="88"/>
      <c r="S898" s="88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</row>
    <row r="899">
      <c r="A899" s="59"/>
      <c r="B899" s="59"/>
      <c r="C899" s="70"/>
      <c r="D899" s="59"/>
      <c r="E899" s="94"/>
      <c r="F899" s="94"/>
      <c r="G899" s="94"/>
      <c r="H899" s="59"/>
      <c r="I899" s="94"/>
      <c r="J899" s="59"/>
      <c r="K899" s="94"/>
      <c r="L899" s="94"/>
      <c r="M899" s="94"/>
      <c r="N899" s="59"/>
      <c r="O899" s="88"/>
      <c r="P899" s="95"/>
      <c r="Q899" s="88"/>
      <c r="R899" s="88"/>
      <c r="S899" s="88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</row>
    <row r="900">
      <c r="A900" s="59"/>
      <c r="B900" s="59"/>
      <c r="C900" s="70"/>
      <c r="D900" s="59"/>
      <c r="E900" s="94"/>
      <c r="F900" s="94"/>
      <c r="G900" s="94"/>
      <c r="H900" s="59"/>
      <c r="I900" s="94"/>
      <c r="J900" s="59"/>
      <c r="K900" s="94"/>
      <c r="L900" s="94"/>
      <c r="M900" s="94"/>
      <c r="N900" s="59"/>
      <c r="O900" s="88"/>
      <c r="P900" s="95"/>
      <c r="Q900" s="88"/>
      <c r="R900" s="88"/>
      <c r="S900" s="88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</row>
    <row r="901">
      <c r="A901" s="59"/>
      <c r="B901" s="59"/>
      <c r="C901" s="70"/>
      <c r="D901" s="59"/>
      <c r="E901" s="94"/>
      <c r="F901" s="94"/>
      <c r="G901" s="94"/>
      <c r="H901" s="59"/>
      <c r="I901" s="94"/>
      <c r="J901" s="59"/>
      <c r="K901" s="94"/>
      <c r="L901" s="94"/>
      <c r="M901" s="94"/>
      <c r="N901" s="59"/>
      <c r="O901" s="88"/>
      <c r="P901" s="95"/>
      <c r="Q901" s="88"/>
      <c r="R901" s="88"/>
      <c r="S901" s="88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</row>
    <row r="902">
      <c r="A902" s="59"/>
      <c r="B902" s="59"/>
      <c r="C902" s="70"/>
      <c r="D902" s="59"/>
      <c r="E902" s="94"/>
      <c r="F902" s="94"/>
      <c r="G902" s="94"/>
      <c r="H902" s="59"/>
      <c r="I902" s="94"/>
      <c r="J902" s="59"/>
      <c r="K902" s="94"/>
      <c r="L902" s="94"/>
      <c r="M902" s="94"/>
      <c r="N902" s="59"/>
      <c r="O902" s="88"/>
      <c r="P902" s="95"/>
      <c r="Q902" s="88"/>
      <c r="R902" s="88"/>
      <c r="S902" s="88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</row>
    <row r="903">
      <c r="A903" s="59"/>
      <c r="B903" s="59"/>
      <c r="C903" s="70"/>
      <c r="D903" s="59"/>
      <c r="E903" s="94"/>
      <c r="F903" s="94"/>
      <c r="G903" s="94"/>
      <c r="H903" s="59"/>
      <c r="I903" s="94"/>
      <c r="J903" s="59"/>
      <c r="K903" s="94"/>
      <c r="L903" s="94"/>
      <c r="M903" s="94"/>
      <c r="N903" s="59"/>
      <c r="O903" s="88"/>
      <c r="P903" s="95"/>
      <c r="Q903" s="88"/>
      <c r="R903" s="88"/>
      <c r="S903" s="88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</row>
    <row r="904">
      <c r="A904" s="59"/>
      <c r="B904" s="59"/>
      <c r="C904" s="70"/>
      <c r="D904" s="59"/>
      <c r="E904" s="94"/>
      <c r="F904" s="94"/>
      <c r="G904" s="94"/>
      <c r="H904" s="59"/>
      <c r="I904" s="94"/>
      <c r="J904" s="59"/>
      <c r="K904" s="94"/>
      <c r="L904" s="94"/>
      <c r="M904" s="94"/>
      <c r="N904" s="59"/>
      <c r="O904" s="88"/>
      <c r="P904" s="95"/>
      <c r="Q904" s="88"/>
      <c r="R904" s="88"/>
      <c r="S904" s="88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</row>
    <row r="905">
      <c r="A905" s="59"/>
      <c r="B905" s="59"/>
      <c r="C905" s="70"/>
      <c r="D905" s="59"/>
      <c r="E905" s="94"/>
      <c r="F905" s="94"/>
      <c r="G905" s="94"/>
      <c r="H905" s="59"/>
      <c r="I905" s="94"/>
      <c r="J905" s="59"/>
      <c r="K905" s="94"/>
      <c r="L905" s="94"/>
      <c r="M905" s="94"/>
      <c r="N905" s="59"/>
      <c r="O905" s="88"/>
      <c r="P905" s="95"/>
      <c r="Q905" s="88"/>
      <c r="R905" s="88"/>
      <c r="S905" s="88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</row>
    <row r="906">
      <c r="A906" s="59"/>
      <c r="B906" s="59"/>
      <c r="C906" s="70"/>
      <c r="D906" s="59"/>
      <c r="E906" s="94"/>
      <c r="F906" s="94"/>
      <c r="G906" s="94"/>
      <c r="H906" s="59"/>
      <c r="I906" s="94"/>
      <c r="J906" s="59"/>
      <c r="K906" s="94"/>
      <c r="L906" s="94"/>
      <c r="M906" s="94"/>
      <c r="N906" s="59"/>
      <c r="O906" s="88"/>
      <c r="P906" s="95"/>
      <c r="Q906" s="88"/>
      <c r="R906" s="88"/>
      <c r="S906" s="88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</row>
    <row r="907">
      <c r="A907" s="59"/>
      <c r="B907" s="59"/>
      <c r="C907" s="70"/>
      <c r="D907" s="59"/>
      <c r="E907" s="94"/>
      <c r="F907" s="94"/>
      <c r="G907" s="94"/>
      <c r="H907" s="59"/>
      <c r="I907" s="94"/>
      <c r="J907" s="59"/>
      <c r="K907" s="94"/>
      <c r="L907" s="94"/>
      <c r="M907" s="94"/>
      <c r="N907" s="59"/>
      <c r="O907" s="88"/>
      <c r="P907" s="95"/>
      <c r="Q907" s="88"/>
      <c r="R907" s="88"/>
      <c r="S907" s="88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</row>
    <row r="908">
      <c r="A908" s="59"/>
      <c r="B908" s="59"/>
      <c r="C908" s="70"/>
      <c r="D908" s="59"/>
      <c r="E908" s="94"/>
      <c r="F908" s="94"/>
      <c r="G908" s="94"/>
      <c r="H908" s="59"/>
      <c r="I908" s="94"/>
      <c r="J908" s="59"/>
      <c r="K908" s="94"/>
      <c r="L908" s="94"/>
      <c r="M908" s="94"/>
      <c r="N908" s="59"/>
      <c r="O908" s="88"/>
      <c r="P908" s="95"/>
      <c r="Q908" s="88"/>
      <c r="R908" s="88"/>
      <c r="S908" s="88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</row>
    <row r="909">
      <c r="A909" s="59"/>
      <c r="B909" s="59"/>
      <c r="C909" s="70"/>
      <c r="D909" s="59"/>
      <c r="E909" s="94"/>
      <c r="F909" s="94"/>
      <c r="G909" s="94"/>
      <c r="H909" s="59"/>
      <c r="I909" s="94"/>
      <c r="J909" s="59"/>
      <c r="K909" s="94"/>
      <c r="L909" s="94"/>
      <c r="M909" s="94"/>
      <c r="N909" s="59"/>
      <c r="O909" s="88"/>
      <c r="P909" s="95"/>
      <c r="Q909" s="88"/>
      <c r="R909" s="88"/>
      <c r="S909" s="88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</row>
    <row r="910">
      <c r="A910" s="59"/>
      <c r="B910" s="59"/>
      <c r="C910" s="70"/>
      <c r="D910" s="59"/>
      <c r="E910" s="94"/>
      <c r="F910" s="94"/>
      <c r="G910" s="94"/>
      <c r="H910" s="59"/>
      <c r="I910" s="94"/>
      <c r="J910" s="59"/>
      <c r="K910" s="94"/>
      <c r="L910" s="94"/>
      <c r="M910" s="94"/>
      <c r="N910" s="59"/>
      <c r="O910" s="88"/>
      <c r="P910" s="95"/>
      <c r="Q910" s="88"/>
      <c r="R910" s="88"/>
      <c r="S910" s="88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</row>
    <row r="911">
      <c r="A911" s="59"/>
      <c r="B911" s="59"/>
      <c r="C911" s="70"/>
      <c r="D911" s="59"/>
      <c r="E911" s="94"/>
      <c r="F911" s="94"/>
      <c r="G911" s="94"/>
      <c r="H911" s="59"/>
      <c r="I911" s="94"/>
      <c r="J911" s="59"/>
      <c r="K911" s="94"/>
      <c r="L911" s="94"/>
      <c r="M911" s="94"/>
      <c r="N911" s="59"/>
      <c r="O911" s="88"/>
      <c r="P911" s="95"/>
      <c r="Q911" s="88"/>
      <c r="R911" s="88"/>
      <c r="S911" s="88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</row>
    <row r="912">
      <c r="A912" s="59"/>
      <c r="B912" s="59"/>
      <c r="C912" s="70"/>
      <c r="D912" s="59"/>
      <c r="E912" s="94"/>
      <c r="F912" s="94"/>
      <c r="G912" s="94"/>
      <c r="H912" s="59"/>
      <c r="I912" s="94"/>
      <c r="J912" s="59"/>
      <c r="K912" s="94"/>
      <c r="L912" s="94"/>
      <c r="M912" s="94"/>
      <c r="N912" s="59"/>
      <c r="O912" s="88"/>
      <c r="P912" s="95"/>
      <c r="Q912" s="88"/>
      <c r="R912" s="88"/>
      <c r="S912" s="88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</row>
    <row r="913">
      <c r="A913" s="59"/>
      <c r="B913" s="59"/>
      <c r="C913" s="70"/>
      <c r="D913" s="59"/>
      <c r="E913" s="94"/>
      <c r="F913" s="94"/>
      <c r="G913" s="94"/>
      <c r="H913" s="59"/>
      <c r="I913" s="94"/>
      <c r="J913" s="59"/>
      <c r="K913" s="94"/>
      <c r="L913" s="94"/>
      <c r="M913" s="94"/>
      <c r="N913" s="59"/>
      <c r="O913" s="88"/>
      <c r="P913" s="95"/>
      <c r="Q913" s="88"/>
      <c r="R913" s="88"/>
      <c r="S913" s="88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</row>
    <row r="914">
      <c r="A914" s="59"/>
      <c r="B914" s="59"/>
      <c r="C914" s="70"/>
      <c r="D914" s="59"/>
      <c r="E914" s="94"/>
      <c r="F914" s="94"/>
      <c r="G914" s="94"/>
      <c r="H914" s="59"/>
      <c r="I914" s="94"/>
      <c r="J914" s="59"/>
      <c r="K914" s="94"/>
      <c r="L914" s="94"/>
      <c r="M914" s="94"/>
      <c r="N914" s="59"/>
      <c r="O914" s="88"/>
      <c r="P914" s="95"/>
      <c r="Q914" s="88"/>
      <c r="R914" s="88"/>
      <c r="S914" s="88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</row>
    <row r="915">
      <c r="A915" s="59"/>
      <c r="B915" s="59"/>
      <c r="C915" s="70"/>
      <c r="D915" s="59"/>
      <c r="E915" s="94"/>
      <c r="F915" s="94"/>
      <c r="G915" s="94"/>
      <c r="H915" s="59"/>
      <c r="I915" s="94"/>
      <c r="J915" s="59"/>
      <c r="K915" s="94"/>
      <c r="L915" s="94"/>
      <c r="M915" s="94"/>
      <c r="N915" s="59"/>
      <c r="O915" s="88"/>
      <c r="P915" s="95"/>
      <c r="Q915" s="88"/>
      <c r="R915" s="88"/>
      <c r="S915" s="88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</row>
    <row r="916">
      <c r="A916" s="59"/>
      <c r="B916" s="59"/>
      <c r="C916" s="70"/>
      <c r="D916" s="59"/>
      <c r="E916" s="94"/>
      <c r="F916" s="94"/>
      <c r="G916" s="94"/>
      <c r="H916" s="59"/>
      <c r="I916" s="94"/>
      <c r="J916" s="59"/>
      <c r="K916" s="94"/>
      <c r="L916" s="94"/>
      <c r="M916" s="94"/>
      <c r="N916" s="59"/>
      <c r="O916" s="88"/>
      <c r="P916" s="95"/>
      <c r="Q916" s="88"/>
      <c r="R916" s="88"/>
      <c r="S916" s="88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</row>
    <row r="917">
      <c r="A917" s="59"/>
      <c r="B917" s="59"/>
      <c r="C917" s="70"/>
      <c r="D917" s="59"/>
      <c r="E917" s="94"/>
      <c r="F917" s="94"/>
      <c r="G917" s="94"/>
      <c r="H917" s="59"/>
      <c r="I917" s="94"/>
      <c r="J917" s="59"/>
      <c r="K917" s="94"/>
      <c r="L917" s="94"/>
      <c r="M917" s="94"/>
      <c r="N917" s="59"/>
      <c r="O917" s="88"/>
      <c r="P917" s="95"/>
      <c r="Q917" s="88"/>
      <c r="R917" s="88"/>
      <c r="S917" s="88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</row>
    <row r="918">
      <c r="A918" s="59"/>
      <c r="B918" s="59"/>
      <c r="C918" s="70"/>
      <c r="D918" s="59"/>
      <c r="E918" s="94"/>
      <c r="F918" s="94"/>
      <c r="G918" s="94"/>
      <c r="H918" s="59"/>
      <c r="I918" s="94"/>
      <c r="J918" s="59"/>
      <c r="K918" s="94"/>
      <c r="L918" s="94"/>
      <c r="M918" s="94"/>
      <c r="N918" s="59"/>
      <c r="O918" s="88"/>
      <c r="P918" s="95"/>
      <c r="Q918" s="88"/>
      <c r="R918" s="88"/>
      <c r="S918" s="88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</row>
    <row r="919">
      <c r="A919" s="59"/>
      <c r="B919" s="59"/>
      <c r="C919" s="70"/>
      <c r="D919" s="59"/>
      <c r="E919" s="94"/>
      <c r="F919" s="94"/>
      <c r="G919" s="94"/>
      <c r="H919" s="59"/>
      <c r="I919" s="94"/>
      <c r="J919" s="59"/>
      <c r="K919" s="94"/>
      <c r="L919" s="94"/>
      <c r="M919" s="94"/>
      <c r="N919" s="59"/>
      <c r="O919" s="88"/>
      <c r="P919" s="95"/>
      <c r="Q919" s="88"/>
      <c r="R919" s="88"/>
      <c r="S919" s="88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</row>
    <row r="920">
      <c r="A920" s="59"/>
      <c r="B920" s="59"/>
      <c r="C920" s="70"/>
      <c r="D920" s="59"/>
      <c r="E920" s="94"/>
      <c r="F920" s="94"/>
      <c r="G920" s="94"/>
      <c r="H920" s="59"/>
      <c r="I920" s="94"/>
      <c r="J920" s="59"/>
      <c r="K920" s="94"/>
      <c r="L920" s="94"/>
      <c r="M920" s="94"/>
      <c r="N920" s="59"/>
      <c r="O920" s="88"/>
      <c r="P920" s="95"/>
      <c r="Q920" s="88"/>
      <c r="R920" s="88"/>
      <c r="S920" s="88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</row>
    <row r="921">
      <c r="A921" s="59"/>
      <c r="B921" s="59"/>
      <c r="C921" s="70"/>
      <c r="D921" s="59"/>
      <c r="E921" s="94"/>
      <c r="F921" s="94"/>
      <c r="G921" s="94"/>
      <c r="H921" s="59"/>
      <c r="I921" s="94"/>
      <c r="J921" s="59"/>
      <c r="K921" s="94"/>
      <c r="L921" s="94"/>
      <c r="M921" s="94"/>
      <c r="N921" s="59"/>
      <c r="O921" s="88"/>
      <c r="P921" s="95"/>
      <c r="Q921" s="88"/>
      <c r="R921" s="88"/>
      <c r="S921" s="88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</row>
    <row r="922">
      <c r="A922" s="59"/>
      <c r="B922" s="59"/>
      <c r="C922" s="70"/>
      <c r="D922" s="59"/>
      <c r="E922" s="94"/>
      <c r="F922" s="94"/>
      <c r="G922" s="94"/>
      <c r="H922" s="59"/>
      <c r="I922" s="94"/>
      <c r="J922" s="59"/>
      <c r="K922" s="94"/>
      <c r="L922" s="94"/>
      <c r="M922" s="94"/>
      <c r="N922" s="59"/>
      <c r="O922" s="88"/>
      <c r="P922" s="95"/>
      <c r="Q922" s="88"/>
      <c r="R922" s="88"/>
      <c r="S922" s="88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</row>
    <row r="923">
      <c r="A923" s="59"/>
      <c r="B923" s="59"/>
      <c r="C923" s="70"/>
      <c r="D923" s="59"/>
      <c r="E923" s="94"/>
      <c r="F923" s="94"/>
      <c r="G923" s="94"/>
      <c r="H923" s="59"/>
      <c r="I923" s="94"/>
      <c r="J923" s="59"/>
      <c r="K923" s="94"/>
      <c r="L923" s="94"/>
      <c r="M923" s="94"/>
      <c r="N923" s="59"/>
      <c r="O923" s="88"/>
      <c r="P923" s="95"/>
      <c r="Q923" s="88"/>
      <c r="R923" s="88"/>
      <c r="S923" s="88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</row>
    <row r="924">
      <c r="A924" s="59"/>
      <c r="B924" s="59"/>
      <c r="C924" s="70"/>
      <c r="D924" s="59"/>
      <c r="E924" s="94"/>
      <c r="F924" s="94"/>
      <c r="G924" s="94"/>
      <c r="H924" s="59"/>
      <c r="I924" s="94"/>
      <c r="J924" s="59"/>
      <c r="K924" s="94"/>
      <c r="L924" s="94"/>
      <c r="M924" s="94"/>
      <c r="N924" s="59"/>
      <c r="O924" s="88"/>
      <c r="P924" s="95"/>
      <c r="Q924" s="88"/>
      <c r="R924" s="88"/>
      <c r="S924" s="88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</row>
    <row r="925">
      <c r="A925" s="59"/>
      <c r="B925" s="59"/>
      <c r="C925" s="70"/>
      <c r="D925" s="59"/>
      <c r="E925" s="94"/>
      <c r="F925" s="94"/>
      <c r="G925" s="94"/>
      <c r="H925" s="59"/>
      <c r="I925" s="94"/>
      <c r="J925" s="59"/>
      <c r="K925" s="94"/>
      <c r="L925" s="94"/>
      <c r="M925" s="94"/>
      <c r="N925" s="59"/>
      <c r="O925" s="88"/>
      <c r="P925" s="95"/>
      <c r="Q925" s="88"/>
      <c r="R925" s="88"/>
      <c r="S925" s="88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</row>
    <row r="926">
      <c r="A926" s="59"/>
      <c r="B926" s="59"/>
      <c r="C926" s="70"/>
      <c r="D926" s="59"/>
      <c r="E926" s="94"/>
      <c r="F926" s="94"/>
      <c r="G926" s="94"/>
      <c r="H926" s="59"/>
      <c r="I926" s="94"/>
      <c r="J926" s="59"/>
      <c r="K926" s="94"/>
      <c r="L926" s="94"/>
      <c r="M926" s="94"/>
      <c r="N926" s="59"/>
      <c r="O926" s="88"/>
      <c r="P926" s="95"/>
      <c r="Q926" s="88"/>
      <c r="R926" s="88"/>
      <c r="S926" s="88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</row>
    <row r="927">
      <c r="A927" s="59"/>
      <c r="B927" s="59"/>
      <c r="C927" s="70"/>
      <c r="D927" s="59"/>
      <c r="E927" s="94"/>
      <c r="F927" s="94"/>
      <c r="G927" s="94"/>
      <c r="H927" s="59"/>
      <c r="I927" s="94"/>
      <c r="J927" s="59"/>
      <c r="K927" s="94"/>
      <c r="L927" s="94"/>
      <c r="M927" s="94"/>
      <c r="N927" s="59"/>
      <c r="O927" s="88"/>
      <c r="P927" s="95"/>
      <c r="Q927" s="88"/>
      <c r="R927" s="88"/>
      <c r="S927" s="88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</row>
    <row r="928">
      <c r="A928" s="59"/>
      <c r="B928" s="59"/>
      <c r="C928" s="70"/>
      <c r="D928" s="59"/>
      <c r="E928" s="94"/>
      <c r="F928" s="94"/>
      <c r="G928" s="94"/>
      <c r="H928" s="59"/>
      <c r="I928" s="94"/>
      <c r="J928" s="59"/>
      <c r="K928" s="94"/>
      <c r="L928" s="94"/>
      <c r="M928" s="94"/>
      <c r="N928" s="59"/>
      <c r="O928" s="88"/>
      <c r="P928" s="95"/>
      <c r="Q928" s="88"/>
      <c r="R928" s="88"/>
      <c r="S928" s="88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</row>
    <row r="929">
      <c r="A929" s="59"/>
      <c r="B929" s="59"/>
      <c r="C929" s="70"/>
      <c r="D929" s="59"/>
      <c r="E929" s="94"/>
      <c r="F929" s="94"/>
      <c r="G929" s="94"/>
      <c r="H929" s="59"/>
      <c r="I929" s="94"/>
      <c r="J929" s="59"/>
      <c r="K929" s="94"/>
      <c r="L929" s="94"/>
      <c r="M929" s="94"/>
      <c r="N929" s="59"/>
      <c r="O929" s="88"/>
      <c r="P929" s="95"/>
      <c r="Q929" s="88"/>
      <c r="R929" s="88"/>
      <c r="S929" s="88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</row>
    <row r="930">
      <c r="A930" s="59"/>
      <c r="B930" s="59"/>
      <c r="C930" s="70"/>
      <c r="D930" s="59"/>
      <c r="E930" s="94"/>
      <c r="F930" s="94"/>
      <c r="G930" s="94"/>
      <c r="H930" s="59"/>
      <c r="I930" s="94"/>
      <c r="J930" s="59"/>
      <c r="K930" s="94"/>
      <c r="L930" s="94"/>
      <c r="M930" s="94"/>
      <c r="N930" s="59"/>
      <c r="O930" s="88"/>
      <c r="P930" s="95"/>
      <c r="Q930" s="88"/>
      <c r="R930" s="88"/>
      <c r="S930" s="88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</row>
    <row r="931">
      <c r="A931" s="59"/>
      <c r="B931" s="59"/>
      <c r="C931" s="70"/>
      <c r="D931" s="59"/>
      <c r="E931" s="94"/>
      <c r="F931" s="94"/>
      <c r="G931" s="94"/>
      <c r="H931" s="59"/>
      <c r="I931" s="94"/>
      <c r="J931" s="59"/>
      <c r="K931" s="94"/>
      <c r="L931" s="94"/>
      <c r="M931" s="94"/>
      <c r="N931" s="59"/>
      <c r="O931" s="88"/>
      <c r="P931" s="95"/>
      <c r="Q931" s="88"/>
      <c r="R931" s="88"/>
      <c r="S931" s="88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</row>
    <row r="932">
      <c r="A932" s="59"/>
      <c r="B932" s="59"/>
      <c r="C932" s="70"/>
      <c r="D932" s="59"/>
      <c r="E932" s="94"/>
      <c r="F932" s="94"/>
      <c r="G932" s="94"/>
      <c r="H932" s="59"/>
      <c r="I932" s="94"/>
      <c r="J932" s="59"/>
      <c r="K932" s="94"/>
      <c r="L932" s="94"/>
      <c r="M932" s="94"/>
      <c r="N932" s="59"/>
      <c r="O932" s="88"/>
      <c r="P932" s="95"/>
      <c r="Q932" s="88"/>
      <c r="R932" s="88"/>
      <c r="S932" s="88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</row>
    <row r="933">
      <c r="A933" s="59"/>
      <c r="B933" s="59"/>
      <c r="C933" s="70"/>
      <c r="D933" s="59"/>
      <c r="E933" s="94"/>
      <c r="F933" s="94"/>
      <c r="G933" s="94"/>
      <c r="H933" s="59"/>
      <c r="I933" s="94"/>
      <c r="J933" s="59"/>
      <c r="K933" s="94"/>
      <c r="L933" s="94"/>
      <c r="M933" s="94"/>
      <c r="N933" s="59"/>
      <c r="O933" s="88"/>
      <c r="P933" s="95"/>
      <c r="Q933" s="88"/>
      <c r="R933" s="88"/>
      <c r="S933" s="88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</row>
    <row r="934">
      <c r="A934" s="59"/>
      <c r="B934" s="59"/>
      <c r="C934" s="70"/>
      <c r="D934" s="59"/>
      <c r="E934" s="94"/>
      <c r="F934" s="94"/>
      <c r="G934" s="94"/>
      <c r="H934" s="59"/>
      <c r="I934" s="94"/>
      <c r="J934" s="59"/>
      <c r="K934" s="94"/>
      <c r="L934" s="94"/>
      <c r="M934" s="94"/>
      <c r="N934" s="59"/>
      <c r="O934" s="88"/>
      <c r="P934" s="95"/>
      <c r="Q934" s="88"/>
      <c r="R934" s="88"/>
      <c r="S934" s="88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</row>
    <row r="935">
      <c r="A935" s="59"/>
      <c r="B935" s="59"/>
      <c r="C935" s="70"/>
      <c r="D935" s="59"/>
      <c r="E935" s="94"/>
      <c r="F935" s="94"/>
      <c r="G935" s="94"/>
      <c r="H935" s="59"/>
      <c r="I935" s="94"/>
      <c r="J935" s="59"/>
      <c r="K935" s="94"/>
      <c r="L935" s="94"/>
      <c r="M935" s="94"/>
      <c r="N935" s="59"/>
      <c r="O935" s="88"/>
      <c r="P935" s="95"/>
      <c r="Q935" s="88"/>
      <c r="R935" s="88"/>
      <c r="S935" s="88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</row>
    <row r="936">
      <c r="A936" s="59"/>
      <c r="B936" s="59"/>
      <c r="C936" s="70"/>
      <c r="D936" s="59"/>
      <c r="E936" s="94"/>
      <c r="F936" s="94"/>
      <c r="G936" s="94"/>
      <c r="H936" s="59"/>
      <c r="I936" s="94"/>
      <c r="J936" s="59"/>
      <c r="K936" s="94"/>
      <c r="L936" s="94"/>
      <c r="M936" s="94"/>
      <c r="N936" s="59"/>
      <c r="O936" s="88"/>
      <c r="P936" s="95"/>
      <c r="Q936" s="88"/>
      <c r="R936" s="88"/>
      <c r="S936" s="88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</row>
    <row r="937">
      <c r="A937" s="59"/>
      <c r="B937" s="59"/>
      <c r="C937" s="70"/>
      <c r="D937" s="59"/>
      <c r="E937" s="94"/>
      <c r="F937" s="94"/>
      <c r="G937" s="94"/>
      <c r="H937" s="59"/>
      <c r="I937" s="94"/>
      <c r="J937" s="59"/>
      <c r="K937" s="94"/>
      <c r="L937" s="94"/>
      <c r="M937" s="94"/>
      <c r="N937" s="59"/>
      <c r="O937" s="88"/>
      <c r="P937" s="95"/>
      <c r="Q937" s="88"/>
      <c r="R937" s="88"/>
      <c r="S937" s="88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</row>
    <row r="938">
      <c r="A938" s="59"/>
      <c r="B938" s="59"/>
      <c r="C938" s="70"/>
      <c r="D938" s="59"/>
      <c r="E938" s="94"/>
      <c r="F938" s="94"/>
      <c r="G938" s="94"/>
      <c r="H938" s="59"/>
      <c r="I938" s="94"/>
      <c r="J938" s="59"/>
      <c r="K938" s="94"/>
      <c r="L938" s="94"/>
      <c r="M938" s="94"/>
      <c r="N938" s="59"/>
      <c r="O938" s="88"/>
      <c r="P938" s="95"/>
      <c r="Q938" s="88"/>
      <c r="R938" s="88"/>
      <c r="S938" s="88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</row>
    <row r="939">
      <c r="A939" s="59"/>
      <c r="B939" s="59"/>
      <c r="C939" s="70"/>
      <c r="D939" s="59"/>
      <c r="E939" s="94"/>
      <c r="F939" s="94"/>
      <c r="G939" s="94"/>
      <c r="H939" s="59"/>
      <c r="I939" s="94"/>
      <c r="J939" s="59"/>
      <c r="K939" s="94"/>
      <c r="L939" s="94"/>
      <c r="M939" s="94"/>
      <c r="N939" s="59"/>
      <c r="O939" s="88"/>
      <c r="P939" s="95"/>
      <c r="Q939" s="88"/>
      <c r="R939" s="88"/>
      <c r="S939" s="88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</row>
    <row r="940">
      <c r="A940" s="59"/>
      <c r="B940" s="59"/>
      <c r="C940" s="70"/>
      <c r="D940" s="59"/>
      <c r="E940" s="94"/>
      <c r="F940" s="94"/>
      <c r="G940" s="94"/>
      <c r="H940" s="59"/>
      <c r="I940" s="94"/>
      <c r="J940" s="59"/>
      <c r="K940" s="94"/>
      <c r="L940" s="94"/>
      <c r="M940" s="94"/>
      <c r="N940" s="59"/>
      <c r="O940" s="88"/>
      <c r="P940" s="95"/>
      <c r="Q940" s="88"/>
      <c r="R940" s="88"/>
      <c r="S940" s="88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</row>
    <row r="941">
      <c r="A941" s="59"/>
      <c r="B941" s="59"/>
      <c r="C941" s="70"/>
      <c r="D941" s="59"/>
      <c r="E941" s="94"/>
      <c r="F941" s="94"/>
      <c r="G941" s="94"/>
      <c r="H941" s="59"/>
      <c r="I941" s="94"/>
      <c r="J941" s="59"/>
      <c r="K941" s="94"/>
      <c r="L941" s="94"/>
      <c r="M941" s="94"/>
      <c r="N941" s="59"/>
      <c r="O941" s="88"/>
      <c r="P941" s="95"/>
      <c r="Q941" s="88"/>
      <c r="R941" s="88"/>
      <c r="S941" s="88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</row>
    <row r="942">
      <c r="A942" s="59"/>
      <c r="B942" s="59"/>
      <c r="C942" s="70"/>
      <c r="D942" s="59"/>
      <c r="E942" s="94"/>
      <c r="F942" s="94"/>
      <c r="G942" s="94"/>
      <c r="H942" s="59"/>
      <c r="I942" s="94"/>
      <c r="J942" s="59"/>
      <c r="K942" s="94"/>
      <c r="L942" s="94"/>
      <c r="M942" s="94"/>
      <c r="N942" s="59"/>
      <c r="O942" s="88"/>
      <c r="P942" s="95"/>
      <c r="Q942" s="88"/>
      <c r="R942" s="88"/>
      <c r="S942" s="88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</row>
    <row r="943">
      <c r="A943" s="59"/>
      <c r="B943" s="59"/>
      <c r="C943" s="70"/>
      <c r="D943" s="59"/>
      <c r="E943" s="94"/>
      <c r="F943" s="94"/>
      <c r="G943" s="94"/>
      <c r="H943" s="59"/>
      <c r="I943" s="94"/>
      <c r="J943" s="59"/>
      <c r="K943" s="94"/>
      <c r="L943" s="94"/>
      <c r="M943" s="94"/>
      <c r="N943" s="59"/>
      <c r="O943" s="88"/>
      <c r="P943" s="95"/>
      <c r="Q943" s="88"/>
      <c r="R943" s="88"/>
      <c r="S943" s="88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</row>
    <row r="944">
      <c r="A944" s="59"/>
      <c r="B944" s="59"/>
      <c r="C944" s="70"/>
      <c r="D944" s="59"/>
      <c r="E944" s="94"/>
      <c r="F944" s="94"/>
      <c r="G944" s="94"/>
      <c r="H944" s="59"/>
      <c r="I944" s="94"/>
      <c r="J944" s="59"/>
      <c r="K944" s="94"/>
      <c r="L944" s="94"/>
      <c r="M944" s="94"/>
      <c r="N944" s="59"/>
      <c r="O944" s="88"/>
      <c r="P944" s="95"/>
      <c r="Q944" s="88"/>
      <c r="R944" s="88"/>
      <c r="S944" s="88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</row>
    <row r="945">
      <c r="A945" s="59"/>
      <c r="B945" s="59"/>
      <c r="C945" s="70"/>
      <c r="D945" s="59"/>
      <c r="E945" s="94"/>
      <c r="F945" s="94"/>
      <c r="G945" s="94"/>
      <c r="H945" s="59"/>
      <c r="I945" s="94"/>
      <c r="J945" s="59"/>
      <c r="K945" s="94"/>
      <c r="L945" s="94"/>
      <c r="M945" s="94"/>
      <c r="N945" s="59"/>
      <c r="O945" s="88"/>
      <c r="P945" s="95"/>
      <c r="Q945" s="88"/>
      <c r="R945" s="88"/>
      <c r="S945" s="88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</row>
    <row r="946">
      <c r="A946" s="59"/>
      <c r="B946" s="59"/>
      <c r="C946" s="70"/>
      <c r="D946" s="59"/>
      <c r="E946" s="94"/>
      <c r="F946" s="94"/>
      <c r="G946" s="94"/>
      <c r="H946" s="59"/>
      <c r="I946" s="94"/>
      <c r="J946" s="59"/>
      <c r="K946" s="94"/>
      <c r="L946" s="94"/>
      <c r="M946" s="94"/>
      <c r="N946" s="59"/>
      <c r="O946" s="88"/>
      <c r="P946" s="95"/>
      <c r="Q946" s="88"/>
      <c r="R946" s="88"/>
      <c r="S946" s="88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</row>
    <row r="947">
      <c r="A947" s="59"/>
      <c r="B947" s="59"/>
      <c r="C947" s="70"/>
      <c r="D947" s="59"/>
      <c r="E947" s="94"/>
      <c r="F947" s="94"/>
      <c r="G947" s="94"/>
      <c r="H947" s="59"/>
      <c r="I947" s="94"/>
      <c r="J947" s="59"/>
      <c r="K947" s="94"/>
      <c r="L947" s="94"/>
      <c r="M947" s="94"/>
      <c r="N947" s="59"/>
      <c r="O947" s="88"/>
      <c r="P947" s="95"/>
      <c r="Q947" s="88"/>
      <c r="R947" s="88"/>
      <c r="S947" s="88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</row>
    <row r="948">
      <c r="A948" s="59"/>
      <c r="B948" s="59"/>
      <c r="C948" s="70"/>
      <c r="D948" s="59"/>
      <c r="E948" s="94"/>
      <c r="F948" s="94"/>
      <c r="G948" s="94"/>
      <c r="H948" s="59"/>
      <c r="I948" s="94"/>
      <c r="J948" s="59"/>
      <c r="K948" s="94"/>
      <c r="L948" s="94"/>
      <c r="M948" s="94"/>
      <c r="N948" s="59"/>
      <c r="O948" s="88"/>
      <c r="P948" s="95"/>
      <c r="Q948" s="88"/>
      <c r="R948" s="88"/>
      <c r="S948" s="88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</row>
    <row r="949">
      <c r="A949" s="59"/>
      <c r="B949" s="59"/>
      <c r="C949" s="70"/>
      <c r="D949" s="59"/>
      <c r="E949" s="94"/>
      <c r="F949" s="94"/>
      <c r="G949" s="94"/>
      <c r="H949" s="59"/>
      <c r="I949" s="94"/>
      <c r="J949" s="59"/>
      <c r="K949" s="94"/>
      <c r="L949" s="94"/>
      <c r="M949" s="94"/>
      <c r="N949" s="59"/>
      <c r="O949" s="88"/>
      <c r="P949" s="95"/>
      <c r="Q949" s="88"/>
      <c r="R949" s="88"/>
      <c r="S949" s="88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</row>
    <row r="950">
      <c r="A950" s="59"/>
      <c r="B950" s="59"/>
      <c r="C950" s="70"/>
      <c r="D950" s="59"/>
      <c r="E950" s="94"/>
      <c r="F950" s="94"/>
      <c r="G950" s="94"/>
      <c r="H950" s="59"/>
      <c r="I950" s="94"/>
      <c r="J950" s="59"/>
      <c r="K950" s="94"/>
      <c r="L950" s="94"/>
      <c r="M950" s="94"/>
      <c r="N950" s="59"/>
      <c r="O950" s="88"/>
      <c r="P950" s="95"/>
      <c r="Q950" s="88"/>
      <c r="R950" s="88"/>
      <c r="S950" s="88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</row>
    <row r="951">
      <c r="A951" s="59"/>
      <c r="B951" s="59"/>
      <c r="C951" s="70"/>
      <c r="D951" s="59"/>
      <c r="E951" s="94"/>
      <c r="F951" s="94"/>
      <c r="G951" s="94"/>
      <c r="H951" s="59"/>
      <c r="I951" s="94"/>
      <c r="J951" s="59"/>
      <c r="K951" s="94"/>
      <c r="L951" s="94"/>
      <c r="M951" s="94"/>
      <c r="N951" s="59"/>
      <c r="O951" s="88"/>
      <c r="P951" s="95"/>
      <c r="Q951" s="88"/>
      <c r="R951" s="88"/>
      <c r="S951" s="88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</row>
    <row r="952">
      <c r="A952" s="59"/>
      <c r="B952" s="59"/>
      <c r="C952" s="70"/>
      <c r="D952" s="59"/>
      <c r="E952" s="94"/>
      <c r="F952" s="94"/>
      <c r="G952" s="94"/>
      <c r="H952" s="59"/>
      <c r="I952" s="94"/>
      <c r="J952" s="59"/>
      <c r="K952" s="94"/>
      <c r="L952" s="94"/>
      <c r="M952" s="94"/>
      <c r="N952" s="59"/>
      <c r="O952" s="88"/>
      <c r="P952" s="95"/>
      <c r="Q952" s="88"/>
      <c r="R952" s="88"/>
      <c r="S952" s="88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</row>
    <row r="953">
      <c r="A953" s="59"/>
      <c r="B953" s="59"/>
      <c r="C953" s="70"/>
      <c r="D953" s="59"/>
      <c r="E953" s="94"/>
      <c r="F953" s="94"/>
      <c r="G953" s="94"/>
      <c r="H953" s="59"/>
      <c r="I953" s="94"/>
      <c r="J953" s="59"/>
      <c r="K953" s="94"/>
      <c r="L953" s="94"/>
      <c r="M953" s="94"/>
      <c r="N953" s="59"/>
      <c r="O953" s="88"/>
      <c r="P953" s="95"/>
      <c r="Q953" s="88"/>
      <c r="R953" s="88"/>
      <c r="S953" s="88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</row>
    <row r="954">
      <c r="A954" s="59"/>
      <c r="B954" s="59"/>
      <c r="C954" s="70"/>
      <c r="D954" s="59"/>
      <c r="E954" s="94"/>
      <c r="F954" s="94"/>
      <c r="G954" s="94"/>
      <c r="H954" s="59"/>
      <c r="I954" s="94"/>
      <c r="J954" s="59"/>
      <c r="K954" s="94"/>
      <c r="L954" s="94"/>
      <c r="M954" s="94"/>
      <c r="N954" s="59"/>
      <c r="O954" s="88"/>
      <c r="P954" s="95"/>
      <c r="Q954" s="88"/>
      <c r="R954" s="88"/>
      <c r="S954" s="88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</row>
    <row r="955">
      <c r="A955" s="59"/>
      <c r="B955" s="59"/>
      <c r="C955" s="70"/>
      <c r="D955" s="59"/>
      <c r="E955" s="94"/>
      <c r="F955" s="94"/>
      <c r="G955" s="94"/>
      <c r="H955" s="59"/>
      <c r="I955" s="94"/>
      <c r="J955" s="59"/>
      <c r="K955" s="94"/>
      <c r="L955" s="94"/>
      <c r="M955" s="94"/>
      <c r="N955" s="59"/>
      <c r="O955" s="88"/>
      <c r="P955" s="95"/>
      <c r="Q955" s="88"/>
      <c r="R955" s="88"/>
      <c r="S955" s="88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</row>
    <row r="956">
      <c r="A956" s="59"/>
      <c r="B956" s="59"/>
      <c r="C956" s="70"/>
      <c r="D956" s="59"/>
      <c r="E956" s="94"/>
      <c r="F956" s="94"/>
      <c r="G956" s="94"/>
      <c r="H956" s="59"/>
      <c r="I956" s="94"/>
      <c r="J956" s="59"/>
      <c r="K956" s="94"/>
      <c r="L956" s="94"/>
      <c r="M956" s="94"/>
      <c r="N956" s="59"/>
      <c r="O956" s="88"/>
      <c r="P956" s="95"/>
      <c r="Q956" s="88"/>
      <c r="R956" s="88"/>
      <c r="S956" s="88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</row>
    <row r="957">
      <c r="A957" s="59"/>
      <c r="B957" s="59"/>
      <c r="C957" s="70"/>
      <c r="D957" s="59"/>
      <c r="E957" s="94"/>
      <c r="F957" s="94"/>
      <c r="G957" s="94"/>
      <c r="H957" s="59"/>
      <c r="I957" s="94"/>
      <c r="J957" s="59"/>
      <c r="K957" s="94"/>
      <c r="L957" s="94"/>
      <c r="M957" s="94"/>
      <c r="N957" s="59"/>
      <c r="O957" s="88"/>
      <c r="P957" s="95"/>
      <c r="Q957" s="88"/>
      <c r="R957" s="88"/>
      <c r="S957" s="88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</row>
    <row r="958">
      <c r="A958" s="59"/>
      <c r="B958" s="59"/>
      <c r="C958" s="70"/>
      <c r="D958" s="59"/>
      <c r="E958" s="94"/>
      <c r="F958" s="94"/>
      <c r="G958" s="94"/>
      <c r="H958" s="59"/>
      <c r="I958" s="94"/>
      <c r="J958" s="59"/>
      <c r="K958" s="94"/>
      <c r="L958" s="94"/>
      <c r="M958" s="94"/>
      <c r="N958" s="59"/>
      <c r="O958" s="88"/>
      <c r="P958" s="95"/>
      <c r="Q958" s="88"/>
      <c r="R958" s="88"/>
      <c r="S958" s="88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</row>
    <row r="959">
      <c r="A959" s="59"/>
      <c r="B959" s="59"/>
      <c r="C959" s="70"/>
      <c r="D959" s="59"/>
      <c r="E959" s="94"/>
      <c r="F959" s="94"/>
      <c r="G959" s="94"/>
      <c r="H959" s="59"/>
      <c r="I959" s="94"/>
      <c r="J959" s="59"/>
      <c r="K959" s="94"/>
      <c r="L959" s="94"/>
      <c r="M959" s="94"/>
      <c r="N959" s="59"/>
      <c r="O959" s="88"/>
      <c r="P959" s="95"/>
      <c r="Q959" s="88"/>
      <c r="R959" s="88"/>
      <c r="S959" s="88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</row>
    <row r="960">
      <c r="A960" s="59"/>
      <c r="B960" s="59"/>
      <c r="C960" s="70"/>
      <c r="D960" s="59"/>
      <c r="E960" s="94"/>
      <c r="F960" s="94"/>
      <c r="G960" s="94"/>
      <c r="H960" s="59"/>
      <c r="I960" s="94"/>
      <c r="J960" s="59"/>
      <c r="K960" s="94"/>
      <c r="L960" s="94"/>
      <c r="M960" s="94"/>
      <c r="N960" s="59"/>
      <c r="O960" s="88"/>
      <c r="P960" s="95"/>
      <c r="Q960" s="88"/>
      <c r="R960" s="88"/>
      <c r="S960" s="88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</row>
    <row r="961">
      <c r="A961" s="59"/>
      <c r="B961" s="59"/>
      <c r="C961" s="70"/>
      <c r="D961" s="59"/>
      <c r="E961" s="94"/>
      <c r="F961" s="94"/>
      <c r="G961" s="94"/>
      <c r="H961" s="59"/>
      <c r="I961" s="94"/>
      <c r="J961" s="59"/>
      <c r="K961" s="94"/>
      <c r="L961" s="94"/>
      <c r="M961" s="94"/>
      <c r="N961" s="59"/>
      <c r="O961" s="88"/>
      <c r="P961" s="95"/>
      <c r="Q961" s="88"/>
      <c r="R961" s="88"/>
      <c r="S961" s="88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</row>
    <row r="962">
      <c r="A962" s="59"/>
      <c r="B962" s="59"/>
      <c r="C962" s="70"/>
      <c r="D962" s="59"/>
      <c r="E962" s="94"/>
      <c r="F962" s="94"/>
      <c r="G962" s="94"/>
      <c r="H962" s="59"/>
      <c r="I962" s="94"/>
      <c r="J962" s="59"/>
      <c r="K962" s="94"/>
      <c r="L962" s="94"/>
      <c r="M962" s="94"/>
      <c r="N962" s="59"/>
      <c r="O962" s="88"/>
      <c r="P962" s="95"/>
      <c r="Q962" s="88"/>
      <c r="R962" s="88"/>
      <c r="S962" s="88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</row>
    <row r="963">
      <c r="A963" s="59"/>
      <c r="B963" s="59"/>
      <c r="C963" s="70"/>
      <c r="D963" s="59"/>
      <c r="E963" s="94"/>
      <c r="F963" s="94"/>
      <c r="G963" s="94"/>
      <c r="H963" s="59"/>
      <c r="I963" s="94"/>
      <c r="J963" s="59"/>
      <c r="K963" s="94"/>
      <c r="L963" s="94"/>
      <c r="M963" s="94"/>
      <c r="N963" s="59"/>
      <c r="O963" s="88"/>
      <c r="P963" s="95"/>
      <c r="Q963" s="88"/>
      <c r="R963" s="88"/>
      <c r="S963" s="88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</row>
    <row r="964">
      <c r="A964" s="59"/>
      <c r="B964" s="59"/>
      <c r="C964" s="70"/>
      <c r="D964" s="59"/>
      <c r="E964" s="94"/>
      <c r="F964" s="94"/>
      <c r="G964" s="94"/>
      <c r="H964" s="59"/>
      <c r="I964" s="94"/>
      <c r="J964" s="59"/>
      <c r="K964" s="94"/>
      <c r="L964" s="94"/>
      <c r="M964" s="94"/>
      <c r="N964" s="59"/>
      <c r="O964" s="88"/>
      <c r="P964" s="95"/>
      <c r="Q964" s="88"/>
      <c r="R964" s="88"/>
      <c r="S964" s="88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</row>
    <row r="965">
      <c r="A965" s="59"/>
      <c r="B965" s="59"/>
      <c r="C965" s="70"/>
      <c r="D965" s="59"/>
      <c r="E965" s="94"/>
      <c r="F965" s="94"/>
      <c r="G965" s="94"/>
      <c r="H965" s="59"/>
      <c r="I965" s="94"/>
      <c r="J965" s="59"/>
      <c r="K965" s="94"/>
      <c r="L965" s="94"/>
      <c r="M965" s="94"/>
      <c r="N965" s="59"/>
      <c r="O965" s="88"/>
      <c r="P965" s="95"/>
      <c r="Q965" s="88"/>
      <c r="R965" s="88"/>
      <c r="S965" s="88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</row>
    <row r="966">
      <c r="A966" s="59"/>
      <c r="B966" s="59"/>
      <c r="C966" s="70"/>
      <c r="D966" s="59"/>
      <c r="E966" s="94"/>
      <c r="F966" s="94"/>
      <c r="G966" s="94"/>
      <c r="H966" s="59"/>
      <c r="I966" s="94"/>
      <c r="J966" s="59"/>
      <c r="K966" s="94"/>
      <c r="L966" s="94"/>
      <c r="M966" s="94"/>
      <c r="N966" s="59"/>
      <c r="O966" s="88"/>
      <c r="P966" s="95"/>
      <c r="Q966" s="88"/>
      <c r="R966" s="88"/>
      <c r="S966" s="88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</row>
    <row r="967">
      <c r="A967" s="59"/>
      <c r="B967" s="59"/>
      <c r="C967" s="70"/>
      <c r="D967" s="59"/>
      <c r="E967" s="94"/>
      <c r="F967" s="94"/>
      <c r="G967" s="94"/>
      <c r="H967" s="59"/>
      <c r="I967" s="94"/>
      <c r="J967" s="59"/>
      <c r="K967" s="94"/>
      <c r="L967" s="94"/>
      <c r="M967" s="94"/>
      <c r="N967" s="59"/>
      <c r="O967" s="88"/>
      <c r="P967" s="95"/>
      <c r="Q967" s="88"/>
      <c r="R967" s="88"/>
      <c r="S967" s="88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</row>
    <row r="968">
      <c r="A968" s="59"/>
      <c r="B968" s="59"/>
      <c r="C968" s="70"/>
      <c r="D968" s="59"/>
      <c r="E968" s="94"/>
      <c r="F968" s="94"/>
      <c r="G968" s="94"/>
      <c r="H968" s="59"/>
      <c r="I968" s="94"/>
      <c r="J968" s="59"/>
      <c r="K968" s="94"/>
      <c r="L968" s="94"/>
      <c r="M968" s="94"/>
      <c r="N968" s="59"/>
      <c r="O968" s="88"/>
      <c r="P968" s="95"/>
      <c r="Q968" s="88"/>
      <c r="R968" s="88"/>
      <c r="S968" s="88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</row>
    <row r="969">
      <c r="A969" s="59"/>
      <c r="B969" s="59"/>
      <c r="C969" s="70"/>
      <c r="D969" s="59"/>
      <c r="E969" s="94"/>
      <c r="F969" s="94"/>
      <c r="G969" s="94"/>
      <c r="H969" s="59"/>
      <c r="I969" s="94"/>
      <c r="J969" s="59"/>
      <c r="K969" s="94"/>
      <c r="L969" s="94"/>
      <c r="M969" s="94"/>
      <c r="N969" s="59"/>
      <c r="O969" s="88"/>
      <c r="P969" s="95"/>
      <c r="Q969" s="88"/>
      <c r="R969" s="88"/>
      <c r="S969" s="88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</row>
    <row r="970">
      <c r="A970" s="59"/>
      <c r="B970" s="59"/>
      <c r="C970" s="70"/>
      <c r="D970" s="59"/>
      <c r="E970" s="94"/>
      <c r="F970" s="94"/>
      <c r="G970" s="94"/>
      <c r="H970" s="59"/>
      <c r="I970" s="94"/>
      <c r="J970" s="59"/>
      <c r="K970" s="94"/>
      <c r="L970" s="94"/>
      <c r="M970" s="94"/>
      <c r="N970" s="59"/>
      <c r="O970" s="88"/>
      <c r="P970" s="95"/>
      <c r="Q970" s="88"/>
      <c r="R970" s="88"/>
      <c r="S970" s="88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</row>
    <row r="971">
      <c r="A971" s="59"/>
      <c r="B971" s="59"/>
      <c r="C971" s="70"/>
      <c r="D971" s="59"/>
      <c r="E971" s="94"/>
      <c r="F971" s="94"/>
      <c r="G971" s="94"/>
      <c r="H971" s="59"/>
      <c r="I971" s="94"/>
      <c r="J971" s="59"/>
      <c r="K971" s="94"/>
      <c r="L971" s="94"/>
      <c r="M971" s="94"/>
      <c r="N971" s="59"/>
      <c r="O971" s="88"/>
      <c r="P971" s="95"/>
      <c r="Q971" s="88"/>
      <c r="R971" s="88"/>
      <c r="S971" s="88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</row>
    <row r="972">
      <c r="A972" s="59"/>
      <c r="B972" s="59"/>
      <c r="C972" s="70"/>
      <c r="D972" s="59"/>
      <c r="E972" s="94"/>
      <c r="F972" s="94"/>
      <c r="G972" s="94"/>
      <c r="H972" s="59"/>
      <c r="I972" s="94"/>
      <c r="J972" s="59"/>
      <c r="K972" s="94"/>
      <c r="L972" s="94"/>
      <c r="M972" s="94"/>
      <c r="N972" s="59"/>
      <c r="O972" s="88"/>
      <c r="P972" s="95"/>
      <c r="Q972" s="88"/>
      <c r="R972" s="88"/>
      <c r="S972" s="88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</row>
    <row r="973">
      <c r="A973" s="59"/>
      <c r="B973" s="59"/>
      <c r="C973" s="70"/>
      <c r="D973" s="59"/>
      <c r="E973" s="94"/>
      <c r="F973" s="94"/>
      <c r="G973" s="94"/>
      <c r="H973" s="59"/>
      <c r="I973" s="94"/>
      <c r="J973" s="59"/>
      <c r="K973" s="94"/>
      <c r="L973" s="94"/>
      <c r="M973" s="94"/>
      <c r="N973" s="59"/>
      <c r="O973" s="88"/>
      <c r="P973" s="95"/>
      <c r="Q973" s="88"/>
      <c r="R973" s="88"/>
      <c r="S973" s="88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</row>
    <row r="974">
      <c r="A974" s="59"/>
      <c r="B974" s="59"/>
      <c r="C974" s="70"/>
      <c r="D974" s="59"/>
      <c r="E974" s="94"/>
      <c r="F974" s="94"/>
      <c r="G974" s="94"/>
      <c r="H974" s="59"/>
      <c r="I974" s="94"/>
      <c r="J974" s="59"/>
      <c r="K974" s="94"/>
      <c r="L974" s="94"/>
      <c r="M974" s="94"/>
      <c r="N974" s="59"/>
      <c r="O974" s="88"/>
      <c r="P974" s="95"/>
      <c r="Q974" s="88"/>
      <c r="R974" s="88"/>
      <c r="S974" s="88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</row>
    <row r="975">
      <c r="A975" s="59"/>
      <c r="B975" s="59"/>
      <c r="C975" s="70"/>
      <c r="D975" s="59"/>
      <c r="E975" s="94"/>
      <c r="F975" s="94"/>
      <c r="G975" s="94"/>
      <c r="H975" s="59"/>
      <c r="I975" s="94"/>
      <c r="J975" s="59"/>
      <c r="K975" s="94"/>
      <c r="L975" s="94"/>
      <c r="M975" s="94"/>
      <c r="N975" s="59"/>
      <c r="O975" s="88"/>
      <c r="P975" s="95"/>
      <c r="Q975" s="88"/>
      <c r="R975" s="88"/>
      <c r="S975" s="88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</row>
    <row r="976">
      <c r="A976" s="59"/>
      <c r="B976" s="59"/>
      <c r="C976" s="70"/>
      <c r="D976" s="59"/>
      <c r="E976" s="94"/>
      <c r="F976" s="94"/>
      <c r="G976" s="94"/>
      <c r="H976" s="59"/>
      <c r="I976" s="94"/>
      <c r="J976" s="59"/>
      <c r="K976" s="94"/>
      <c r="L976" s="94"/>
      <c r="M976" s="94"/>
      <c r="N976" s="59"/>
      <c r="O976" s="88"/>
      <c r="P976" s="95"/>
      <c r="Q976" s="88"/>
      <c r="R976" s="88"/>
      <c r="S976" s="88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</row>
    <row r="977">
      <c r="A977" s="59"/>
      <c r="B977" s="59"/>
      <c r="C977" s="70"/>
      <c r="D977" s="59"/>
      <c r="E977" s="94"/>
      <c r="F977" s="94"/>
      <c r="G977" s="94"/>
      <c r="H977" s="59"/>
      <c r="I977" s="94"/>
      <c r="J977" s="59"/>
      <c r="K977" s="94"/>
      <c r="L977" s="94"/>
      <c r="M977" s="94"/>
      <c r="N977" s="59"/>
      <c r="O977" s="88"/>
      <c r="P977" s="95"/>
      <c r="Q977" s="88"/>
      <c r="R977" s="88"/>
      <c r="S977" s="88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</row>
    <row r="978">
      <c r="A978" s="59"/>
      <c r="B978" s="59"/>
      <c r="C978" s="70"/>
      <c r="D978" s="59"/>
      <c r="E978" s="94"/>
      <c r="F978" s="94"/>
      <c r="G978" s="94"/>
      <c r="H978" s="59"/>
      <c r="I978" s="94"/>
      <c r="J978" s="59"/>
      <c r="K978" s="94"/>
      <c r="L978" s="94"/>
      <c r="M978" s="94"/>
      <c r="N978" s="59"/>
      <c r="O978" s="88"/>
      <c r="P978" s="95"/>
      <c r="Q978" s="88"/>
      <c r="R978" s="88"/>
      <c r="S978" s="88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</row>
    <row r="979">
      <c r="A979" s="59"/>
      <c r="B979" s="59"/>
      <c r="C979" s="70"/>
      <c r="D979" s="59"/>
      <c r="E979" s="94"/>
      <c r="F979" s="94"/>
      <c r="G979" s="94"/>
      <c r="H979" s="59"/>
      <c r="I979" s="94"/>
      <c r="J979" s="59"/>
      <c r="K979" s="94"/>
      <c r="L979" s="94"/>
      <c r="M979" s="94"/>
      <c r="N979" s="59"/>
      <c r="O979" s="88"/>
      <c r="P979" s="95"/>
      <c r="Q979" s="88"/>
      <c r="R979" s="88"/>
      <c r="S979" s="88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</row>
    <row r="980">
      <c r="A980" s="59"/>
      <c r="B980" s="59"/>
      <c r="C980" s="70"/>
      <c r="D980" s="59"/>
      <c r="E980" s="94"/>
      <c r="F980" s="94"/>
      <c r="G980" s="94"/>
      <c r="H980" s="59"/>
      <c r="I980" s="94"/>
      <c r="J980" s="59"/>
      <c r="K980" s="94"/>
      <c r="L980" s="94"/>
      <c r="M980" s="94"/>
      <c r="N980" s="59"/>
      <c r="O980" s="88"/>
      <c r="P980" s="95"/>
      <c r="Q980" s="88"/>
      <c r="R980" s="88"/>
      <c r="S980" s="88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</row>
    <row r="981">
      <c r="A981" s="59"/>
      <c r="B981" s="59"/>
      <c r="C981" s="70"/>
      <c r="D981" s="59"/>
      <c r="E981" s="94"/>
      <c r="F981" s="94"/>
      <c r="G981" s="94"/>
      <c r="H981" s="59"/>
      <c r="I981" s="94"/>
      <c r="J981" s="59"/>
      <c r="K981" s="94"/>
      <c r="L981" s="94"/>
      <c r="M981" s="94"/>
      <c r="N981" s="59"/>
      <c r="O981" s="88"/>
      <c r="P981" s="95"/>
      <c r="Q981" s="88"/>
      <c r="R981" s="88"/>
      <c r="S981" s="88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</row>
    <row r="982">
      <c r="A982" s="59"/>
      <c r="B982" s="59"/>
      <c r="C982" s="70"/>
      <c r="D982" s="59"/>
      <c r="E982" s="94"/>
      <c r="F982" s="94"/>
      <c r="G982" s="94"/>
      <c r="H982" s="59"/>
      <c r="I982" s="94"/>
      <c r="J982" s="59"/>
      <c r="K982" s="94"/>
      <c r="L982" s="94"/>
      <c r="M982" s="94"/>
      <c r="N982" s="59"/>
      <c r="O982" s="88"/>
      <c r="P982" s="95"/>
      <c r="Q982" s="88"/>
      <c r="R982" s="88"/>
      <c r="S982" s="88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</row>
    <row r="983">
      <c r="A983" s="59"/>
      <c r="B983" s="59"/>
      <c r="C983" s="70"/>
      <c r="D983" s="59"/>
      <c r="E983" s="94"/>
      <c r="F983" s="94"/>
      <c r="G983" s="94"/>
      <c r="H983" s="59"/>
      <c r="I983" s="94"/>
      <c r="J983" s="59"/>
      <c r="K983" s="94"/>
      <c r="L983" s="94"/>
      <c r="M983" s="94"/>
      <c r="N983" s="59"/>
      <c r="O983" s="88"/>
      <c r="P983" s="95"/>
      <c r="Q983" s="88"/>
      <c r="R983" s="88"/>
      <c r="S983" s="88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</row>
    <row r="984">
      <c r="A984" s="59"/>
      <c r="B984" s="59"/>
      <c r="C984" s="70"/>
      <c r="D984" s="59"/>
      <c r="E984" s="94"/>
      <c r="F984" s="94"/>
      <c r="G984" s="94"/>
      <c r="H984" s="59"/>
      <c r="I984" s="94"/>
      <c r="J984" s="59"/>
      <c r="K984" s="94"/>
      <c r="L984" s="94"/>
      <c r="M984" s="94"/>
      <c r="N984" s="59"/>
      <c r="O984" s="88"/>
      <c r="P984" s="95"/>
      <c r="Q984" s="88"/>
      <c r="R984" s="88"/>
      <c r="S984" s="88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</row>
    <row r="985">
      <c r="A985" s="59"/>
      <c r="B985" s="59"/>
      <c r="C985" s="70"/>
      <c r="D985" s="59"/>
      <c r="E985" s="94"/>
      <c r="F985" s="94"/>
      <c r="G985" s="94"/>
      <c r="H985" s="59"/>
      <c r="I985" s="94"/>
      <c r="J985" s="59"/>
      <c r="K985" s="94"/>
      <c r="L985" s="94"/>
      <c r="M985" s="94"/>
      <c r="N985" s="59"/>
      <c r="O985" s="88"/>
      <c r="P985" s="95"/>
      <c r="Q985" s="88"/>
      <c r="R985" s="88"/>
      <c r="S985" s="88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</row>
    <row r="986">
      <c r="A986" s="59"/>
      <c r="B986" s="59"/>
      <c r="C986" s="70"/>
      <c r="D986" s="59"/>
      <c r="E986" s="94"/>
      <c r="F986" s="94"/>
      <c r="G986" s="94"/>
      <c r="H986" s="59"/>
      <c r="I986" s="94"/>
      <c r="J986" s="59"/>
      <c r="K986" s="94"/>
      <c r="L986" s="94"/>
      <c r="M986" s="94"/>
      <c r="N986" s="59"/>
      <c r="O986" s="88"/>
      <c r="P986" s="95"/>
      <c r="Q986" s="88"/>
      <c r="R986" s="88"/>
      <c r="S986" s="88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</row>
    <row r="987">
      <c r="A987" s="59"/>
      <c r="B987" s="59"/>
      <c r="C987" s="70"/>
      <c r="D987" s="59"/>
      <c r="E987" s="94"/>
      <c r="F987" s="94"/>
      <c r="G987" s="94"/>
      <c r="H987" s="59"/>
      <c r="I987" s="94"/>
      <c r="J987" s="59"/>
      <c r="K987" s="94"/>
      <c r="L987" s="94"/>
      <c r="M987" s="94"/>
      <c r="N987" s="59"/>
      <c r="O987" s="88"/>
      <c r="P987" s="95"/>
      <c r="Q987" s="88"/>
      <c r="R987" s="88"/>
      <c r="S987" s="88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</row>
    <row r="988">
      <c r="A988" s="59"/>
      <c r="B988" s="59"/>
      <c r="C988" s="70"/>
      <c r="D988" s="59"/>
      <c r="E988" s="94"/>
      <c r="F988" s="94"/>
      <c r="G988" s="94"/>
      <c r="H988" s="59"/>
      <c r="I988" s="94"/>
      <c r="J988" s="59"/>
      <c r="K988" s="94"/>
      <c r="L988" s="94"/>
      <c r="M988" s="94"/>
      <c r="N988" s="59"/>
      <c r="O988" s="88"/>
      <c r="P988" s="95"/>
      <c r="Q988" s="88"/>
      <c r="R988" s="88"/>
      <c r="S988" s="88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</row>
    <row r="989">
      <c r="A989" s="59"/>
      <c r="B989" s="59"/>
      <c r="C989" s="70"/>
      <c r="D989" s="59"/>
      <c r="E989" s="94"/>
      <c r="F989" s="94"/>
      <c r="G989" s="94"/>
      <c r="H989" s="59"/>
      <c r="I989" s="94"/>
      <c r="J989" s="59"/>
      <c r="K989" s="94"/>
      <c r="L989" s="94"/>
      <c r="M989" s="94"/>
      <c r="N989" s="59"/>
      <c r="O989" s="88"/>
      <c r="P989" s="95"/>
      <c r="Q989" s="88"/>
      <c r="R989" s="88"/>
      <c r="S989" s="88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</row>
    <row r="990">
      <c r="A990" s="59"/>
      <c r="B990" s="59"/>
      <c r="C990" s="70"/>
      <c r="D990" s="59"/>
      <c r="E990" s="94"/>
      <c r="F990" s="94"/>
      <c r="G990" s="94"/>
      <c r="H990" s="59"/>
      <c r="I990" s="94"/>
      <c r="J990" s="59"/>
      <c r="K990" s="94"/>
      <c r="L990" s="94"/>
      <c r="M990" s="94"/>
      <c r="N990" s="59"/>
      <c r="O990" s="88"/>
      <c r="P990" s="95"/>
      <c r="Q990" s="88"/>
      <c r="R990" s="88"/>
      <c r="S990" s="88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</row>
    <row r="991">
      <c r="A991" s="59"/>
      <c r="B991" s="59"/>
      <c r="C991" s="70"/>
      <c r="D991" s="59"/>
      <c r="E991" s="94"/>
      <c r="F991" s="94"/>
      <c r="G991" s="94"/>
      <c r="H991" s="59"/>
      <c r="I991" s="94"/>
      <c r="J991" s="59"/>
      <c r="K991" s="94"/>
      <c r="L991" s="94"/>
      <c r="M991" s="94"/>
      <c r="N991" s="59"/>
      <c r="O991" s="88"/>
      <c r="P991" s="95"/>
      <c r="Q991" s="88"/>
      <c r="R991" s="88"/>
      <c r="S991" s="88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</row>
    <row r="992">
      <c r="A992" s="59"/>
      <c r="B992" s="59"/>
      <c r="C992" s="70"/>
      <c r="D992" s="59"/>
      <c r="E992" s="94"/>
      <c r="F992" s="94"/>
      <c r="G992" s="94"/>
      <c r="H992" s="59"/>
      <c r="I992" s="94"/>
      <c r="J992" s="59"/>
      <c r="K992" s="94"/>
      <c r="L992" s="94"/>
      <c r="M992" s="94"/>
      <c r="N992" s="59"/>
      <c r="O992" s="88"/>
      <c r="P992" s="95"/>
      <c r="Q992" s="88"/>
      <c r="R992" s="88"/>
      <c r="S992" s="88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</row>
    <row r="993">
      <c r="A993" s="59"/>
      <c r="B993" s="59"/>
      <c r="C993" s="70"/>
      <c r="D993" s="59"/>
      <c r="E993" s="94"/>
      <c r="F993" s="94"/>
      <c r="G993" s="94"/>
      <c r="H993" s="59"/>
      <c r="I993" s="94"/>
      <c r="J993" s="59"/>
      <c r="K993" s="94"/>
      <c r="L993" s="94"/>
      <c r="M993" s="94"/>
      <c r="N993" s="59"/>
      <c r="O993" s="88"/>
      <c r="P993" s="95"/>
      <c r="Q993" s="88"/>
      <c r="R993" s="88"/>
      <c r="S993" s="88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</row>
    <row r="994">
      <c r="A994" s="59"/>
      <c r="B994" s="59"/>
      <c r="C994" s="70"/>
      <c r="D994" s="59"/>
      <c r="E994" s="94"/>
      <c r="F994" s="94"/>
      <c r="G994" s="94"/>
      <c r="H994" s="59"/>
      <c r="I994" s="94"/>
      <c r="J994" s="59"/>
      <c r="K994" s="94"/>
      <c r="L994" s="94"/>
      <c r="M994" s="94"/>
      <c r="N994" s="59"/>
      <c r="O994" s="88"/>
      <c r="P994" s="95"/>
      <c r="Q994" s="88"/>
      <c r="R994" s="88"/>
      <c r="S994" s="88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</row>
    <row r="995">
      <c r="A995" s="59"/>
      <c r="B995" s="59"/>
      <c r="C995" s="70"/>
      <c r="D995" s="59"/>
      <c r="E995" s="94"/>
      <c r="F995" s="94"/>
      <c r="G995" s="94"/>
      <c r="H995" s="59"/>
      <c r="I995" s="94"/>
      <c r="J995" s="59"/>
      <c r="K995" s="94"/>
      <c r="L995" s="94"/>
      <c r="M995" s="94"/>
      <c r="N995" s="59"/>
      <c r="O995" s="88"/>
      <c r="P995" s="95"/>
      <c r="Q995" s="88"/>
      <c r="R995" s="88"/>
      <c r="S995" s="88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</row>
    <row r="996">
      <c r="A996" s="59"/>
      <c r="B996" s="59"/>
      <c r="C996" s="70"/>
      <c r="D996" s="59"/>
      <c r="E996" s="94"/>
      <c r="F996" s="94"/>
      <c r="G996" s="94"/>
      <c r="H996" s="59"/>
      <c r="I996" s="94"/>
      <c r="J996" s="59"/>
      <c r="K996" s="94"/>
      <c r="L996" s="94"/>
      <c r="M996" s="94"/>
      <c r="N996" s="59"/>
      <c r="O996" s="88"/>
      <c r="P996" s="95"/>
      <c r="Q996" s="88"/>
      <c r="R996" s="88"/>
      <c r="S996" s="88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</row>
    <row r="997">
      <c r="A997" s="59"/>
      <c r="B997" s="59"/>
      <c r="C997" s="70"/>
      <c r="D997" s="59"/>
      <c r="E997" s="94"/>
      <c r="F997" s="94"/>
      <c r="G997" s="94"/>
      <c r="H997" s="59"/>
      <c r="I997" s="94"/>
      <c r="J997" s="59"/>
      <c r="K997" s="94"/>
      <c r="L997" s="94"/>
      <c r="M997" s="94"/>
      <c r="N997" s="59"/>
      <c r="O997" s="88"/>
      <c r="P997" s="95"/>
      <c r="Q997" s="88"/>
      <c r="R997" s="88"/>
      <c r="S997" s="88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</row>
    <row r="998">
      <c r="A998" s="59"/>
      <c r="B998" s="59"/>
      <c r="C998" s="70"/>
      <c r="D998" s="59"/>
      <c r="E998" s="94"/>
      <c r="F998" s="94"/>
      <c r="G998" s="94"/>
      <c r="H998" s="59"/>
      <c r="I998" s="94"/>
      <c r="J998" s="59"/>
      <c r="K998" s="94"/>
      <c r="L998" s="94"/>
      <c r="M998" s="94"/>
      <c r="N998" s="59"/>
      <c r="O998" s="88"/>
      <c r="P998" s="95"/>
      <c r="Q998" s="88"/>
      <c r="R998" s="88"/>
      <c r="S998" s="88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</row>
    <row r="999">
      <c r="E999" s="94"/>
      <c r="F999" s="94"/>
      <c r="G999" s="94"/>
      <c r="H999" s="59"/>
      <c r="I999" s="94"/>
      <c r="J999" s="59"/>
      <c r="K999" s="94"/>
      <c r="L999" s="94"/>
      <c r="M999" s="94"/>
      <c r="N999" s="59"/>
      <c r="O999" s="88"/>
      <c r="P999" s="95"/>
      <c r="Q999" s="88"/>
      <c r="R999" s="88"/>
      <c r="S999" s="88"/>
    </row>
    <row r="1000">
      <c r="E1000" s="94"/>
      <c r="F1000" s="94"/>
      <c r="G1000" s="94"/>
      <c r="H1000" s="59"/>
      <c r="I1000" s="94"/>
      <c r="J1000" s="59"/>
      <c r="K1000" s="94"/>
      <c r="L1000" s="94"/>
      <c r="M1000" s="94"/>
      <c r="N1000" s="59"/>
      <c r="O1000" s="88"/>
      <c r="P1000" s="95"/>
      <c r="Q1000" s="88"/>
      <c r="R1000" s="88"/>
      <c r="S1000" s="88"/>
    </row>
  </sheetData>
  <autoFilter ref="$A$3:$D$506">
    <filterColumn colId="3">
      <filters>
        <filter val="-44.00%"/>
        <filter val="-19.56%"/>
        <filter val="-6.68%"/>
        <filter val="-5.63%"/>
        <filter val="-8.17%"/>
        <filter val="-12.33%"/>
        <filter val="-18.64%"/>
        <filter val="-12.69%"/>
        <filter val="-42.75%"/>
        <filter val="-10.96%"/>
        <filter val="-11.40%"/>
        <filter val="-11.88%"/>
        <filter val="-13.49%"/>
        <filter val="-20.58%"/>
        <filter val="-43.55%"/>
        <filter val="-13.13%"/>
        <filter val="-37.28%"/>
        <filter val="-25.84%"/>
        <filter val="-17.82%"/>
        <filter val="-30.05%"/>
        <filter val="-20.22%"/>
        <filter val="-19.69%"/>
        <filter val="-8.04%"/>
        <filter val="-18.77%"/>
        <filter val="-21.15%"/>
        <filter val="-28.47%"/>
        <filter val="-14.08%"/>
        <filter val="-6.44%"/>
        <filter val="-10.61%"/>
        <filter val="-11.89%"/>
        <filter val="-32.91%"/>
        <filter val="-19.42%"/>
        <filter val="-19.30%"/>
        <filter val="-52.26%"/>
        <filter val="-20.35%"/>
        <filter val="-6.78%"/>
        <filter val="-8.27%"/>
        <filter val="-12.55%"/>
        <filter val="-3.92%"/>
        <filter val="-21.04%"/>
        <filter val="-12.79%"/>
        <filter val="-26.97%"/>
        <filter val="-11.50%"/>
        <filter val="-13.59%"/>
        <filter val="-7.35%"/>
        <filter val="-17.61%"/>
        <filter val="-37.18%"/>
        <filter val="-17.97%"/>
        <filter val="-1.09%"/>
        <filter val="-117.00%"/>
        <filter val="-25.82%"/>
        <filter val="-7.33%"/>
        <filter val="-12.78%"/>
        <filter val="-5.62%"/>
        <filter val="-66.43%"/>
        <filter val="-12.54%"/>
        <filter val="-12.42%"/>
        <filter val="-21.05%"/>
        <filter val="-18.75%"/>
        <filter val="-11.51%"/>
        <filter val="-6.66%"/>
        <filter val="-7.58%"/>
        <filter val="-10.83%"/>
        <filter val="-11.75%"/>
        <filter val="-11.63%"/>
        <filter val="-13.58%"/>
        <filter val="-17.72%"/>
        <filter val="-22.02%"/>
        <filter val="-87.84%"/>
        <filter val="-89.45%"/>
        <filter val="-19.12%"/>
        <filter val="-49.78%"/>
        <filter val="-7.44%"/>
        <filter val="-12.65%"/>
        <filter val="-12.53%"/>
        <filter val="-18.44%"/>
        <filter val="-18.32%"/>
        <filter val="-5.83%"/>
        <filter val="-34.79%"/>
        <filter val="-21.69%"/>
        <filter val="-11.60%"/>
        <filter val="-13.69%"/>
        <filter val="-17.87%"/>
        <filter val="-44.05%"/>
        <filter val="-10.92%"/>
        <filter val="-13.45%"/>
        <filter val="-22.13%"/>
        <filter val="-7.43%"/>
        <filter val="-25.80%"/>
        <filter val="-19.25%"/>
        <filter val="-5.84%"/>
        <filter val="-12.88%"/>
        <filter val="-19.49%"/>
        <filter val="-18.45%"/>
        <filter val="-21.34%"/>
        <filter val="-13.20%"/>
        <filter val="-21.46%"/>
        <filter val="-8.35%"/>
        <filter val="-8.23%"/>
        <filter val="-11.97%"/>
        <filter val="-11.85%"/>
        <filter val="-17.50%"/>
        <filter val="-20.31%"/>
        <filter val="-12.51%"/>
        <filter val="-35.54%"/>
        <filter val="-9.91%"/>
        <filter val="-33.61%"/>
        <filter val="-18.66%"/>
        <filter val="-42.45%"/>
        <filter val="-18.54%"/>
        <filter val="-21.11%"/>
        <filter val="-17.77%"/>
        <filter val="-17.89%"/>
        <filter val="-13.79%"/>
        <filter val="-17.53%"/>
        <filter val="-13.67%"/>
        <filter val="-28.66%"/>
        <filter val="-22.03%"/>
        <filter val="-19.11%"/>
        <filter val="-57.69%"/>
        <filter val="-12.50%"/>
        <filter val="-20.32%"/>
        <filter val="-43.15%"/>
        <filter val="-12.98%"/>
        <filter val="-21.37%"/>
        <filter val="-21.12%"/>
        <filter val="-13.42%"/>
        <filter val="-13.30%"/>
        <filter val="-51.40%"/>
        <filter val="-8.33%"/>
        <filter val="-11.95%"/>
        <filter val="-8.21%"/>
        <filter val="-6.50%"/>
        <filter val="-13.54%"/>
        <filter val="-14.10%"/>
        <filter val="-11.49%"/>
        <filter val="-16.19%"/>
        <filter val="-9.93%"/>
        <filter val="-8.69%"/>
        <filter val="-10.32%"/>
        <filter val="-5.91%"/>
        <filter val="-14.46%"/>
        <filter val="-14.22%"/>
        <filter val="-18.92%"/>
        <filter val="-8.56%"/>
        <filter val="-6.95%"/>
        <filter val="-6.83%"/>
        <filter val="-11.12%"/>
        <filter val="-26.59%"/>
        <filter val="-6.71%"/>
        <filter val="-11.36%"/>
        <filter val="-31.83%"/>
        <filter val="-57.35%"/>
        <filter val="-16.18%"/>
        <filter val="-7.99%"/>
        <filter val="-13.09%"/>
        <filter val="-16.06%"/>
        <filter val="-10.33%"/>
        <filter val="-14.47%"/>
        <filter val="-5.80%"/>
        <filter val="-12.04%"/>
        <filter val="-25.56%"/>
        <filter val="-10.57%"/>
        <filter val="-34.46%"/>
        <filter val="-12.29%"/>
        <filter val="-18.81%"/>
        <filter val="-15.39%"/>
        <filter val="-8.67%"/>
        <filter val="-15.27%"/>
        <filter val="-8.55%"/>
        <filter val="-11.01%"/>
        <filter val="-6.60%"/>
        <filter val="-11.37%"/>
        <filter val="-11.25%"/>
        <filter val="-27.14%"/>
        <filter val="-7.74%"/>
        <filter val="-9.71%"/>
        <filter val="-29.35%"/>
        <filter val="-14.36%"/>
        <filter val="-12.15%"/>
        <filter val="-14.24%"/>
        <filter val="-94.97%"/>
        <filter val="-8.30%"/>
        <filter val="-24.64%"/>
        <filter val="-11.22%"/>
        <filter val="28.61%"/>
        <filter val="-11.58%"/>
        <filter val="-7.61%"/>
        <filter val="-27.49%"/>
        <filter val="-9.84%"/>
        <filter val="-16.08%"/>
        <filter val="-23.83%"/>
        <filter val="-174.47%"/>
        <filter val="-29.12%"/>
        <filter val="-29.36%"/>
        <filter val="-10.67%"/>
        <filter val="-32.73%"/>
        <filter val="-8.77%"/>
        <filter val="-60.50%"/>
        <filter val="-11.59%"/>
        <filter val="-19.64%"/>
        <filter val="-25.63%"/>
        <filter val="-25.75%"/>
        <filter val="-1.78%"/>
        <filter val="-10.40%"/>
        <filter val="-10.52%"/>
        <filter val="-14.38%"/>
        <filter val="-12.49%"/>
        <filter val="-12.25%"/>
        <filter val="-27.00%"/>
        <filter val="-8.64%"/>
        <filter val="-28.28%"/>
        <filter val="-15.06%"/>
        <filter val="-11.32%"/>
        <filter val="-13.05%"/>
        <filter val="-26.79%"/>
        <filter val="-63.26%"/>
        <filter val="-7.83%"/>
        <filter val="-25.52%"/>
        <filter val="-9.74%"/>
        <filter val="-9.98%"/>
        <filter val="-10.41%"/>
        <filter val="-12.00%"/>
        <filter val="-10.53%"/>
        <filter val="-8.63%"/>
        <filter val="-24.93%"/>
        <filter val="-10.65%"/>
        <filter val="-3.38%"/>
        <filter val="-13.04%"/>
        <filter val="-13.28%"/>
        <filter val="-11.45%"/>
        <filter val="-11.69%"/>
        <filter val="-26.68%"/>
        <filter val="-19.86%"/>
        <filter val="-7.82%"/>
        <filter val="-9.51%"/>
        <filter val="-29.15%"/>
        <filter val="-9.63%"/>
        <filter val="-12.47%"/>
        <filter val="-18.70%"/>
        <filter val="-99.15%"/>
        <filter val="-8.98%"/>
        <filter val="-24.84%"/>
        <filter val="-11.42%"/>
        <filter val="-13.15%"/>
        <filter val="-11.66%"/>
        <filter val="-13.39%"/>
        <filter val="-90.27%"/>
        <filter val="-10.51%"/>
        <filter val="-1.33%"/>
        <filter val="-14.17%"/>
        <filter val="-187.31%"/>
        <filter val="-10.75%"/>
        <filter val="-24.83%"/>
        <filter val="-13.26%"/>
        <filter val="-11.55%"/>
        <filter val="-11.79%"/>
        <filter val="-121.97%"/>
        <filter val="-11.67%"/>
        <filter val="-16.35%"/>
        <filter val="-31.42%"/>
        <filter val="-76.71%"/>
        <filter val="-23.78%"/>
        <filter val="-8.84%"/>
        <filter val="-10.29%"/>
        <filter val="-32.46%"/>
        <filter val="-56.25%"/>
        <filter val="-17.27%"/>
        <filter val="-15.42%"/>
        <filter val="-48.49%"/>
        <filter val="-14.87%"/>
        <filter val="-14.75%"/>
        <filter val="-14.63%"/>
        <filter val="-18.09%"/>
        <filter val="-16.46%"/>
        <filter val="-36.93%"/>
        <filter val="-9.54%"/>
        <filter val="-23.65%"/>
        <filter val="-23.89%"/>
        <filter val="-16.34%"/>
        <filter val="-7.91%"/>
        <filter val="-37.61%"/>
        <filter val="-1.50%"/>
        <filter val="-10.06%"/>
        <filter val="-17.38%"/>
        <filter val="-17.02%"/>
        <filter val="-8.71%"/>
        <filter val="-15.55%"/>
        <filter val="-15.43%"/>
        <filter val="-16.49%"/>
        <filter val="-9.67%"/>
        <filter val="-14.64%"/>
        <filter val="-112.59%"/>
        <filter val="-9.79%"/>
        <filter val="-33.25%"/>
        <filter val="-14.40%"/>
        <filter val="-16.13%"/>
        <filter val="-9.31%"/>
        <filter val="-9.43%"/>
        <filter val="-20.91%"/>
        <filter val="-10.15%"/>
        <filter val="-15.56%"/>
        <filter val="-10.39%"/>
        <filter val="-17.05%"/>
        <filter val="-21.71%"/>
        <filter val="-15.20%"/>
        <filter val="-15.32%"/>
        <filter val="-18.07%"/>
        <filter val="-16.00%"/>
        <filter val="-14.89%"/>
        <filter val="-10.03%"/>
        <filter val="-3.00%"/>
        <filter val="-17.16%"/>
        <filter val="-32.45%"/>
        <filter val="-15.33%"/>
        <filter val="-2.50%"/>
        <filter val="-9.57%"/>
        <filter val="-14.30%"/>
        <filter val="-23.62%"/>
        <filter val="-10.00%"/>
        <filter val="-10.49%"/>
        <filter val="-3.67%"/>
        <filter val="-24.54%"/>
        <filter val="-8.92%"/>
        <filter val="-11.06%"/>
        <filter val="-22.93%"/>
        <filter val="-55.88%"/>
        <filter val="-19.81%"/>
        <filter val="-2.86%"/>
        <filter val="-15.11%"/>
        <filter val="-11.39%"/>
        <filter val="-11.27%"/>
        <filter val="-16.29%"/>
        <filter val="-31.68%"/>
        <filter val="-23.76%"/>
        <filter val="-10.22%"/>
        <filter val="-10.34%"/>
        <filter val="-14.44%"/>
        <filter val="-37.94%"/>
        <filter val="-15.36%"/>
        <filter val="-24.20%"/>
        <filter val="-8.90%"/>
        <filter val="-11.14%"/>
        <filter val="-2.51%"/>
        <filter val="-14.21%"/>
        <filter val="-16.04%"/>
        <filter val="-23.51%"/>
        <filter val="-10.11%"/>
        <filter val="-10.47%"/>
        <filter val="-43.94%"/>
        <filter val="-5.15%"/>
        <filter val="-5.39%"/>
        <filter val="-24.79%"/>
        <filter val="-30.78%"/>
        <filter val="-41.55%"/>
        <filter val="-4.55%"/>
        <filter val="-6.28%"/>
        <filter val="-20.73%"/>
        <filter val="-12.73%"/>
        <filter val="-18.12%"/>
        <filter val="-55.85%"/>
        <filter val="-13.41%"/>
        <filter val="-62.92%"/>
        <filter val="-28.40%"/>
        <filter val="-13.77%"/>
        <filter val="-13.89%"/>
        <filter val="-71.60%"/>
        <filter val="-9.02%"/>
        <filter val="-12.96%"/>
        <filter val="-12.72%"/>
        <filter val="-16.74%"/>
        <filter val="-16.62%"/>
        <filter val="-27.83%"/>
        <filter val="-27.95%"/>
        <filter val="-38.36%"/>
        <filter val="-16.98%"/>
        <filter val="-23.49%"/>
        <filter val="-13.52%"/>
        <filter val="-11.93%"/>
        <filter val="-21.30%"/>
        <filter val="-30.56%"/>
        <filter val="-82.82%"/>
        <filter val="-9.27%"/>
        <filter val="-13.88%"/>
        <filter val="-13.76%"/>
        <filter val="-28.87%"/>
        <filter val="-9.39%"/>
        <filter val="-17.30%"/>
        <filter val="-22.00%"/>
        <filter val="-12.95%"/>
        <filter val="-12.83%"/>
        <filter val="-19.26%"/>
        <filter val="-14.80%"/>
        <filter val="-18.58%"/>
        <filter val="-32.17%"/>
        <filter val="-35.62%"/>
        <filter val="-13.75%"/>
        <filter val="-15.60%"/>
        <filter val="-13.99%"/>
        <filter val="-7.19%"/>
        <filter val="-6.15%"/>
        <filter val="-22.11%"/>
        <filter val="-6.03%"/>
        <filter val="-12.94%"/>
        <filter val="-16.52%"/>
        <filter val="-18.47%"/>
        <filter val="-16.88%"/>
        <filter val="-13.86%"/>
        <filter val="-17.44%"/>
        <filter val="-15.73%"/>
        <filter val="-15.61%"/>
        <filter val="-13.98%"/>
        <filter val="-9.29%"/>
        <filter val="-17.20%"/>
        <filter val="-4.99%"/>
        <filter val="-16.79%"/>
        <filter val="-25.07%"/>
        <filter val="-16.31%"/>
        <filter val="-13.61%"/>
        <filter val="-13.97%"/>
        <filter val="-13.85%"/>
        <filter val="-17.47%"/>
        <filter val="-27.80%"/>
        <filter val="-72.22%"/>
        <filter val="-28.96%"/>
        <filter val="-15.74%"/>
        <filter val="-9.18%"/>
        <filter val="-14.95%"/>
        <filter val="-6.01%"/>
        <filter val="-16.78%"/>
        <filter val="-16.66%"/>
        <filter val="-8.08%"/>
        <filter val="-16.54%"/>
        <filter val="-42.96%"/>
        <filter val="-13.84%"/>
        <filter val="-13.72%"/>
        <filter val="-5.45%"/>
        <filter val="-21.62%"/>
        <filter val="-0.07%"/>
        <filter val="-17.46%"/>
        <filter val="-9.07%"/>
        <filter val="-24.37%"/>
        <filter val="-22.56%"/>
        <filter val="-14.84%"/>
        <filter val="-14.72%"/>
        <filter val="-18.26%"/>
        <filter val="-13.83%"/>
        <filter val="-21.99%"/>
        <filter val="-10.07%"/>
        <filter val="-17.01%"/>
        <filter val="-4.64%"/>
        <filter val="-16.68%"/>
        <filter val="-7.01%"/>
        <filter val="-18.03%"/>
        <filter val="-19.19%"/>
        <filter val="-5.67%"/>
        <filter val="-17.48%"/>
        <filter val="-7.38%"/>
        <filter val="-24.15%"/>
      </filters>
    </filterColumn>
    <sortState ref="A3:D506">
      <sortCondition descending="1" ref="D3:D506"/>
    </sortState>
  </autoFilter>
  <mergeCells count="15">
    <mergeCell ref="Q1:Q3"/>
    <mergeCell ref="R1:R3"/>
    <mergeCell ref="S1:S3"/>
    <mergeCell ref="E2:F2"/>
    <mergeCell ref="G2:H2"/>
    <mergeCell ref="I2:J2"/>
    <mergeCell ref="K2:L2"/>
    <mergeCell ref="E1:F1"/>
    <mergeCell ref="G1:H1"/>
    <mergeCell ref="I1:J1"/>
    <mergeCell ref="K1:L1"/>
    <mergeCell ref="M1:N1"/>
    <mergeCell ref="O1:O3"/>
    <mergeCell ref="P1:P3"/>
    <mergeCell ref="M2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25"/>
    <col customWidth="1" min="3" max="3" width="18.88"/>
    <col customWidth="1" min="5" max="5" width="20.13"/>
    <col customWidth="1" min="6" max="6" width="18.38"/>
    <col customWidth="1" min="7" max="8" width="19.0"/>
    <col customWidth="1" min="9" max="9" width="20.0"/>
    <col customWidth="1" min="10" max="10" width="18.63"/>
    <col customWidth="1" min="11" max="11" width="19.5"/>
    <col customWidth="1" min="12" max="12" width="18.63"/>
    <col customWidth="1" min="13" max="13" width="19.38"/>
    <col customWidth="1" min="14" max="14" width="18.38"/>
  </cols>
  <sheetData>
    <row r="1">
      <c r="A1" s="98"/>
      <c r="B1" s="98"/>
      <c r="C1" s="98"/>
      <c r="D1" s="99"/>
      <c r="E1" s="100" t="s">
        <v>71</v>
      </c>
      <c r="F1" s="12"/>
      <c r="G1" s="101" t="s">
        <v>72</v>
      </c>
      <c r="H1" s="12"/>
      <c r="I1" s="102" t="s">
        <v>73</v>
      </c>
      <c r="J1" s="12"/>
      <c r="K1" s="103" t="s">
        <v>74</v>
      </c>
      <c r="L1" s="12"/>
      <c r="M1" s="104" t="s">
        <v>75</v>
      </c>
      <c r="N1" s="12"/>
      <c r="O1" s="105" t="s">
        <v>76</v>
      </c>
      <c r="P1" s="106" t="s">
        <v>77</v>
      </c>
      <c r="Q1" s="107" t="s">
        <v>78</v>
      </c>
      <c r="R1" s="108" t="s">
        <v>79</v>
      </c>
      <c r="S1" s="109" t="s">
        <v>80</v>
      </c>
      <c r="T1" s="98"/>
      <c r="U1" s="98"/>
      <c r="V1" s="110"/>
      <c r="W1" s="98"/>
      <c r="X1" s="98"/>
      <c r="Y1" s="98"/>
      <c r="Z1" s="98"/>
      <c r="AA1" s="98"/>
      <c r="AB1" s="98"/>
      <c r="AC1" s="98"/>
      <c r="AD1" s="98"/>
      <c r="AE1" s="98"/>
      <c r="AF1" s="98"/>
    </row>
    <row r="2">
      <c r="A2" s="98"/>
      <c r="B2" s="98"/>
      <c r="C2" s="111"/>
      <c r="D2" s="99"/>
      <c r="E2" s="112">
        <v>39706.0</v>
      </c>
      <c r="F2" s="113"/>
      <c r="G2" s="114">
        <v>40304.0</v>
      </c>
      <c r="H2" s="113"/>
      <c r="I2" s="115">
        <v>40763.0</v>
      </c>
      <c r="J2" s="113"/>
      <c r="K2" s="116">
        <v>42240.0</v>
      </c>
      <c r="L2" s="113"/>
      <c r="M2" s="117">
        <v>43881.0</v>
      </c>
      <c r="N2" s="113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</row>
    <row r="3">
      <c r="A3" s="118" t="s">
        <v>4</v>
      </c>
      <c r="B3" s="118" t="s">
        <v>280</v>
      </c>
      <c r="C3" s="118" t="s">
        <v>281</v>
      </c>
      <c r="D3" s="119" t="s">
        <v>7</v>
      </c>
      <c r="E3" s="120" t="s">
        <v>81</v>
      </c>
      <c r="F3" s="120" t="s">
        <v>82</v>
      </c>
      <c r="G3" s="121" t="s">
        <v>83</v>
      </c>
      <c r="H3" s="121" t="s">
        <v>84</v>
      </c>
      <c r="I3" s="122" t="s">
        <v>85</v>
      </c>
      <c r="J3" s="122" t="s">
        <v>86</v>
      </c>
      <c r="K3" s="123" t="s">
        <v>87</v>
      </c>
      <c r="L3" s="123" t="s">
        <v>88</v>
      </c>
      <c r="M3" s="124" t="s">
        <v>89</v>
      </c>
      <c r="N3" s="124" t="s">
        <v>90</v>
      </c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</row>
    <row r="4" hidden="1">
      <c r="A4" s="125" t="s">
        <v>1173</v>
      </c>
      <c r="B4" s="125" t="s">
        <v>1174</v>
      </c>
      <c r="C4" s="126">
        <v>1.029684939E10</v>
      </c>
      <c r="D4" s="127" t="e">
        <v>#DIV/0!</v>
      </c>
      <c r="E4" s="128" t="e">
        <v>#N/A</v>
      </c>
      <c r="F4" s="128" t="e">
        <v>#N/A</v>
      </c>
      <c r="G4" s="128" t="e">
        <v>#N/A</v>
      </c>
      <c r="H4" s="129" t="e">
        <v>#N/A</v>
      </c>
      <c r="I4" s="128" t="e">
        <v>#N/A</v>
      </c>
      <c r="J4" s="129" t="e">
        <v>#N/A</v>
      </c>
      <c r="K4" s="128" t="e">
        <v>#N/A</v>
      </c>
      <c r="L4" s="128" t="e">
        <v>#N/A</v>
      </c>
      <c r="M4" s="128" t="e">
        <v>#N/A</v>
      </c>
      <c r="N4" s="129" t="e">
        <v>#N/A</v>
      </c>
      <c r="O4" s="127" t="e">
        <v>#N/A</v>
      </c>
      <c r="P4" s="130" t="e">
        <v>#N/A</v>
      </c>
      <c r="Q4" s="127" t="e">
        <v>#N/A</v>
      </c>
      <c r="R4" s="127" t="e">
        <v>#N/A</v>
      </c>
      <c r="S4" s="127" t="e">
        <v>#N/A</v>
      </c>
      <c r="T4" s="110"/>
      <c r="U4" s="110"/>
      <c r="V4" s="131"/>
      <c r="W4" s="110"/>
      <c r="X4" s="110"/>
      <c r="Y4" s="110"/>
      <c r="Z4" s="110"/>
      <c r="AA4" s="131"/>
      <c r="AB4" s="132"/>
      <c r="AC4" s="110"/>
      <c r="AD4" s="110"/>
      <c r="AE4" s="110"/>
      <c r="AF4" s="110"/>
    </row>
    <row r="5" hidden="1">
      <c r="A5" s="125" t="s">
        <v>1175</v>
      </c>
      <c r="B5" s="125" t="s">
        <v>1176</v>
      </c>
      <c r="C5" s="126">
        <v>6.417931813E9</v>
      </c>
      <c r="D5" s="127" t="e">
        <v>#DIV/0!</v>
      </c>
      <c r="E5" s="128" t="e">
        <v>#N/A</v>
      </c>
      <c r="F5" s="128" t="e">
        <v>#N/A</v>
      </c>
      <c r="G5" s="128" t="e">
        <v>#N/A</v>
      </c>
      <c r="H5" s="129" t="e">
        <v>#N/A</v>
      </c>
      <c r="I5" s="128" t="e">
        <v>#N/A</v>
      </c>
      <c r="J5" s="129" t="e">
        <v>#N/A</v>
      </c>
      <c r="K5" s="128" t="e">
        <v>#N/A</v>
      </c>
      <c r="L5" s="128" t="e">
        <v>#N/A</v>
      </c>
      <c r="M5" s="128" t="e">
        <v>#N/A</v>
      </c>
      <c r="N5" s="129" t="e">
        <v>#N/A</v>
      </c>
      <c r="O5" s="127" t="e">
        <v>#N/A</v>
      </c>
      <c r="P5" s="130" t="e">
        <v>#N/A</v>
      </c>
      <c r="Q5" s="127" t="e">
        <v>#N/A</v>
      </c>
      <c r="R5" s="127" t="e">
        <v>#N/A</v>
      </c>
      <c r="S5" s="127" t="e">
        <v>#N/A</v>
      </c>
      <c r="T5" s="110"/>
      <c r="U5" s="110"/>
      <c r="V5" s="131"/>
      <c r="W5" s="110"/>
      <c r="X5" s="110"/>
      <c r="Y5" s="110"/>
      <c r="Z5" s="110"/>
      <c r="AA5" s="131"/>
      <c r="AB5" s="132"/>
      <c r="AC5" s="110"/>
      <c r="AD5" s="110"/>
      <c r="AE5" s="110"/>
      <c r="AF5" s="110"/>
    </row>
    <row r="6" hidden="1">
      <c r="A6" s="125" t="s">
        <v>1177</v>
      </c>
      <c r="B6" s="125" t="s">
        <v>1178</v>
      </c>
      <c r="C6" s="126">
        <v>4.767534487E9</v>
      </c>
      <c r="D6" s="127" t="e">
        <v>#DIV/0!</v>
      </c>
      <c r="E6" s="128" t="e">
        <v>#N/A</v>
      </c>
      <c r="F6" s="128" t="e">
        <v>#N/A</v>
      </c>
      <c r="G6" s="128" t="e">
        <v>#N/A</v>
      </c>
      <c r="H6" s="129" t="e">
        <v>#N/A</v>
      </c>
      <c r="I6" s="128" t="e">
        <v>#N/A</v>
      </c>
      <c r="J6" s="129" t="e">
        <v>#N/A</v>
      </c>
      <c r="K6" s="128" t="e">
        <v>#N/A</v>
      </c>
      <c r="L6" s="128" t="e">
        <v>#N/A</v>
      </c>
      <c r="M6" s="128" t="e">
        <v>#N/A</v>
      </c>
      <c r="N6" s="129" t="e">
        <v>#N/A</v>
      </c>
      <c r="O6" s="127" t="e">
        <v>#N/A</v>
      </c>
      <c r="P6" s="130" t="e">
        <v>#N/A</v>
      </c>
      <c r="Q6" s="127" t="e">
        <v>#N/A</v>
      </c>
      <c r="R6" s="127" t="e">
        <v>#N/A</v>
      </c>
      <c r="S6" s="127" t="e">
        <v>#N/A</v>
      </c>
      <c r="T6" s="110"/>
      <c r="U6" s="110"/>
      <c r="V6" s="131"/>
      <c r="W6" s="110"/>
      <c r="X6" s="110"/>
      <c r="Y6" s="110"/>
      <c r="Z6" s="110"/>
      <c r="AA6" s="131"/>
      <c r="AB6" s="132"/>
      <c r="AC6" s="110"/>
      <c r="AD6" s="110"/>
      <c r="AE6" s="110"/>
      <c r="AF6" s="110"/>
    </row>
    <row r="7" hidden="1">
      <c r="A7" s="125" t="s">
        <v>1179</v>
      </c>
      <c r="B7" s="125" t="s">
        <v>1180</v>
      </c>
      <c r="C7" s="126">
        <v>4.730234177E9</v>
      </c>
      <c r="D7" s="127" t="e">
        <v>#DIV/0!</v>
      </c>
      <c r="E7" s="128" t="e">
        <v>#N/A</v>
      </c>
      <c r="F7" s="128" t="e">
        <v>#N/A</v>
      </c>
      <c r="G7" s="128" t="e">
        <v>#N/A</v>
      </c>
      <c r="H7" s="129" t="e">
        <v>#N/A</v>
      </c>
      <c r="I7" s="128" t="e">
        <v>#N/A</v>
      </c>
      <c r="J7" s="129" t="e">
        <v>#N/A</v>
      </c>
      <c r="K7" s="128" t="e">
        <v>#N/A</v>
      </c>
      <c r="L7" s="128" t="e">
        <v>#N/A</v>
      </c>
      <c r="M7" s="128" t="e">
        <v>#N/A</v>
      </c>
      <c r="N7" s="129" t="e">
        <v>#N/A</v>
      </c>
      <c r="O7" s="127" t="e">
        <v>#N/A</v>
      </c>
      <c r="P7" s="130" t="e">
        <v>#N/A</v>
      </c>
      <c r="Q7" s="127" t="e">
        <v>#N/A</v>
      </c>
      <c r="R7" s="127" t="e">
        <v>#N/A</v>
      </c>
      <c r="S7" s="127" t="e">
        <v>#N/A</v>
      </c>
      <c r="T7" s="110"/>
      <c r="U7" s="110"/>
      <c r="V7" s="131"/>
      <c r="W7" s="110"/>
      <c r="X7" s="110"/>
      <c r="Y7" s="110"/>
      <c r="Z7" s="110"/>
      <c r="AA7" s="131"/>
      <c r="AB7" s="132"/>
      <c r="AC7" s="110"/>
      <c r="AD7" s="110"/>
      <c r="AE7" s="110"/>
      <c r="AF7" s="110"/>
    </row>
    <row r="8" hidden="1">
      <c r="A8" s="125" t="s">
        <v>1181</v>
      </c>
      <c r="B8" s="125" t="s">
        <v>1182</v>
      </c>
      <c r="C8" s="126">
        <v>4.566984437E9</v>
      </c>
      <c r="D8" s="127" t="e">
        <v>#DIV/0!</v>
      </c>
      <c r="E8" s="128" t="e">
        <v>#N/A</v>
      </c>
      <c r="F8" s="128" t="e">
        <v>#N/A</v>
      </c>
      <c r="G8" s="128" t="e">
        <v>#N/A</v>
      </c>
      <c r="H8" s="129" t="e">
        <v>#N/A</v>
      </c>
      <c r="I8" s="128" t="e">
        <v>#N/A</v>
      </c>
      <c r="J8" s="129" t="e">
        <v>#N/A</v>
      </c>
      <c r="K8" s="128" t="e">
        <v>#N/A</v>
      </c>
      <c r="L8" s="128" t="e">
        <v>#N/A</v>
      </c>
      <c r="M8" s="128" t="e">
        <v>#N/A</v>
      </c>
      <c r="N8" s="129" t="e">
        <v>#N/A</v>
      </c>
      <c r="O8" s="127" t="e">
        <v>#N/A</v>
      </c>
      <c r="P8" s="130" t="e">
        <v>#N/A</v>
      </c>
      <c r="Q8" s="127" t="e">
        <v>#N/A</v>
      </c>
      <c r="R8" s="127" t="e">
        <v>#N/A</v>
      </c>
      <c r="S8" s="127" t="e">
        <v>#N/A</v>
      </c>
      <c r="T8" s="110"/>
      <c r="U8" s="110"/>
      <c r="V8" s="131"/>
      <c r="W8" s="110"/>
      <c r="X8" s="110"/>
      <c r="Y8" s="110"/>
      <c r="Z8" s="110"/>
      <c r="AA8" s="131"/>
      <c r="AB8" s="132"/>
      <c r="AC8" s="110"/>
      <c r="AD8" s="110"/>
      <c r="AE8" s="110"/>
      <c r="AF8" s="110"/>
    </row>
    <row r="9" hidden="1">
      <c r="A9" s="125" t="s">
        <v>1183</v>
      </c>
      <c r="B9" s="125" t="s">
        <v>1184</v>
      </c>
      <c r="C9" s="126">
        <v>4.354077409E9</v>
      </c>
      <c r="D9" s="127" t="e">
        <v>#DIV/0!</v>
      </c>
      <c r="E9" s="128" t="e">
        <v>#N/A</v>
      </c>
      <c r="F9" s="128" t="e">
        <v>#N/A</v>
      </c>
      <c r="G9" s="128" t="e">
        <v>#N/A</v>
      </c>
      <c r="H9" s="129" t="e">
        <v>#N/A</v>
      </c>
      <c r="I9" s="128" t="e">
        <v>#N/A</v>
      </c>
      <c r="J9" s="129" t="e">
        <v>#N/A</v>
      </c>
      <c r="K9" s="128" t="e">
        <v>#N/A</v>
      </c>
      <c r="L9" s="128" t="e">
        <v>#N/A</v>
      </c>
      <c r="M9" s="128" t="e">
        <v>#N/A</v>
      </c>
      <c r="N9" s="129" t="e">
        <v>#N/A</v>
      </c>
      <c r="O9" s="127" t="e">
        <v>#N/A</v>
      </c>
      <c r="P9" s="130" t="e">
        <v>#N/A</v>
      </c>
      <c r="Q9" s="127" t="e">
        <v>#N/A</v>
      </c>
      <c r="R9" s="127" t="e">
        <v>#N/A</v>
      </c>
      <c r="S9" s="127" t="e">
        <v>#N/A</v>
      </c>
      <c r="T9" s="110"/>
      <c r="U9" s="110"/>
      <c r="V9" s="131"/>
      <c r="W9" s="110"/>
      <c r="X9" s="110"/>
      <c r="Y9" s="110"/>
      <c r="Z9" s="110"/>
      <c r="AA9" s="131"/>
      <c r="AB9" s="132"/>
      <c r="AC9" s="110"/>
      <c r="AD9" s="110"/>
      <c r="AE9" s="110"/>
      <c r="AF9" s="110"/>
    </row>
    <row r="10" hidden="1">
      <c r="A10" s="125" t="s">
        <v>1185</v>
      </c>
      <c r="B10" s="125" t="s">
        <v>1186</v>
      </c>
      <c r="C10" s="126">
        <v>4.064551645E9</v>
      </c>
      <c r="D10" s="127" t="e">
        <v>#DIV/0!</v>
      </c>
      <c r="E10" s="128" t="e">
        <v>#N/A</v>
      </c>
      <c r="F10" s="128" t="e">
        <v>#N/A</v>
      </c>
      <c r="G10" s="128" t="e">
        <v>#N/A</v>
      </c>
      <c r="H10" s="129" t="e">
        <v>#N/A</v>
      </c>
      <c r="I10" s="128" t="e">
        <v>#N/A</v>
      </c>
      <c r="J10" s="129" t="e">
        <v>#N/A</v>
      </c>
      <c r="K10" s="128" t="e">
        <v>#N/A</v>
      </c>
      <c r="L10" s="128" t="e">
        <v>#N/A</v>
      </c>
      <c r="M10" s="128" t="e">
        <v>#N/A</v>
      </c>
      <c r="N10" s="129" t="e">
        <v>#N/A</v>
      </c>
      <c r="O10" s="127" t="e">
        <v>#N/A</v>
      </c>
      <c r="P10" s="130" t="e">
        <v>#N/A</v>
      </c>
      <c r="Q10" s="127" t="e">
        <v>#N/A</v>
      </c>
      <c r="R10" s="127" t="e">
        <v>#N/A</v>
      </c>
      <c r="S10" s="127" t="e">
        <v>#N/A</v>
      </c>
      <c r="T10" s="110"/>
      <c r="U10" s="110"/>
      <c r="V10" s="131"/>
      <c r="W10" s="110"/>
      <c r="X10" s="110"/>
      <c r="Y10" s="110"/>
      <c r="Z10" s="110"/>
      <c r="AA10" s="131"/>
      <c r="AB10" s="132"/>
      <c r="AC10" s="110"/>
      <c r="AD10" s="110"/>
      <c r="AE10" s="110"/>
      <c r="AF10" s="110"/>
    </row>
    <row r="11" hidden="1">
      <c r="A11" s="125" t="s">
        <v>1187</v>
      </c>
      <c r="B11" s="125" t="s">
        <v>1188</v>
      </c>
      <c r="C11" s="126">
        <v>4.018107844E9</v>
      </c>
      <c r="D11" s="127" t="e">
        <v>#DIV/0!</v>
      </c>
      <c r="E11" s="128" t="e">
        <v>#N/A</v>
      </c>
      <c r="F11" s="128" t="e">
        <v>#N/A</v>
      </c>
      <c r="G11" s="128" t="e">
        <v>#N/A</v>
      </c>
      <c r="H11" s="129" t="e">
        <v>#N/A</v>
      </c>
      <c r="I11" s="128" t="e">
        <v>#N/A</v>
      </c>
      <c r="J11" s="129" t="e">
        <v>#N/A</v>
      </c>
      <c r="K11" s="128" t="e">
        <v>#N/A</v>
      </c>
      <c r="L11" s="128" t="e">
        <v>#N/A</v>
      </c>
      <c r="M11" s="128" t="e">
        <v>#N/A</v>
      </c>
      <c r="N11" s="129" t="e">
        <v>#N/A</v>
      </c>
      <c r="O11" s="127" t="e">
        <v>#N/A</v>
      </c>
      <c r="P11" s="130" t="e">
        <v>#N/A</v>
      </c>
      <c r="Q11" s="127" t="e">
        <v>#N/A</v>
      </c>
      <c r="R11" s="127" t="e">
        <v>#N/A</v>
      </c>
      <c r="S11" s="127" t="e">
        <v>#N/A</v>
      </c>
      <c r="T11" s="110"/>
      <c r="U11" s="110"/>
      <c r="V11" s="131"/>
      <c r="W11" s="110"/>
      <c r="X11" s="110"/>
      <c r="Y11" s="110"/>
      <c r="Z11" s="110"/>
      <c r="AA11" s="131"/>
      <c r="AB11" s="132"/>
      <c r="AC11" s="110"/>
      <c r="AD11" s="110"/>
      <c r="AE11" s="110"/>
      <c r="AF11" s="110"/>
    </row>
    <row r="12" hidden="1">
      <c r="A12" s="125" t="s">
        <v>1189</v>
      </c>
      <c r="B12" s="125" t="s">
        <v>1190</v>
      </c>
      <c r="C12" s="126">
        <v>3.960339189E9</v>
      </c>
      <c r="D12" s="127" t="e">
        <v>#DIV/0!</v>
      </c>
      <c r="E12" s="128" t="e">
        <v>#N/A</v>
      </c>
      <c r="F12" s="128" t="e">
        <v>#N/A</v>
      </c>
      <c r="G12" s="128" t="e">
        <v>#N/A</v>
      </c>
      <c r="H12" s="129" t="e">
        <v>#N/A</v>
      </c>
      <c r="I12" s="128" t="e">
        <v>#N/A</v>
      </c>
      <c r="J12" s="129" t="e">
        <v>#N/A</v>
      </c>
      <c r="K12" s="128" t="e">
        <v>#N/A</v>
      </c>
      <c r="L12" s="128" t="e">
        <v>#N/A</v>
      </c>
      <c r="M12" s="128" t="e">
        <v>#N/A</v>
      </c>
      <c r="N12" s="129" t="e">
        <v>#N/A</v>
      </c>
      <c r="O12" s="127" t="e">
        <v>#N/A</v>
      </c>
      <c r="P12" s="130" t="e">
        <v>#N/A</v>
      </c>
      <c r="Q12" s="127" t="e">
        <v>#N/A</v>
      </c>
      <c r="R12" s="127" t="e">
        <v>#N/A</v>
      </c>
      <c r="S12" s="127" t="e">
        <v>#N/A</v>
      </c>
      <c r="T12" s="110"/>
      <c r="U12" s="110"/>
      <c r="V12" s="131"/>
      <c r="W12" s="110"/>
      <c r="X12" s="110"/>
      <c r="Y12" s="110"/>
      <c r="Z12" s="110"/>
      <c r="AA12" s="131"/>
      <c r="AB12" s="132"/>
      <c r="AC12" s="110"/>
      <c r="AD12" s="110"/>
      <c r="AE12" s="110"/>
      <c r="AF12" s="110"/>
    </row>
    <row r="13" hidden="1">
      <c r="A13" s="125" t="s">
        <v>1191</v>
      </c>
      <c r="B13" s="125" t="s">
        <v>1192</v>
      </c>
      <c r="C13" s="126">
        <v>3.885088412E9</v>
      </c>
      <c r="D13" s="127" t="e">
        <v>#DIV/0!</v>
      </c>
      <c r="E13" s="128" t="e">
        <v>#N/A</v>
      </c>
      <c r="F13" s="128" t="e">
        <v>#N/A</v>
      </c>
      <c r="G13" s="128" t="e">
        <v>#N/A</v>
      </c>
      <c r="H13" s="129" t="e">
        <v>#N/A</v>
      </c>
      <c r="I13" s="128" t="e">
        <v>#N/A</v>
      </c>
      <c r="J13" s="129" t="e">
        <v>#N/A</v>
      </c>
      <c r="K13" s="128" t="e">
        <v>#N/A</v>
      </c>
      <c r="L13" s="128" t="e">
        <v>#N/A</v>
      </c>
      <c r="M13" s="128" t="e">
        <v>#N/A</v>
      </c>
      <c r="N13" s="129" t="e">
        <v>#N/A</v>
      </c>
      <c r="O13" s="127" t="e">
        <v>#N/A</v>
      </c>
      <c r="P13" s="130" t="e">
        <v>#N/A</v>
      </c>
      <c r="Q13" s="127" t="e">
        <v>#N/A</v>
      </c>
      <c r="R13" s="127" t="e">
        <v>#N/A</v>
      </c>
      <c r="S13" s="127" t="e">
        <v>#N/A</v>
      </c>
      <c r="T13" s="110"/>
      <c r="U13" s="110"/>
      <c r="V13" s="131"/>
      <c r="W13" s="110"/>
      <c r="X13" s="110"/>
      <c r="Y13" s="110"/>
      <c r="Z13" s="110"/>
      <c r="AA13" s="131"/>
      <c r="AB13" s="132"/>
      <c r="AC13" s="110"/>
      <c r="AD13" s="110"/>
      <c r="AE13" s="110"/>
      <c r="AF13" s="110"/>
    </row>
    <row r="14" hidden="1">
      <c r="A14" s="125" t="s">
        <v>1193</v>
      </c>
      <c r="B14" s="125" t="s">
        <v>1194</v>
      </c>
      <c r="C14" s="126">
        <v>3.814488053E9</v>
      </c>
      <c r="D14" s="127" t="e">
        <v>#DIV/0!</v>
      </c>
      <c r="E14" s="128" t="e">
        <v>#N/A</v>
      </c>
      <c r="F14" s="128" t="e">
        <v>#N/A</v>
      </c>
      <c r="G14" s="128" t="e">
        <v>#N/A</v>
      </c>
      <c r="H14" s="129" t="e">
        <v>#N/A</v>
      </c>
      <c r="I14" s="128" t="e">
        <v>#N/A</v>
      </c>
      <c r="J14" s="129" t="e">
        <v>#N/A</v>
      </c>
      <c r="K14" s="128" t="e">
        <v>#N/A</v>
      </c>
      <c r="L14" s="128" t="e">
        <v>#N/A</v>
      </c>
      <c r="M14" s="128" t="e">
        <v>#N/A</v>
      </c>
      <c r="N14" s="129" t="e">
        <v>#N/A</v>
      </c>
      <c r="O14" s="127" t="e">
        <v>#N/A</v>
      </c>
      <c r="P14" s="130" t="e">
        <v>#N/A</v>
      </c>
      <c r="Q14" s="127" t="e">
        <v>#N/A</v>
      </c>
      <c r="R14" s="127" t="e">
        <v>#N/A</v>
      </c>
      <c r="S14" s="127" t="e">
        <v>#N/A</v>
      </c>
      <c r="T14" s="110"/>
      <c r="U14" s="110"/>
      <c r="V14" s="131"/>
      <c r="W14" s="110"/>
      <c r="X14" s="110"/>
      <c r="Y14" s="110"/>
      <c r="Z14" s="110"/>
      <c r="AA14" s="131"/>
      <c r="AB14" s="132"/>
      <c r="AC14" s="110"/>
      <c r="AD14" s="110"/>
      <c r="AE14" s="110"/>
      <c r="AF14" s="110"/>
    </row>
    <row r="15" hidden="1">
      <c r="A15" s="125" t="s">
        <v>1195</v>
      </c>
      <c r="B15" s="125" t="s">
        <v>1196</v>
      </c>
      <c r="C15" s="126">
        <v>3.639251745E9</v>
      </c>
      <c r="D15" s="127" t="e">
        <v>#DIV/0!</v>
      </c>
      <c r="E15" s="128" t="e">
        <v>#N/A</v>
      </c>
      <c r="F15" s="128" t="e">
        <v>#N/A</v>
      </c>
      <c r="G15" s="128" t="e">
        <v>#N/A</v>
      </c>
      <c r="H15" s="129" t="e">
        <v>#N/A</v>
      </c>
      <c r="I15" s="128" t="e">
        <v>#N/A</v>
      </c>
      <c r="J15" s="129" t="e">
        <v>#N/A</v>
      </c>
      <c r="K15" s="128" t="e">
        <v>#N/A</v>
      </c>
      <c r="L15" s="128" t="e">
        <v>#N/A</v>
      </c>
      <c r="M15" s="128" t="e">
        <v>#N/A</v>
      </c>
      <c r="N15" s="129" t="e">
        <v>#N/A</v>
      </c>
      <c r="O15" s="127" t="e">
        <v>#N/A</v>
      </c>
      <c r="P15" s="130" t="e">
        <v>#N/A</v>
      </c>
      <c r="Q15" s="127" t="e">
        <v>#N/A</v>
      </c>
      <c r="R15" s="127" t="e">
        <v>#N/A</v>
      </c>
      <c r="S15" s="127" t="e">
        <v>#N/A</v>
      </c>
      <c r="T15" s="110"/>
      <c r="U15" s="110"/>
      <c r="V15" s="131"/>
      <c r="W15" s="110"/>
      <c r="X15" s="110"/>
      <c r="Y15" s="110"/>
      <c r="Z15" s="110"/>
      <c r="AA15" s="131"/>
      <c r="AB15" s="132"/>
      <c r="AC15" s="110"/>
      <c r="AD15" s="110"/>
      <c r="AE15" s="110"/>
      <c r="AF15" s="110"/>
    </row>
    <row r="16" hidden="1">
      <c r="A16" s="125" t="s">
        <v>1197</v>
      </c>
      <c r="B16" s="125" t="s">
        <v>1198</v>
      </c>
      <c r="C16" s="126">
        <v>3.53601E9</v>
      </c>
      <c r="D16" s="127" t="e">
        <v>#DIV/0!</v>
      </c>
      <c r="E16" s="128" t="e">
        <v>#N/A</v>
      </c>
      <c r="F16" s="128" t="e">
        <v>#N/A</v>
      </c>
      <c r="G16" s="128" t="e">
        <v>#N/A</v>
      </c>
      <c r="H16" s="129" t="e">
        <v>#N/A</v>
      </c>
      <c r="I16" s="128" t="e">
        <v>#N/A</v>
      </c>
      <c r="J16" s="129" t="e">
        <v>#N/A</v>
      </c>
      <c r="K16" s="128" t="e">
        <v>#N/A</v>
      </c>
      <c r="L16" s="128" t="e">
        <v>#N/A</v>
      </c>
      <c r="M16" s="128" t="e">
        <v>#N/A</v>
      </c>
      <c r="N16" s="129" t="e">
        <v>#N/A</v>
      </c>
      <c r="O16" s="127" t="e">
        <v>#N/A</v>
      </c>
      <c r="P16" s="130" t="e">
        <v>#N/A</v>
      </c>
      <c r="Q16" s="127" t="e">
        <v>#N/A</v>
      </c>
      <c r="R16" s="127" t="e">
        <v>#N/A</v>
      </c>
      <c r="S16" s="127" t="e">
        <v>#N/A</v>
      </c>
      <c r="T16" s="110"/>
      <c r="U16" s="110"/>
      <c r="V16" s="131"/>
      <c r="W16" s="110"/>
      <c r="X16" s="110"/>
      <c r="Y16" s="110"/>
      <c r="Z16" s="110"/>
      <c r="AA16" s="131"/>
      <c r="AB16" s="132"/>
      <c r="AC16" s="110"/>
      <c r="AD16" s="110"/>
      <c r="AE16" s="110"/>
      <c r="AF16" s="110"/>
    </row>
    <row r="17" hidden="1">
      <c r="A17" s="125" t="s">
        <v>1199</v>
      </c>
      <c r="B17" s="125" t="s">
        <v>1200</v>
      </c>
      <c r="C17" s="126">
        <v>3.517978924E9</v>
      </c>
      <c r="D17" s="127" t="e">
        <v>#DIV/0!</v>
      </c>
      <c r="E17" s="128" t="e">
        <v>#N/A</v>
      </c>
      <c r="F17" s="128" t="e">
        <v>#N/A</v>
      </c>
      <c r="G17" s="128" t="e">
        <v>#N/A</v>
      </c>
      <c r="H17" s="129" t="e">
        <v>#N/A</v>
      </c>
      <c r="I17" s="128" t="e">
        <v>#N/A</v>
      </c>
      <c r="J17" s="129" t="e">
        <v>#N/A</v>
      </c>
      <c r="K17" s="128" t="e">
        <v>#N/A</v>
      </c>
      <c r="L17" s="128" t="e">
        <v>#N/A</v>
      </c>
      <c r="M17" s="128" t="e">
        <v>#N/A</v>
      </c>
      <c r="N17" s="129" t="e">
        <v>#N/A</v>
      </c>
      <c r="O17" s="127" t="e">
        <v>#N/A</v>
      </c>
      <c r="P17" s="130" t="e">
        <v>#N/A</v>
      </c>
      <c r="Q17" s="127" t="e">
        <v>#N/A</v>
      </c>
      <c r="R17" s="127" t="e">
        <v>#N/A</v>
      </c>
      <c r="S17" s="127" t="e">
        <v>#N/A</v>
      </c>
      <c r="T17" s="110"/>
      <c r="U17" s="110"/>
      <c r="V17" s="131"/>
      <c r="W17" s="110"/>
      <c r="X17" s="110"/>
      <c r="Y17" s="110"/>
      <c r="Z17" s="110"/>
      <c r="AA17" s="131"/>
      <c r="AB17" s="132"/>
      <c r="AC17" s="110"/>
      <c r="AD17" s="110"/>
      <c r="AE17" s="110"/>
      <c r="AF17" s="110"/>
    </row>
    <row r="18" hidden="1">
      <c r="A18" s="125" t="s">
        <v>1201</v>
      </c>
      <c r="B18" s="125" t="s">
        <v>1202</v>
      </c>
      <c r="C18" s="126">
        <v>3.505904386E9</v>
      </c>
      <c r="D18" s="127" t="e">
        <v>#DIV/0!</v>
      </c>
      <c r="E18" s="128" t="e">
        <v>#N/A</v>
      </c>
      <c r="F18" s="128" t="e">
        <v>#N/A</v>
      </c>
      <c r="G18" s="128" t="e">
        <v>#N/A</v>
      </c>
      <c r="H18" s="129" t="e">
        <v>#N/A</v>
      </c>
      <c r="I18" s="128" t="e">
        <v>#N/A</v>
      </c>
      <c r="J18" s="129" t="e">
        <v>#N/A</v>
      </c>
      <c r="K18" s="128" t="e">
        <v>#N/A</v>
      </c>
      <c r="L18" s="133" t="e">
        <v>#N/A</v>
      </c>
      <c r="M18" s="128" t="e">
        <v>#N/A</v>
      </c>
      <c r="N18" s="129" t="e">
        <v>#N/A</v>
      </c>
      <c r="O18" s="127" t="e">
        <v>#N/A</v>
      </c>
      <c r="P18" s="130" t="e">
        <v>#N/A</v>
      </c>
      <c r="Q18" s="127" t="e">
        <v>#N/A</v>
      </c>
      <c r="R18" s="127" t="e">
        <v>#N/A</v>
      </c>
      <c r="S18" s="127" t="e">
        <v>#N/A</v>
      </c>
      <c r="T18" s="110"/>
      <c r="U18" s="110"/>
      <c r="V18" s="131"/>
      <c r="W18" s="110"/>
      <c r="X18" s="110"/>
      <c r="Y18" s="110"/>
      <c r="Z18" s="110"/>
      <c r="AA18" s="131"/>
      <c r="AB18" s="132"/>
      <c r="AC18" s="110"/>
      <c r="AD18" s="110"/>
      <c r="AE18" s="110"/>
      <c r="AF18" s="110"/>
    </row>
    <row r="19" hidden="1">
      <c r="A19" s="125" t="s">
        <v>1203</v>
      </c>
      <c r="B19" s="125" t="s">
        <v>1204</v>
      </c>
      <c r="C19" s="126">
        <v>3.467423978E9</v>
      </c>
      <c r="D19" s="127" t="e">
        <v>#DIV/0!</v>
      </c>
      <c r="E19" s="128" t="e">
        <v>#N/A</v>
      </c>
      <c r="F19" s="128" t="e">
        <v>#N/A</v>
      </c>
      <c r="G19" s="128" t="e">
        <v>#N/A</v>
      </c>
      <c r="H19" s="129" t="e">
        <v>#N/A</v>
      </c>
      <c r="I19" s="128" t="e">
        <v>#N/A</v>
      </c>
      <c r="J19" s="129" t="e">
        <v>#N/A</v>
      </c>
      <c r="K19" s="128" t="e">
        <v>#N/A</v>
      </c>
      <c r="L19" s="128" t="e">
        <v>#N/A</v>
      </c>
      <c r="M19" s="128" t="e">
        <v>#N/A</v>
      </c>
      <c r="N19" s="129" t="e">
        <v>#N/A</v>
      </c>
      <c r="O19" s="127" t="e">
        <v>#N/A</v>
      </c>
      <c r="P19" s="130" t="e">
        <v>#N/A</v>
      </c>
      <c r="Q19" s="127" t="e">
        <v>#N/A</v>
      </c>
      <c r="R19" s="127" t="e">
        <v>#N/A</v>
      </c>
      <c r="S19" s="127" t="e">
        <v>#N/A</v>
      </c>
      <c r="T19" s="110"/>
      <c r="U19" s="110"/>
      <c r="V19" s="131"/>
      <c r="W19" s="110"/>
      <c r="X19" s="110"/>
      <c r="Y19" s="110"/>
      <c r="Z19" s="110"/>
      <c r="AA19" s="131"/>
      <c r="AB19" s="132"/>
      <c r="AC19" s="110"/>
      <c r="AD19" s="110"/>
      <c r="AE19" s="110"/>
      <c r="AF19" s="110"/>
    </row>
    <row r="20" hidden="1">
      <c r="A20" s="125" t="s">
        <v>1205</v>
      </c>
      <c r="B20" s="125" t="s">
        <v>1206</v>
      </c>
      <c r="C20" s="126">
        <v>3.419701584E9</v>
      </c>
      <c r="D20" s="127" t="e">
        <v>#DIV/0!</v>
      </c>
      <c r="E20" s="128" t="e">
        <v>#N/A</v>
      </c>
      <c r="F20" s="128" t="e">
        <v>#N/A</v>
      </c>
      <c r="G20" s="128" t="e">
        <v>#N/A</v>
      </c>
      <c r="H20" s="129" t="e">
        <v>#N/A</v>
      </c>
      <c r="I20" s="128" t="e">
        <v>#N/A</v>
      </c>
      <c r="J20" s="129" t="e">
        <v>#N/A</v>
      </c>
      <c r="K20" s="128" t="e">
        <v>#N/A</v>
      </c>
      <c r="L20" s="128" t="e">
        <v>#N/A</v>
      </c>
      <c r="M20" s="128" t="e">
        <v>#N/A</v>
      </c>
      <c r="N20" s="129" t="e">
        <v>#N/A</v>
      </c>
      <c r="O20" s="127" t="e">
        <v>#N/A</v>
      </c>
      <c r="P20" s="130" t="e">
        <v>#N/A</v>
      </c>
      <c r="Q20" s="127" t="e">
        <v>#N/A</v>
      </c>
      <c r="R20" s="127" t="e">
        <v>#N/A</v>
      </c>
      <c r="S20" s="127" t="e">
        <v>#N/A</v>
      </c>
      <c r="T20" s="110"/>
      <c r="U20" s="110"/>
      <c r="V20" s="131"/>
      <c r="W20" s="110"/>
      <c r="X20" s="110"/>
      <c r="Y20" s="110"/>
      <c r="Z20" s="110"/>
      <c r="AA20" s="131"/>
      <c r="AB20" s="132"/>
      <c r="AC20" s="110"/>
      <c r="AD20" s="110"/>
      <c r="AE20" s="110"/>
      <c r="AF20" s="110"/>
    </row>
    <row r="21" hidden="1">
      <c r="A21" s="125" t="s">
        <v>1207</v>
      </c>
      <c r="B21" s="125" t="s">
        <v>1208</v>
      </c>
      <c r="C21" s="126">
        <v>3.41150115E9</v>
      </c>
      <c r="D21" s="127" t="e">
        <v>#DIV/0!</v>
      </c>
      <c r="E21" s="128" t="e">
        <v>#N/A</v>
      </c>
      <c r="F21" s="128" t="e">
        <v>#N/A</v>
      </c>
      <c r="G21" s="128" t="e">
        <v>#N/A</v>
      </c>
      <c r="H21" s="129" t="e">
        <v>#N/A</v>
      </c>
      <c r="I21" s="128" t="e">
        <v>#N/A</v>
      </c>
      <c r="J21" s="129" t="e">
        <v>#N/A</v>
      </c>
      <c r="K21" s="128" t="e">
        <v>#N/A</v>
      </c>
      <c r="L21" s="128" t="e">
        <v>#N/A</v>
      </c>
      <c r="M21" s="128" t="e">
        <v>#N/A</v>
      </c>
      <c r="N21" s="129" t="e">
        <v>#N/A</v>
      </c>
      <c r="O21" s="127" t="e">
        <v>#N/A</v>
      </c>
      <c r="P21" s="130" t="e">
        <v>#N/A</v>
      </c>
      <c r="Q21" s="127" t="e">
        <v>#N/A</v>
      </c>
      <c r="R21" s="127" t="e">
        <v>#N/A</v>
      </c>
      <c r="S21" s="127" t="e">
        <v>#N/A</v>
      </c>
      <c r="T21" s="110"/>
      <c r="U21" s="110"/>
      <c r="V21" s="131"/>
      <c r="W21" s="110"/>
      <c r="X21" s="110"/>
      <c r="Y21" s="110"/>
      <c r="Z21" s="110"/>
      <c r="AA21" s="131"/>
      <c r="AB21" s="132"/>
      <c r="AC21" s="110"/>
      <c r="AD21" s="110"/>
      <c r="AE21" s="110"/>
      <c r="AF21" s="110"/>
    </row>
    <row r="22" hidden="1">
      <c r="A22" s="125" t="s">
        <v>1209</v>
      </c>
      <c r="B22" s="125" t="s">
        <v>1210</v>
      </c>
      <c r="C22" s="126">
        <v>3.383237961E9</v>
      </c>
      <c r="D22" s="127" t="e">
        <v>#DIV/0!</v>
      </c>
      <c r="E22" s="128" t="e">
        <v>#N/A</v>
      </c>
      <c r="F22" s="128" t="e">
        <v>#N/A</v>
      </c>
      <c r="G22" s="128" t="e">
        <v>#N/A</v>
      </c>
      <c r="H22" s="129" t="e">
        <v>#N/A</v>
      </c>
      <c r="I22" s="128" t="e">
        <v>#N/A</v>
      </c>
      <c r="J22" s="129" t="e">
        <v>#N/A</v>
      </c>
      <c r="K22" s="128" t="e">
        <v>#N/A</v>
      </c>
      <c r="L22" s="128" t="e">
        <v>#N/A</v>
      </c>
      <c r="M22" s="128" t="e">
        <v>#N/A</v>
      </c>
      <c r="N22" s="129" t="e">
        <v>#N/A</v>
      </c>
      <c r="O22" s="127" t="e">
        <v>#N/A</v>
      </c>
      <c r="P22" s="130" t="e">
        <v>#N/A</v>
      </c>
      <c r="Q22" s="127" t="e">
        <v>#N/A</v>
      </c>
      <c r="R22" s="127" t="e">
        <v>#N/A</v>
      </c>
      <c r="S22" s="127" t="e">
        <v>#N/A</v>
      </c>
      <c r="T22" s="110"/>
      <c r="U22" s="110"/>
      <c r="V22" s="131"/>
      <c r="W22" s="110"/>
      <c r="X22" s="110"/>
      <c r="Y22" s="110"/>
      <c r="Z22" s="110"/>
      <c r="AA22" s="131"/>
      <c r="AB22" s="132"/>
      <c r="AC22" s="110"/>
      <c r="AD22" s="110"/>
      <c r="AE22" s="110"/>
      <c r="AF22" s="110"/>
    </row>
    <row r="23" hidden="1">
      <c r="A23" s="125" t="s">
        <v>1211</v>
      </c>
      <c r="B23" s="125" t="s">
        <v>1212</v>
      </c>
      <c r="C23" s="126">
        <v>3.368918462E9</v>
      </c>
      <c r="D23" s="127" t="e">
        <v>#DIV/0!</v>
      </c>
      <c r="E23" s="128" t="e">
        <v>#N/A</v>
      </c>
      <c r="F23" s="128" t="e">
        <v>#N/A</v>
      </c>
      <c r="G23" s="128" t="e">
        <v>#N/A</v>
      </c>
      <c r="H23" s="129" t="e">
        <v>#N/A</v>
      </c>
      <c r="I23" s="128" t="e">
        <v>#N/A</v>
      </c>
      <c r="J23" s="129" t="e">
        <v>#N/A</v>
      </c>
      <c r="K23" s="128" t="e">
        <v>#N/A</v>
      </c>
      <c r="L23" s="128" t="e">
        <v>#N/A</v>
      </c>
      <c r="M23" s="128" t="e">
        <v>#N/A</v>
      </c>
      <c r="N23" s="129" t="e">
        <v>#N/A</v>
      </c>
      <c r="O23" s="127" t="e">
        <v>#N/A</v>
      </c>
      <c r="P23" s="130" t="e">
        <v>#N/A</v>
      </c>
      <c r="Q23" s="127" t="e">
        <v>#N/A</v>
      </c>
      <c r="R23" s="127" t="e">
        <v>#N/A</v>
      </c>
      <c r="S23" s="127" t="e">
        <v>#N/A</v>
      </c>
      <c r="T23" s="110"/>
      <c r="U23" s="110"/>
      <c r="V23" s="131"/>
      <c r="W23" s="110"/>
      <c r="X23" s="110"/>
      <c r="Y23" s="110"/>
      <c r="Z23" s="110"/>
      <c r="AA23" s="131"/>
      <c r="AB23" s="132"/>
      <c r="AC23" s="110"/>
      <c r="AD23" s="110"/>
      <c r="AE23" s="110"/>
      <c r="AF23" s="110"/>
    </row>
    <row r="24" hidden="1">
      <c r="A24" s="125" t="s">
        <v>1213</v>
      </c>
      <c r="B24" s="125" t="s">
        <v>1214</v>
      </c>
      <c r="C24" s="126">
        <v>3.347525055E9</v>
      </c>
      <c r="D24" s="127" t="e">
        <v>#DIV/0!</v>
      </c>
      <c r="E24" s="128" t="e">
        <v>#N/A</v>
      </c>
      <c r="F24" s="128" t="e">
        <v>#N/A</v>
      </c>
      <c r="G24" s="128" t="e">
        <v>#N/A</v>
      </c>
      <c r="H24" s="129" t="e">
        <v>#N/A</v>
      </c>
      <c r="I24" s="128" t="e">
        <v>#N/A</v>
      </c>
      <c r="J24" s="129" t="e">
        <v>#N/A</v>
      </c>
      <c r="K24" s="128" t="e">
        <v>#N/A</v>
      </c>
      <c r="L24" s="128" t="e">
        <v>#N/A</v>
      </c>
      <c r="M24" s="128" t="e">
        <v>#N/A</v>
      </c>
      <c r="N24" s="129" t="e">
        <v>#N/A</v>
      </c>
      <c r="O24" s="127" t="e">
        <v>#N/A</v>
      </c>
      <c r="P24" s="130" t="e">
        <v>#N/A</v>
      </c>
      <c r="Q24" s="127" t="e">
        <v>#N/A</v>
      </c>
      <c r="R24" s="127" t="e">
        <v>#N/A</v>
      </c>
      <c r="S24" s="127" t="e">
        <v>#N/A</v>
      </c>
      <c r="T24" s="110"/>
      <c r="U24" s="110"/>
      <c r="V24" s="131"/>
      <c r="W24" s="110"/>
      <c r="X24" s="110"/>
      <c r="Y24" s="110"/>
      <c r="Z24" s="110"/>
      <c r="AA24" s="131"/>
      <c r="AB24" s="132"/>
      <c r="AC24" s="110"/>
      <c r="AD24" s="110"/>
      <c r="AE24" s="110"/>
      <c r="AF24" s="110"/>
    </row>
    <row r="25">
      <c r="A25" s="125" t="s">
        <v>31</v>
      </c>
      <c r="B25" s="125" t="s">
        <v>32</v>
      </c>
      <c r="C25" s="126">
        <v>4.956759694E9</v>
      </c>
      <c r="D25" s="134">
        <v>-0.04222914127296908</v>
      </c>
      <c r="E25" s="128">
        <v>46.84</v>
      </c>
      <c r="F25" s="128">
        <v>45.2</v>
      </c>
      <c r="G25" s="128">
        <v>22.36</v>
      </c>
      <c r="H25" s="129">
        <v>17.88</v>
      </c>
      <c r="I25" s="128">
        <v>16.24</v>
      </c>
      <c r="J25" s="129">
        <v>14.76</v>
      </c>
      <c r="K25" s="128">
        <v>25.57</v>
      </c>
      <c r="L25" s="128">
        <v>24.12</v>
      </c>
      <c r="M25" s="128">
        <v>18.0</v>
      </c>
      <c r="N25" s="129">
        <v>11.14</v>
      </c>
      <c r="O25" s="127">
        <v>-0.03628318584070798</v>
      </c>
      <c r="P25" s="130">
        <v>-0.25055928411633116</v>
      </c>
      <c r="Q25" s="127">
        <v>-0.10027100271002701</v>
      </c>
      <c r="R25" s="127">
        <v>-0.06011608623548919</v>
      </c>
      <c r="S25" s="127">
        <v>-0.615798922800718</v>
      </c>
      <c r="T25" s="110"/>
      <c r="U25" s="110"/>
      <c r="V25" s="131"/>
      <c r="W25" s="110"/>
      <c r="X25" s="110"/>
      <c r="Y25" s="110"/>
      <c r="Z25" s="110"/>
      <c r="AA25" s="131"/>
      <c r="AB25" s="132"/>
      <c r="AC25" s="110"/>
      <c r="AD25" s="110"/>
      <c r="AE25" s="110"/>
      <c r="AF25" s="110"/>
    </row>
    <row r="26">
      <c r="A26" s="125" t="s">
        <v>35</v>
      </c>
      <c r="B26" s="125" t="s">
        <v>36</v>
      </c>
      <c r="C26" s="126">
        <v>4.401831681E9</v>
      </c>
      <c r="D26" s="134">
        <v>-0.04380143578238531</v>
      </c>
      <c r="E26" s="128" t="e">
        <v>#N/A</v>
      </c>
      <c r="F26" s="128" t="e">
        <v>#N/A</v>
      </c>
      <c r="G26" s="128" t="e">
        <v>#N/A</v>
      </c>
      <c r="H26" s="129" t="e">
        <v>#N/A</v>
      </c>
      <c r="I26" s="128" t="e">
        <v>#N/A</v>
      </c>
      <c r="J26" s="129" t="e">
        <v>#N/A</v>
      </c>
      <c r="K26" s="128">
        <v>16.23</v>
      </c>
      <c r="L26" s="128">
        <v>15.81</v>
      </c>
      <c r="M26" s="128">
        <v>21.7</v>
      </c>
      <c r="N26" s="129">
        <v>15.52</v>
      </c>
      <c r="O26" s="127" t="e">
        <v>#N/A</v>
      </c>
      <c r="P26" s="130" t="e">
        <v>#N/A</v>
      </c>
      <c r="Q26" s="127" t="e">
        <v>#N/A</v>
      </c>
      <c r="R26" s="127">
        <v>-0.026565464895635667</v>
      </c>
      <c r="S26" s="127">
        <v>-0.39819587628865977</v>
      </c>
      <c r="T26" s="110"/>
      <c r="U26" s="110"/>
      <c r="V26" s="131"/>
      <c r="W26" s="110"/>
      <c r="X26" s="110"/>
      <c r="Y26" s="110"/>
      <c r="Z26" s="110"/>
      <c r="AA26" s="131"/>
      <c r="AB26" s="132"/>
      <c r="AC26" s="110"/>
      <c r="AD26" s="110"/>
      <c r="AE26" s="110"/>
      <c r="AF26" s="110"/>
    </row>
    <row r="27">
      <c r="A27" s="125" t="s">
        <v>39</v>
      </c>
      <c r="B27" s="125" t="s">
        <v>40</v>
      </c>
      <c r="C27" s="126">
        <v>3.455309065E9</v>
      </c>
      <c r="D27" s="134">
        <v>-0.07203880693260581</v>
      </c>
      <c r="E27" s="128">
        <v>21.38</v>
      </c>
      <c r="F27" s="128">
        <v>23.23</v>
      </c>
      <c r="G27" s="128">
        <v>12.41</v>
      </c>
      <c r="H27" s="129">
        <v>11.92</v>
      </c>
      <c r="I27" s="128">
        <v>12.6</v>
      </c>
      <c r="J27" s="129">
        <v>10.61</v>
      </c>
      <c r="K27" s="128">
        <v>30.29</v>
      </c>
      <c r="L27" s="128">
        <v>28.2</v>
      </c>
      <c r="M27" s="128">
        <v>36.45</v>
      </c>
      <c r="N27" s="129">
        <v>19.9</v>
      </c>
      <c r="O27" s="127">
        <v>0.079638398622471</v>
      </c>
      <c r="P27" s="130">
        <v>-0.04110738255033559</v>
      </c>
      <c r="Q27" s="127">
        <v>-0.18755890669180023</v>
      </c>
      <c r="R27" s="127">
        <v>-0.07411347517730496</v>
      </c>
      <c r="S27" s="127">
        <v>-0.8316582914572868</v>
      </c>
      <c r="T27" s="110"/>
      <c r="U27" s="110"/>
      <c r="V27" s="131"/>
      <c r="W27" s="110"/>
      <c r="X27" s="110"/>
      <c r="Y27" s="110"/>
      <c r="Z27" s="110"/>
      <c r="AA27" s="131"/>
      <c r="AB27" s="132"/>
      <c r="AC27" s="110"/>
      <c r="AD27" s="110"/>
      <c r="AE27" s="110"/>
      <c r="AF27" s="110"/>
    </row>
    <row r="28">
      <c r="A28" s="125" t="s">
        <v>43</v>
      </c>
      <c r="B28" s="125" t="s">
        <v>44</v>
      </c>
      <c r="C28" s="126">
        <v>4.488220499E9</v>
      </c>
      <c r="D28" s="134">
        <v>-0.07477332041491062</v>
      </c>
      <c r="E28" s="128">
        <v>9.18</v>
      </c>
      <c r="F28" s="128">
        <v>8.66</v>
      </c>
      <c r="G28" s="128">
        <v>15.39</v>
      </c>
      <c r="H28" s="129">
        <v>13.66</v>
      </c>
      <c r="I28" s="128">
        <v>15.06</v>
      </c>
      <c r="J28" s="129">
        <v>13.56</v>
      </c>
      <c r="K28" s="128">
        <v>36.75</v>
      </c>
      <c r="L28" s="128">
        <v>36.13</v>
      </c>
      <c r="M28" s="128">
        <v>64.42</v>
      </c>
      <c r="N28" s="129">
        <v>37.42</v>
      </c>
      <c r="O28" s="127">
        <v>-0.06004618937644337</v>
      </c>
      <c r="P28" s="130">
        <v>-0.1266471449487555</v>
      </c>
      <c r="Q28" s="127">
        <v>-0.11061946902654866</v>
      </c>
      <c r="R28" s="127">
        <v>-0.017160254636036463</v>
      </c>
      <c r="S28" s="127">
        <v>-0.7215392838054516</v>
      </c>
      <c r="T28" s="110"/>
      <c r="U28" s="110"/>
      <c r="V28" s="131"/>
      <c r="W28" s="110"/>
      <c r="X28" s="110"/>
      <c r="Y28" s="110"/>
      <c r="Z28" s="110"/>
      <c r="AA28" s="131"/>
      <c r="AB28" s="132"/>
      <c r="AC28" s="110"/>
      <c r="AD28" s="110"/>
      <c r="AE28" s="110"/>
      <c r="AF28" s="110"/>
    </row>
    <row r="29">
      <c r="A29" s="125" t="s">
        <v>47</v>
      </c>
      <c r="B29" s="125" t="s">
        <v>48</v>
      </c>
      <c r="C29" s="126">
        <v>5.041724145E9</v>
      </c>
      <c r="D29" s="134">
        <v>-0.07622848376413485</v>
      </c>
      <c r="E29" s="128">
        <v>5.55</v>
      </c>
      <c r="F29" s="128">
        <v>5.07</v>
      </c>
      <c r="G29" s="128">
        <v>7.82</v>
      </c>
      <c r="H29" s="129">
        <v>5.94</v>
      </c>
      <c r="I29" s="128">
        <v>6.46</v>
      </c>
      <c r="J29" s="129">
        <v>5.6</v>
      </c>
      <c r="K29" s="128">
        <v>5.35</v>
      </c>
      <c r="L29" s="128">
        <v>5.18</v>
      </c>
      <c r="M29" s="128">
        <v>14.18</v>
      </c>
      <c r="N29" s="129">
        <v>9.91</v>
      </c>
      <c r="O29" s="127">
        <v>-0.09467455621301765</v>
      </c>
      <c r="P29" s="130">
        <v>-0.31649831649831645</v>
      </c>
      <c r="Q29" s="127">
        <v>-0.15357142857142864</v>
      </c>
      <c r="R29" s="127">
        <v>-0.03281853281853281</v>
      </c>
      <c r="S29" s="127">
        <v>-0.43087790110998986</v>
      </c>
      <c r="T29" s="110"/>
      <c r="U29" s="110"/>
      <c r="V29" s="131"/>
      <c r="W29" s="110"/>
      <c r="X29" s="110"/>
      <c r="Y29" s="110"/>
      <c r="Z29" s="110"/>
      <c r="AA29" s="131"/>
      <c r="AB29" s="132"/>
      <c r="AC29" s="110"/>
      <c r="AD29" s="110"/>
      <c r="AE29" s="110"/>
      <c r="AF29" s="110"/>
    </row>
    <row r="30">
      <c r="A30" s="125" t="s">
        <v>51</v>
      </c>
      <c r="B30" s="125" t="s">
        <v>52</v>
      </c>
      <c r="C30" s="126">
        <v>7.200030617E9</v>
      </c>
      <c r="D30" s="134">
        <v>-0.07871918318864751</v>
      </c>
      <c r="E30" s="128">
        <v>14.74</v>
      </c>
      <c r="F30" s="128">
        <v>14.51</v>
      </c>
      <c r="G30" s="128">
        <v>14.38</v>
      </c>
      <c r="H30" s="129">
        <v>10.93</v>
      </c>
      <c r="I30" s="128">
        <v>10.61</v>
      </c>
      <c r="J30" s="129">
        <v>9.6</v>
      </c>
      <c r="K30" s="128">
        <v>28.75</v>
      </c>
      <c r="L30" s="128">
        <v>27.6</v>
      </c>
      <c r="M30" s="128">
        <v>48.44</v>
      </c>
      <c r="N30" s="129">
        <v>31.46</v>
      </c>
      <c r="O30" s="127">
        <v>-0.015851137146795344</v>
      </c>
      <c r="P30" s="130">
        <v>-0.31564501372369635</v>
      </c>
      <c r="Q30" s="127">
        <v>-0.10520833333333332</v>
      </c>
      <c r="R30" s="127">
        <v>-0.041666666666666616</v>
      </c>
      <c r="S30" s="127">
        <v>-0.5397329942784487</v>
      </c>
      <c r="T30" s="110"/>
      <c r="U30" s="110"/>
      <c r="V30" s="131"/>
      <c r="W30" s="110"/>
      <c r="X30" s="110"/>
      <c r="Y30" s="110"/>
      <c r="Z30" s="110"/>
      <c r="AA30" s="131"/>
      <c r="AB30" s="132"/>
      <c r="AC30" s="110"/>
      <c r="AD30" s="110"/>
      <c r="AE30" s="110"/>
      <c r="AF30" s="110"/>
    </row>
    <row r="31">
      <c r="A31" s="125" t="s">
        <v>55</v>
      </c>
      <c r="B31" s="125" t="s">
        <v>56</v>
      </c>
      <c r="C31" s="126">
        <v>5.77292103E9</v>
      </c>
      <c r="D31" s="134">
        <v>-0.08175433590060427</v>
      </c>
      <c r="E31" s="128">
        <v>11.79</v>
      </c>
      <c r="F31" s="128">
        <v>11.85</v>
      </c>
      <c r="G31" s="128">
        <v>10.89</v>
      </c>
      <c r="H31" s="129">
        <v>10.45</v>
      </c>
      <c r="I31" s="128">
        <v>9.89</v>
      </c>
      <c r="J31" s="129">
        <v>9.07</v>
      </c>
      <c r="K31" s="128">
        <v>27.64</v>
      </c>
      <c r="L31" s="128">
        <v>26.7</v>
      </c>
      <c r="M31" s="128">
        <v>40.22</v>
      </c>
      <c r="N31" s="129">
        <v>21.83</v>
      </c>
      <c r="O31" s="127">
        <v>0.005063291139240548</v>
      </c>
      <c r="P31" s="130">
        <v>-0.04210526315789486</v>
      </c>
      <c r="Q31" s="127">
        <v>-0.09040793825799341</v>
      </c>
      <c r="R31" s="127">
        <v>-0.03520599250936334</v>
      </c>
      <c r="S31" s="127">
        <v>-0.8424186898763171</v>
      </c>
      <c r="T31" s="110"/>
      <c r="U31" s="110"/>
      <c r="V31" s="131"/>
      <c r="W31" s="110"/>
      <c r="X31" s="110"/>
      <c r="Y31" s="110"/>
      <c r="Z31" s="110"/>
      <c r="AA31" s="131"/>
      <c r="AB31" s="132"/>
      <c r="AC31" s="110"/>
      <c r="AD31" s="110"/>
      <c r="AE31" s="110"/>
      <c r="AF31" s="110"/>
    </row>
    <row r="32">
      <c r="A32" s="125" t="s">
        <v>59</v>
      </c>
      <c r="B32" s="125" t="s">
        <v>60</v>
      </c>
      <c r="C32" s="126">
        <v>4.63847347E9</v>
      </c>
      <c r="D32" s="134">
        <v>-0.0848277291943669</v>
      </c>
      <c r="E32" s="128">
        <v>29.76</v>
      </c>
      <c r="F32" s="128">
        <v>28.2</v>
      </c>
      <c r="G32" s="128">
        <v>19.8</v>
      </c>
      <c r="H32" s="129">
        <v>17.46</v>
      </c>
      <c r="I32" s="128">
        <v>6.66</v>
      </c>
      <c r="J32" s="129">
        <v>5.88</v>
      </c>
      <c r="K32" s="128">
        <v>6.54</v>
      </c>
      <c r="L32" s="128">
        <v>6.35</v>
      </c>
      <c r="M32" s="128">
        <v>16.3</v>
      </c>
      <c r="N32" s="129">
        <v>9.86</v>
      </c>
      <c r="O32" s="127">
        <v>-0.05531914893617029</v>
      </c>
      <c r="P32" s="130">
        <v>-0.13402061855670103</v>
      </c>
      <c r="Q32" s="127">
        <v>-0.13265306122448983</v>
      </c>
      <c r="R32" s="127">
        <v>-0.029921259842519747</v>
      </c>
      <c r="S32" s="127">
        <v>-0.6531440162271807</v>
      </c>
      <c r="T32" s="110"/>
      <c r="U32" s="110"/>
      <c r="V32" s="131"/>
      <c r="W32" s="110"/>
      <c r="X32" s="110"/>
      <c r="Y32" s="110"/>
      <c r="Z32" s="110"/>
      <c r="AA32" s="131"/>
      <c r="AB32" s="132"/>
      <c r="AC32" s="110"/>
      <c r="AD32" s="110"/>
      <c r="AE32" s="110"/>
      <c r="AF32" s="110"/>
    </row>
    <row r="33">
      <c r="A33" s="125" t="s">
        <v>63</v>
      </c>
      <c r="B33" s="125" t="s">
        <v>64</v>
      </c>
      <c r="C33" s="126">
        <v>3.983640668E9</v>
      </c>
      <c r="D33" s="134">
        <v>-0.08531739147640464</v>
      </c>
      <c r="E33" s="128">
        <v>32.21</v>
      </c>
      <c r="F33" s="128">
        <v>27.9</v>
      </c>
      <c r="G33" s="128">
        <v>28.32</v>
      </c>
      <c r="H33" s="129">
        <v>25.46</v>
      </c>
      <c r="I33" s="128">
        <v>24.65</v>
      </c>
      <c r="J33" s="129">
        <v>23.03</v>
      </c>
      <c r="K33" s="128">
        <v>46.64</v>
      </c>
      <c r="L33" s="128">
        <v>45.76</v>
      </c>
      <c r="M33" s="128">
        <v>86.42</v>
      </c>
      <c r="N33" s="129">
        <v>52.57</v>
      </c>
      <c r="O33" s="127">
        <v>-0.15448028673835135</v>
      </c>
      <c r="P33" s="130">
        <v>-0.11233307148468183</v>
      </c>
      <c r="Q33" s="127">
        <v>-0.0703430308293529</v>
      </c>
      <c r="R33" s="127">
        <v>-0.019230769230769287</v>
      </c>
      <c r="S33" s="127">
        <v>-0.643903366939319</v>
      </c>
      <c r="T33" s="110"/>
      <c r="U33" s="110"/>
      <c r="V33" s="131"/>
      <c r="W33" s="110"/>
      <c r="X33" s="110"/>
      <c r="Y33" s="110"/>
      <c r="Z33" s="110"/>
      <c r="AA33" s="131"/>
      <c r="AB33" s="132"/>
      <c r="AC33" s="110"/>
      <c r="AD33" s="110"/>
      <c r="AE33" s="110"/>
      <c r="AF33" s="110"/>
    </row>
    <row r="34">
      <c r="A34" s="125" t="s">
        <v>67</v>
      </c>
      <c r="B34" s="125" t="s">
        <v>68</v>
      </c>
      <c r="C34" s="126">
        <v>5.497347674E9</v>
      </c>
      <c r="D34" s="134">
        <v>-0.09576106746542966</v>
      </c>
      <c r="E34" s="128">
        <v>11.35</v>
      </c>
      <c r="F34" s="128">
        <v>10.76</v>
      </c>
      <c r="G34" s="128">
        <v>13.93</v>
      </c>
      <c r="H34" s="129">
        <v>12.15</v>
      </c>
      <c r="I34" s="128">
        <v>14.4</v>
      </c>
      <c r="J34" s="129">
        <v>13.21</v>
      </c>
      <c r="K34" s="128">
        <v>27.17</v>
      </c>
      <c r="L34" s="128">
        <v>25.88</v>
      </c>
      <c r="M34" s="128">
        <v>55.79</v>
      </c>
      <c r="N34" s="129">
        <v>33.79</v>
      </c>
      <c r="O34" s="127">
        <v>-0.05483271375464683</v>
      </c>
      <c r="P34" s="130">
        <v>-0.14650205761316867</v>
      </c>
      <c r="Q34" s="127">
        <v>-0.0900832702498107</v>
      </c>
      <c r="R34" s="127">
        <v>-0.049845440494590526</v>
      </c>
      <c r="S34" s="127">
        <v>-0.6510802012429713</v>
      </c>
      <c r="T34" s="110"/>
      <c r="U34" s="110"/>
      <c r="V34" s="131"/>
      <c r="W34" s="110"/>
      <c r="X34" s="110"/>
      <c r="Y34" s="110"/>
      <c r="Z34" s="110"/>
      <c r="AA34" s="131"/>
      <c r="AB34" s="132"/>
      <c r="AC34" s="110"/>
      <c r="AD34" s="110"/>
      <c r="AE34" s="110"/>
      <c r="AF34" s="110"/>
    </row>
    <row r="35">
      <c r="A35" s="125" t="s">
        <v>1215</v>
      </c>
      <c r="B35" s="125" t="s">
        <v>1216</v>
      </c>
      <c r="C35" s="126">
        <v>3.942275372E9</v>
      </c>
      <c r="D35" s="134">
        <v>-0.09735165461630779</v>
      </c>
      <c r="E35" s="128" t="e">
        <v>#N/A</v>
      </c>
      <c r="F35" s="128" t="e">
        <v>#N/A</v>
      </c>
      <c r="G35" s="128" t="e">
        <v>#N/A</v>
      </c>
      <c r="H35" s="129" t="e">
        <v>#N/A</v>
      </c>
      <c r="I35" s="128" t="e">
        <v>#N/A</v>
      </c>
      <c r="J35" s="129" t="e">
        <v>#N/A</v>
      </c>
      <c r="K35" s="128">
        <v>29.62</v>
      </c>
      <c r="L35" s="128">
        <v>28.19</v>
      </c>
      <c r="M35" s="128">
        <v>92.86</v>
      </c>
      <c r="N35" s="129">
        <v>69.55</v>
      </c>
      <c r="O35" s="127" t="e">
        <v>#N/A</v>
      </c>
      <c r="P35" s="130" t="e">
        <v>#N/A</v>
      </c>
      <c r="Q35" s="127" t="e">
        <v>#N/A</v>
      </c>
      <c r="R35" s="127">
        <v>-0.05072720822986874</v>
      </c>
      <c r="S35" s="127">
        <v>-0.3351545650611072</v>
      </c>
      <c r="T35" s="110"/>
      <c r="U35" s="110"/>
      <c r="V35" s="131"/>
      <c r="W35" s="110"/>
      <c r="X35" s="110"/>
      <c r="Y35" s="110"/>
      <c r="Z35" s="110"/>
      <c r="AA35" s="131"/>
      <c r="AB35" s="132"/>
      <c r="AC35" s="110"/>
      <c r="AD35" s="110"/>
      <c r="AE35" s="110"/>
      <c r="AF35" s="110"/>
    </row>
    <row r="36">
      <c r="A36" s="125" t="s">
        <v>1217</v>
      </c>
      <c r="B36" s="125" t="s">
        <v>1218</v>
      </c>
      <c r="C36" s="126">
        <v>3.692866862E9</v>
      </c>
      <c r="D36" s="134">
        <v>-0.10454362870274866</v>
      </c>
      <c r="E36" s="128">
        <v>13.94</v>
      </c>
      <c r="F36" s="128">
        <v>13.92</v>
      </c>
      <c r="G36" s="128">
        <v>13.75</v>
      </c>
      <c r="H36" s="129">
        <v>12.73</v>
      </c>
      <c r="I36" s="128">
        <v>12.64</v>
      </c>
      <c r="J36" s="129">
        <v>11.64</v>
      </c>
      <c r="K36" s="128">
        <v>23.07</v>
      </c>
      <c r="L36" s="128">
        <v>22.5</v>
      </c>
      <c r="M36" s="128">
        <v>72.4</v>
      </c>
      <c r="N36" s="129">
        <v>40.94</v>
      </c>
      <c r="O36" s="127">
        <v>-0.0014367816091953717</v>
      </c>
      <c r="P36" s="130">
        <v>-0.0801256873527101</v>
      </c>
      <c r="Q36" s="127">
        <v>-0.0859106529209622</v>
      </c>
      <c r="R36" s="127">
        <v>-0.025333333333333347</v>
      </c>
      <c r="S36" s="127">
        <v>-0.7684416218856867</v>
      </c>
      <c r="T36" s="110"/>
      <c r="U36" s="110"/>
      <c r="V36" s="131"/>
      <c r="W36" s="110"/>
      <c r="X36" s="110"/>
      <c r="Y36" s="110"/>
      <c r="Z36" s="110"/>
      <c r="AA36" s="131"/>
      <c r="AB36" s="132"/>
      <c r="AC36" s="110"/>
      <c r="AD36" s="110"/>
      <c r="AE36" s="110"/>
      <c r="AF36" s="110"/>
    </row>
    <row r="37">
      <c r="A37" s="125" t="s">
        <v>1219</v>
      </c>
      <c r="B37" s="125" t="s">
        <v>1220</v>
      </c>
      <c r="C37" s="126">
        <v>4.30853695E9</v>
      </c>
      <c r="D37" s="134">
        <v>-0.10647525923245012</v>
      </c>
      <c r="E37" s="128">
        <v>3.14</v>
      </c>
      <c r="F37" s="128">
        <v>2.7</v>
      </c>
      <c r="G37" s="128">
        <v>1.8</v>
      </c>
      <c r="H37" s="129">
        <v>1.54</v>
      </c>
      <c r="I37" s="128">
        <v>0.59</v>
      </c>
      <c r="J37" s="129">
        <v>0.64</v>
      </c>
      <c r="K37" s="128">
        <v>1.84</v>
      </c>
      <c r="L37" s="128">
        <v>1.68</v>
      </c>
      <c r="M37" s="133">
        <v>0.43</v>
      </c>
      <c r="N37" s="129">
        <v>0.27</v>
      </c>
      <c r="O37" s="127">
        <v>-0.16296296296296292</v>
      </c>
      <c r="P37" s="130">
        <v>-0.16883116883116883</v>
      </c>
      <c r="Q37" s="127">
        <v>0.07812500000000007</v>
      </c>
      <c r="R37" s="127">
        <v>-0.09523809523809533</v>
      </c>
      <c r="S37" s="127">
        <v>-0.5925925925925924</v>
      </c>
      <c r="T37" s="110"/>
      <c r="U37" s="110"/>
      <c r="V37" s="131"/>
      <c r="W37" s="110"/>
      <c r="X37" s="110"/>
      <c r="Y37" s="110"/>
      <c r="Z37" s="110"/>
      <c r="AA37" s="131"/>
      <c r="AB37" s="132"/>
      <c r="AC37" s="110"/>
      <c r="AD37" s="110"/>
      <c r="AE37" s="110"/>
      <c r="AF37" s="110"/>
    </row>
    <row r="38">
      <c r="A38" s="125" t="s">
        <v>1221</v>
      </c>
      <c r="B38" s="125" t="s">
        <v>1222</v>
      </c>
      <c r="C38" s="126">
        <v>5.470996608E9</v>
      </c>
      <c r="D38" s="134">
        <v>-0.10980335612441991</v>
      </c>
      <c r="E38" s="128">
        <v>15.91</v>
      </c>
      <c r="F38" s="128">
        <v>15.47</v>
      </c>
      <c r="G38" s="128">
        <v>15.78</v>
      </c>
      <c r="H38" s="129">
        <v>14.5</v>
      </c>
      <c r="I38" s="128">
        <v>16.87</v>
      </c>
      <c r="J38" s="129">
        <v>14.68</v>
      </c>
      <c r="K38" s="128">
        <v>25.94</v>
      </c>
      <c r="L38" s="128">
        <v>24.9</v>
      </c>
      <c r="M38" s="128">
        <v>58.27</v>
      </c>
      <c r="N38" s="129">
        <v>35.73</v>
      </c>
      <c r="O38" s="127">
        <v>-0.02844214608920488</v>
      </c>
      <c r="P38" s="130">
        <v>-0.08827586206896547</v>
      </c>
      <c r="Q38" s="127">
        <v>-0.149182561307902</v>
      </c>
      <c r="R38" s="127">
        <v>-0.041767068273092484</v>
      </c>
      <c r="S38" s="127">
        <v>-0.6308424293310946</v>
      </c>
      <c r="T38" s="110"/>
      <c r="U38" s="110"/>
      <c r="V38" s="131"/>
      <c r="W38" s="110"/>
      <c r="X38" s="110"/>
      <c r="Y38" s="110"/>
      <c r="Z38" s="110"/>
      <c r="AA38" s="131"/>
      <c r="AB38" s="132"/>
      <c r="AC38" s="110"/>
      <c r="AD38" s="110"/>
      <c r="AE38" s="110"/>
      <c r="AF38" s="110"/>
    </row>
    <row r="39">
      <c r="A39" s="125" t="s">
        <v>1223</v>
      </c>
      <c r="B39" s="125" t="s">
        <v>1224</v>
      </c>
      <c r="C39" s="126">
        <v>3.369534723E9</v>
      </c>
      <c r="D39" s="134">
        <v>-0.11086741458841032</v>
      </c>
      <c r="E39" s="128">
        <v>7.09</v>
      </c>
      <c r="F39" s="128">
        <v>6.52</v>
      </c>
      <c r="G39" s="128">
        <v>7.71</v>
      </c>
      <c r="H39" s="129">
        <v>6.52</v>
      </c>
      <c r="I39" s="128">
        <v>4.65</v>
      </c>
      <c r="J39" s="129">
        <v>4.28</v>
      </c>
      <c r="K39" s="128">
        <v>4.39</v>
      </c>
      <c r="L39" s="128">
        <v>4.76</v>
      </c>
      <c r="M39" s="128">
        <v>12.06</v>
      </c>
      <c r="N39" s="129">
        <v>7.28</v>
      </c>
      <c r="O39" s="127">
        <v>-0.08742331288343563</v>
      </c>
      <c r="P39" s="130">
        <v>-0.18251533742331297</v>
      </c>
      <c r="Q39" s="127">
        <v>-0.08644859813084114</v>
      </c>
      <c r="R39" s="127">
        <v>0.07773109243697482</v>
      </c>
      <c r="S39" s="127">
        <v>-0.6565934065934066</v>
      </c>
      <c r="T39" s="110"/>
      <c r="U39" s="110"/>
      <c r="V39" s="131"/>
      <c r="W39" s="110"/>
      <c r="X39" s="110"/>
      <c r="Y39" s="110"/>
      <c r="Z39" s="110"/>
      <c r="AA39" s="131"/>
      <c r="AB39" s="132"/>
      <c r="AC39" s="110"/>
      <c r="AD39" s="110"/>
      <c r="AE39" s="110"/>
      <c r="AF39" s="110"/>
    </row>
    <row r="40">
      <c r="A40" s="125" t="s">
        <v>1225</v>
      </c>
      <c r="B40" s="125" t="s">
        <v>1226</v>
      </c>
      <c r="C40" s="126">
        <v>6.859079207E9</v>
      </c>
      <c r="D40" s="134">
        <v>-0.11090298774185361</v>
      </c>
      <c r="E40" s="128">
        <v>24.48</v>
      </c>
      <c r="F40" s="128">
        <v>23.61</v>
      </c>
      <c r="G40" s="128">
        <v>16.93</v>
      </c>
      <c r="H40" s="129">
        <v>15.31</v>
      </c>
      <c r="I40" s="128">
        <v>15.46</v>
      </c>
      <c r="J40" s="129">
        <v>14.11</v>
      </c>
      <c r="K40" s="128">
        <v>30.73</v>
      </c>
      <c r="L40" s="128">
        <v>29.38</v>
      </c>
      <c r="M40" s="128">
        <v>68.07</v>
      </c>
      <c r="N40" s="129">
        <v>41.31</v>
      </c>
      <c r="O40" s="127">
        <v>-0.036848792884371075</v>
      </c>
      <c r="P40" s="130">
        <v>-0.10581319399085559</v>
      </c>
      <c r="Q40" s="127">
        <v>-0.09567682494684632</v>
      </c>
      <c r="R40" s="127">
        <v>-0.04594962559564335</v>
      </c>
      <c r="S40" s="127">
        <v>-0.6477850399419024</v>
      </c>
      <c r="T40" s="110"/>
      <c r="U40" s="110"/>
      <c r="V40" s="131"/>
      <c r="W40" s="110"/>
      <c r="X40" s="110"/>
      <c r="Y40" s="110"/>
      <c r="Z40" s="110"/>
      <c r="AA40" s="131"/>
      <c r="AB40" s="132"/>
      <c r="AC40" s="110"/>
      <c r="AD40" s="110"/>
      <c r="AE40" s="110"/>
      <c r="AF40" s="110"/>
    </row>
    <row r="41">
      <c r="A41" s="125" t="s">
        <v>1227</v>
      </c>
      <c r="B41" s="125" t="s">
        <v>1228</v>
      </c>
      <c r="C41" s="126">
        <v>6.03438918E9</v>
      </c>
      <c r="D41" s="134">
        <v>-0.11399812150752539</v>
      </c>
      <c r="E41" s="128">
        <v>3.39</v>
      </c>
      <c r="F41" s="128">
        <v>3.01</v>
      </c>
      <c r="G41" s="128">
        <v>10.91</v>
      </c>
      <c r="H41" s="129">
        <v>9.47</v>
      </c>
      <c r="I41" s="128">
        <v>14.92</v>
      </c>
      <c r="J41" s="129">
        <v>13.7</v>
      </c>
      <c r="K41" s="128">
        <v>13.66</v>
      </c>
      <c r="L41" s="128">
        <v>13.21</v>
      </c>
      <c r="M41" s="128">
        <v>38.7</v>
      </c>
      <c r="N41" s="129">
        <v>25.43</v>
      </c>
      <c r="O41" s="127">
        <v>-0.12624584717607987</v>
      </c>
      <c r="P41" s="130">
        <v>-0.1520591341077085</v>
      </c>
      <c r="Q41" s="127">
        <v>-0.089051094890511</v>
      </c>
      <c r="R41" s="127">
        <v>-0.03406510219530653</v>
      </c>
      <c r="S41" s="127">
        <v>-0.5218246165945735</v>
      </c>
      <c r="T41" s="110"/>
      <c r="U41" s="110"/>
      <c r="V41" s="131"/>
      <c r="W41" s="110"/>
      <c r="X41" s="110"/>
      <c r="Y41" s="110"/>
      <c r="Z41" s="110"/>
      <c r="AA41" s="131"/>
      <c r="AB41" s="132"/>
      <c r="AC41" s="110"/>
      <c r="AD41" s="110"/>
      <c r="AE41" s="110"/>
      <c r="AF41" s="110"/>
    </row>
    <row r="42">
      <c r="A42" s="125" t="s">
        <v>1229</v>
      </c>
      <c r="B42" s="125" t="s">
        <v>1230</v>
      </c>
      <c r="C42" s="126">
        <v>3.939262807E9</v>
      </c>
      <c r="D42" s="134">
        <v>-0.11466916326660966</v>
      </c>
      <c r="E42" s="128">
        <v>30.38</v>
      </c>
      <c r="F42" s="128">
        <v>31.1</v>
      </c>
      <c r="G42" s="128">
        <v>33.25</v>
      </c>
      <c r="H42" s="129">
        <v>28.17</v>
      </c>
      <c r="I42" s="128">
        <v>34.1</v>
      </c>
      <c r="J42" s="129">
        <v>30.31</v>
      </c>
      <c r="K42" s="128">
        <v>33.25</v>
      </c>
      <c r="L42" s="128">
        <v>32.69</v>
      </c>
      <c r="M42" s="128">
        <v>42.22</v>
      </c>
      <c r="N42" s="129">
        <v>26.12</v>
      </c>
      <c r="O42" s="127">
        <v>0.02315112540192934</v>
      </c>
      <c r="P42" s="130">
        <v>-0.1803336883209087</v>
      </c>
      <c r="Q42" s="127">
        <v>-0.1250412405146817</v>
      </c>
      <c r="R42" s="127">
        <v>-0.017130620985010777</v>
      </c>
      <c r="S42" s="127">
        <v>-0.616385911179173</v>
      </c>
      <c r="T42" s="110"/>
      <c r="U42" s="110"/>
      <c r="V42" s="131"/>
      <c r="W42" s="110"/>
      <c r="X42" s="110"/>
      <c r="Y42" s="110"/>
      <c r="Z42" s="110"/>
      <c r="AA42" s="131"/>
      <c r="AB42" s="132"/>
      <c r="AC42" s="110"/>
      <c r="AD42" s="110"/>
      <c r="AE42" s="110"/>
      <c r="AF42" s="110"/>
    </row>
    <row r="43">
      <c r="A43" s="125" t="s">
        <v>1231</v>
      </c>
      <c r="B43" s="125" t="s">
        <v>1232</v>
      </c>
      <c r="C43" s="126">
        <v>3.542827575E9</v>
      </c>
      <c r="D43" s="134">
        <v>-0.11601846562065687</v>
      </c>
      <c r="E43" s="128">
        <v>32.98</v>
      </c>
      <c r="F43" s="128">
        <v>32.18</v>
      </c>
      <c r="G43" s="128">
        <v>34.11</v>
      </c>
      <c r="H43" s="129">
        <v>29.38</v>
      </c>
      <c r="I43" s="128">
        <v>28.8</v>
      </c>
      <c r="J43" s="129">
        <v>26.61</v>
      </c>
      <c r="K43" s="128">
        <v>42.35</v>
      </c>
      <c r="L43" s="128">
        <v>39.9</v>
      </c>
      <c r="M43" s="128">
        <v>85.53</v>
      </c>
      <c r="N43" s="129">
        <v>54.07</v>
      </c>
      <c r="O43" s="127">
        <v>-0.024860161591050253</v>
      </c>
      <c r="P43" s="130">
        <v>-0.16099387338325394</v>
      </c>
      <c r="Q43" s="127">
        <v>-0.08229988726042846</v>
      </c>
      <c r="R43" s="127">
        <v>-0.0614035087719299</v>
      </c>
      <c r="S43" s="127">
        <v>-0.5818383576844831</v>
      </c>
      <c r="T43" s="110"/>
      <c r="U43" s="110"/>
      <c r="V43" s="131"/>
      <c r="W43" s="110"/>
      <c r="X43" s="110"/>
      <c r="Y43" s="110"/>
      <c r="Z43" s="110"/>
      <c r="AA43" s="131"/>
      <c r="AB43" s="132"/>
      <c r="AC43" s="110"/>
      <c r="AD43" s="110"/>
      <c r="AE43" s="110"/>
      <c r="AF43" s="110"/>
    </row>
    <row r="44">
      <c r="A44" s="125" t="s">
        <v>1233</v>
      </c>
      <c r="B44" s="125" t="s">
        <v>1234</v>
      </c>
      <c r="C44" s="126">
        <v>3.773237934E9</v>
      </c>
      <c r="D44" s="134">
        <v>-0.11651659945072194</v>
      </c>
      <c r="E44" s="128" t="e">
        <v>#N/A</v>
      </c>
      <c r="F44" s="128" t="e">
        <v>#N/A</v>
      </c>
      <c r="G44" s="128" t="e">
        <v>#N/A</v>
      </c>
      <c r="H44" s="129" t="e">
        <v>#N/A</v>
      </c>
      <c r="I44" s="128" t="e">
        <v>#N/A</v>
      </c>
      <c r="J44" s="129" t="e">
        <v>#N/A</v>
      </c>
      <c r="K44" s="128">
        <v>16.57</v>
      </c>
      <c r="L44" s="128">
        <v>16.21</v>
      </c>
      <c r="M44" s="128">
        <v>22.26</v>
      </c>
      <c r="N44" s="129">
        <v>16.61</v>
      </c>
      <c r="O44" s="127" t="e">
        <v>#N/A</v>
      </c>
      <c r="P44" s="130" t="e">
        <v>#N/A</v>
      </c>
      <c r="Q44" s="127" t="e">
        <v>#N/A</v>
      </c>
      <c r="R44" s="127">
        <v>-0.022208513263417606</v>
      </c>
      <c r="S44" s="127">
        <v>-0.3401565322095125</v>
      </c>
      <c r="T44" s="110"/>
      <c r="U44" s="110"/>
      <c r="V44" s="131"/>
      <c r="W44" s="110"/>
      <c r="X44" s="110"/>
      <c r="Y44" s="110"/>
      <c r="Z44" s="110"/>
      <c r="AA44" s="131"/>
      <c r="AB44" s="132"/>
      <c r="AC44" s="110"/>
      <c r="AD44" s="110"/>
      <c r="AE44" s="110"/>
      <c r="AF44" s="110"/>
    </row>
    <row r="45">
      <c r="A45" s="125" t="s">
        <v>1235</v>
      </c>
      <c r="B45" s="125" t="s">
        <v>1236</v>
      </c>
      <c r="C45" s="126">
        <v>3.89609604E9</v>
      </c>
      <c r="D45" s="134">
        <v>-0.11675779821666107</v>
      </c>
      <c r="E45" s="128">
        <v>27.63</v>
      </c>
      <c r="F45" s="128">
        <v>28.34</v>
      </c>
      <c r="G45" s="128">
        <v>31.21</v>
      </c>
      <c r="H45" s="129">
        <v>27.1</v>
      </c>
      <c r="I45" s="128">
        <v>29.07</v>
      </c>
      <c r="J45" s="129">
        <v>26.17</v>
      </c>
      <c r="K45" s="128">
        <v>40.07</v>
      </c>
      <c r="L45" s="128">
        <v>39.77</v>
      </c>
      <c r="M45" s="133">
        <v>67.68</v>
      </c>
      <c r="N45" s="129">
        <v>40.88</v>
      </c>
      <c r="O45" s="127">
        <v>0.025052928722653522</v>
      </c>
      <c r="P45" s="130">
        <v>-0.15166051660516602</v>
      </c>
      <c r="Q45" s="127">
        <v>-0.11081390905617113</v>
      </c>
      <c r="R45" s="127">
        <v>-0.007543374402816121</v>
      </c>
      <c r="S45" s="127">
        <v>-0.6555772994129159</v>
      </c>
      <c r="T45" s="110"/>
      <c r="U45" s="110"/>
      <c r="V45" s="131"/>
      <c r="W45" s="110"/>
      <c r="X45" s="110"/>
      <c r="Y45" s="110"/>
      <c r="Z45" s="110"/>
      <c r="AA45" s="131"/>
      <c r="AB45" s="132"/>
      <c r="AC45" s="110"/>
      <c r="AD45" s="110"/>
      <c r="AE45" s="110"/>
      <c r="AF45" s="110"/>
    </row>
    <row r="46">
      <c r="A46" s="125" t="s">
        <v>1237</v>
      </c>
      <c r="B46" s="125" t="s">
        <v>1238</v>
      </c>
      <c r="C46" s="126">
        <v>4.316948323E9</v>
      </c>
      <c r="D46" s="134">
        <v>-0.11896601910016971</v>
      </c>
      <c r="E46" s="128">
        <v>22.0</v>
      </c>
      <c r="F46" s="128">
        <v>20.67</v>
      </c>
      <c r="G46" s="128">
        <v>15.24</v>
      </c>
      <c r="H46" s="129">
        <v>14.52</v>
      </c>
      <c r="I46" s="128">
        <v>12.31</v>
      </c>
      <c r="J46" s="129">
        <v>10.89</v>
      </c>
      <c r="K46" s="128">
        <v>14.79</v>
      </c>
      <c r="L46" s="128">
        <v>14.25</v>
      </c>
      <c r="M46" s="128">
        <v>20.69</v>
      </c>
      <c r="N46" s="129">
        <v>12.79</v>
      </c>
      <c r="O46" s="127">
        <v>-0.06434446057087558</v>
      </c>
      <c r="P46" s="130">
        <v>-0.049586776859504175</v>
      </c>
      <c r="Q46" s="127">
        <v>-0.13039485766758493</v>
      </c>
      <c r="R46" s="127">
        <v>-0.0378947368421052</v>
      </c>
      <c r="S46" s="127">
        <v>-0.6176700547302583</v>
      </c>
      <c r="T46" s="110"/>
      <c r="U46" s="110"/>
      <c r="V46" s="131"/>
      <c r="W46" s="110"/>
      <c r="X46" s="110"/>
      <c r="Y46" s="110"/>
      <c r="Z46" s="110"/>
      <c r="AA46" s="131"/>
      <c r="AB46" s="132"/>
      <c r="AC46" s="110"/>
      <c r="AD46" s="110"/>
      <c r="AE46" s="110"/>
      <c r="AF46" s="110"/>
    </row>
    <row r="47">
      <c r="A47" s="125" t="s">
        <v>1239</v>
      </c>
      <c r="B47" s="125" t="s">
        <v>1240</v>
      </c>
      <c r="C47" s="126">
        <v>5.351047477E9</v>
      </c>
      <c r="D47" s="134">
        <v>-0.11969683956731847</v>
      </c>
      <c r="E47" s="128" t="e">
        <v>#N/A</v>
      </c>
      <c r="F47" s="128" t="e">
        <v>#N/A</v>
      </c>
      <c r="G47" s="128">
        <v>6.67</v>
      </c>
      <c r="H47" s="129">
        <v>6.43</v>
      </c>
      <c r="I47" s="128">
        <v>9.02</v>
      </c>
      <c r="J47" s="129">
        <v>8.65</v>
      </c>
      <c r="K47" s="128">
        <v>33.92</v>
      </c>
      <c r="L47" s="128">
        <v>33.11</v>
      </c>
      <c r="M47" s="128">
        <v>60.98</v>
      </c>
      <c r="N47" s="129">
        <v>38.08</v>
      </c>
      <c r="O47" s="127" t="e">
        <v>#N/A</v>
      </c>
      <c r="P47" s="130">
        <v>-0.03732503888024887</v>
      </c>
      <c r="Q47" s="127">
        <v>-0.04277456647398835</v>
      </c>
      <c r="R47" s="127">
        <v>-0.024463908184838488</v>
      </c>
      <c r="S47" s="127">
        <v>-0.6013655462184874</v>
      </c>
      <c r="T47" s="110"/>
      <c r="U47" s="110"/>
      <c r="V47" s="131"/>
      <c r="W47" s="110"/>
      <c r="X47" s="110"/>
      <c r="Y47" s="110"/>
      <c r="Z47" s="110"/>
      <c r="AA47" s="131"/>
      <c r="AB47" s="132"/>
      <c r="AC47" s="110"/>
      <c r="AD47" s="110"/>
      <c r="AE47" s="110"/>
      <c r="AF47" s="110"/>
    </row>
    <row r="48">
      <c r="A48" s="125" t="s">
        <v>1241</v>
      </c>
      <c r="B48" s="125" t="s">
        <v>1242</v>
      </c>
      <c r="C48" s="126">
        <v>4.474398605E9</v>
      </c>
      <c r="D48" s="134">
        <v>-0.12001738640278811</v>
      </c>
      <c r="E48" s="128">
        <v>45.96</v>
      </c>
      <c r="F48" s="128">
        <v>40.14</v>
      </c>
      <c r="G48" s="128">
        <v>32.35</v>
      </c>
      <c r="H48" s="129">
        <v>27.92</v>
      </c>
      <c r="I48" s="128">
        <v>16.96</v>
      </c>
      <c r="J48" s="129">
        <v>15.38</v>
      </c>
      <c r="K48" s="128">
        <v>35.81</v>
      </c>
      <c r="L48" s="128">
        <v>34.68</v>
      </c>
      <c r="M48" s="128">
        <v>85.84</v>
      </c>
      <c r="N48" s="129">
        <v>59.76</v>
      </c>
      <c r="O48" s="127">
        <v>-0.14499252615844543</v>
      </c>
      <c r="P48" s="130">
        <v>-0.1586676217765043</v>
      </c>
      <c r="Q48" s="127">
        <v>-0.10273081924577374</v>
      </c>
      <c r="R48" s="127">
        <v>-0.03258362168396778</v>
      </c>
      <c r="S48" s="127">
        <v>-0.4364123159303883</v>
      </c>
      <c r="T48" s="110"/>
      <c r="U48" s="110"/>
      <c r="V48" s="131"/>
      <c r="W48" s="110"/>
      <c r="X48" s="110"/>
      <c r="Y48" s="110"/>
      <c r="Z48" s="110"/>
      <c r="AA48" s="131"/>
      <c r="AB48" s="132"/>
      <c r="AC48" s="110"/>
      <c r="AD48" s="110"/>
      <c r="AE48" s="110"/>
      <c r="AF48" s="110"/>
    </row>
    <row r="49">
      <c r="A49" s="125" t="s">
        <v>1243</v>
      </c>
      <c r="B49" s="125" t="s">
        <v>1244</v>
      </c>
      <c r="C49" s="126">
        <v>4.068369543E9</v>
      </c>
      <c r="D49" s="134">
        <v>-0.12042454861492313</v>
      </c>
      <c r="E49" s="128">
        <v>10.52</v>
      </c>
      <c r="F49" s="128">
        <v>9.93</v>
      </c>
      <c r="G49" s="128">
        <v>14.11</v>
      </c>
      <c r="H49" s="129">
        <v>13.05</v>
      </c>
      <c r="I49" s="128">
        <v>13.62</v>
      </c>
      <c r="J49" s="129">
        <v>12.36</v>
      </c>
      <c r="K49" s="128">
        <v>25.39</v>
      </c>
      <c r="L49" s="128">
        <v>24.56</v>
      </c>
      <c r="M49" s="128">
        <v>27.53</v>
      </c>
      <c r="N49" s="129">
        <v>17.38</v>
      </c>
      <c r="O49" s="127">
        <v>-0.05941591137965759</v>
      </c>
      <c r="P49" s="130">
        <v>-0.08122605363984664</v>
      </c>
      <c r="Q49" s="127">
        <v>-0.10194174757281552</v>
      </c>
      <c r="R49" s="127">
        <v>-0.03379478827361571</v>
      </c>
      <c r="S49" s="127">
        <v>-0.5840046029919449</v>
      </c>
      <c r="T49" s="110"/>
      <c r="U49" s="110"/>
      <c r="V49" s="131"/>
      <c r="W49" s="110"/>
      <c r="X49" s="110"/>
      <c r="Y49" s="110"/>
      <c r="Z49" s="110"/>
      <c r="AA49" s="131"/>
      <c r="AB49" s="132"/>
      <c r="AC49" s="110"/>
      <c r="AD49" s="110"/>
      <c r="AE49" s="110"/>
      <c r="AF49" s="110"/>
    </row>
    <row r="50">
      <c r="A50" s="125" t="s">
        <v>1245</v>
      </c>
      <c r="B50" s="125" t="s">
        <v>1246</v>
      </c>
      <c r="C50" s="126">
        <v>3.335651784E9</v>
      </c>
      <c r="D50" s="134">
        <v>-0.12335446123842016</v>
      </c>
      <c r="E50" s="128">
        <v>8.16</v>
      </c>
      <c r="F50" s="128">
        <v>8.46</v>
      </c>
      <c r="G50" s="128">
        <v>6.65</v>
      </c>
      <c r="H50" s="129">
        <v>5.22</v>
      </c>
      <c r="I50" s="128">
        <v>4.92</v>
      </c>
      <c r="J50" s="129">
        <v>4.52</v>
      </c>
      <c r="K50" s="128">
        <v>20.62</v>
      </c>
      <c r="L50" s="128">
        <v>20.15</v>
      </c>
      <c r="M50" s="128">
        <v>53.6</v>
      </c>
      <c r="N50" s="129">
        <v>35.59</v>
      </c>
      <c r="O50" s="127">
        <v>0.0354609929078015</v>
      </c>
      <c r="P50" s="130">
        <v>-0.27394636015325685</v>
      </c>
      <c r="Q50" s="127">
        <v>-0.08849557522123902</v>
      </c>
      <c r="R50" s="127">
        <v>-0.023325062034739576</v>
      </c>
      <c r="S50" s="127">
        <v>-0.5060410227592019</v>
      </c>
      <c r="T50" s="110"/>
      <c r="U50" s="110"/>
      <c r="V50" s="131"/>
      <c r="W50" s="110"/>
      <c r="X50" s="110"/>
      <c r="Y50" s="110"/>
      <c r="Z50" s="110"/>
      <c r="AA50" s="131"/>
      <c r="AB50" s="132"/>
      <c r="AC50" s="110"/>
      <c r="AD50" s="110"/>
      <c r="AE50" s="110"/>
      <c r="AF50" s="110"/>
    </row>
    <row r="51">
      <c r="A51" s="125" t="s">
        <v>1247</v>
      </c>
      <c r="B51" s="125" t="s">
        <v>1248</v>
      </c>
      <c r="C51" s="126">
        <v>3.753550764E9</v>
      </c>
      <c r="D51" s="134">
        <v>-0.12354311905190354</v>
      </c>
      <c r="E51" s="128">
        <v>279.6</v>
      </c>
      <c r="F51" s="128">
        <v>244.25</v>
      </c>
      <c r="G51" s="128">
        <v>165.35</v>
      </c>
      <c r="H51" s="129">
        <v>141.9</v>
      </c>
      <c r="I51" s="128">
        <v>129.1</v>
      </c>
      <c r="J51" s="129">
        <v>112.95</v>
      </c>
      <c r="K51" s="128">
        <v>10.8</v>
      </c>
      <c r="L51" s="128">
        <v>9.85</v>
      </c>
      <c r="M51" s="128">
        <v>6.04</v>
      </c>
      <c r="N51" s="129">
        <v>4.67</v>
      </c>
      <c r="O51" s="127">
        <v>-0.14472876151484143</v>
      </c>
      <c r="P51" s="130">
        <v>-0.1652572233967582</v>
      </c>
      <c r="Q51" s="127">
        <v>-0.14298362107127038</v>
      </c>
      <c r="R51" s="127">
        <v>-0.09644670050761432</v>
      </c>
      <c r="S51" s="127">
        <v>-0.2933618843683084</v>
      </c>
      <c r="T51" s="110"/>
      <c r="U51" s="110"/>
      <c r="V51" s="131"/>
      <c r="W51" s="110"/>
      <c r="X51" s="110"/>
      <c r="Y51" s="110"/>
      <c r="Z51" s="110"/>
      <c r="AA51" s="131"/>
      <c r="AB51" s="132"/>
      <c r="AC51" s="110"/>
      <c r="AD51" s="110"/>
      <c r="AE51" s="110"/>
      <c r="AF51" s="110"/>
    </row>
    <row r="52">
      <c r="A52" s="125" t="s">
        <v>1249</v>
      </c>
      <c r="B52" s="125" t="s">
        <v>1250</v>
      </c>
      <c r="C52" s="126">
        <v>3.707113514E9</v>
      </c>
      <c r="D52" s="134">
        <v>-0.12364409168935206</v>
      </c>
      <c r="E52" s="128">
        <v>13.63</v>
      </c>
      <c r="F52" s="128">
        <v>13.5</v>
      </c>
      <c r="G52" s="128">
        <v>15.25</v>
      </c>
      <c r="H52" s="129">
        <v>13.5</v>
      </c>
      <c r="I52" s="128">
        <v>19.13</v>
      </c>
      <c r="J52" s="129">
        <v>18.26</v>
      </c>
      <c r="K52" s="128">
        <v>31.99</v>
      </c>
      <c r="L52" s="128">
        <v>31.03</v>
      </c>
      <c r="M52" s="128">
        <v>33.15</v>
      </c>
      <c r="N52" s="129">
        <v>20.69</v>
      </c>
      <c r="O52" s="127">
        <v>-0.009629629629629688</v>
      </c>
      <c r="P52" s="130">
        <v>-0.12962962962962962</v>
      </c>
      <c r="Q52" s="127">
        <v>-0.047645125958378824</v>
      </c>
      <c r="R52" s="127">
        <v>-0.030937802126973807</v>
      </c>
      <c r="S52" s="127">
        <v>-0.6022232962783952</v>
      </c>
      <c r="T52" s="110"/>
      <c r="U52" s="110"/>
      <c r="V52" s="131"/>
      <c r="W52" s="110"/>
      <c r="X52" s="110"/>
      <c r="Y52" s="110"/>
      <c r="Z52" s="110"/>
      <c r="AA52" s="131"/>
      <c r="AB52" s="132"/>
      <c r="AC52" s="110"/>
      <c r="AD52" s="110"/>
      <c r="AE52" s="110"/>
      <c r="AF52" s="110"/>
    </row>
    <row r="53">
      <c r="A53" s="125" t="s">
        <v>1251</v>
      </c>
      <c r="B53" s="125" t="s">
        <v>1252</v>
      </c>
      <c r="C53" s="126">
        <v>3.746336E9</v>
      </c>
      <c r="D53" s="134">
        <v>-0.12418314368468002</v>
      </c>
      <c r="E53" s="128" t="e">
        <v>#N/A</v>
      </c>
      <c r="F53" s="128" t="e">
        <v>#N/A</v>
      </c>
      <c r="G53" s="128">
        <v>18.87</v>
      </c>
      <c r="H53" s="129">
        <v>17.34</v>
      </c>
      <c r="I53" s="128">
        <v>16.03</v>
      </c>
      <c r="J53" s="129">
        <v>14.82</v>
      </c>
      <c r="K53" s="128">
        <v>21.45</v>
      </c>
      <c r="L53" s="128">
        <v>20.57</v>
      </c>
      <c r="M53" s="128">
        <v>62.12</v>
      </c>
      <c r="N53" s="129">
        <v>43.05</v>
      </c>
      <c r="O53" s="127" t="e">
        <v>#N/A</v>
      </c>
      <c r="P53" s="130">
        <v>-0.08823529411764712</v>
      </c>
      <c r="Q53" s="127">
        <v>-0.08164642375168697</v>
      </c>
      <c r="R53" s="127">
        <v>-0.04278074866310155</v>
      </c>
      <c r="S53" s="127">
        <v>-0.44297328687572596</v>
      </c>
      <c r="T53" s="110"/>
      <c r="U53" s="110"/>
      <c r="V53" s="131"/>
      <c r="W53" s="110"/>
      <c r="X53" s="110"/>
      <c r="Y53" s="110"/>
      <c r="Z53" s="110"/>
      <c r="AA53" s="131"/>
      <c r="AB53" s="132"/>
      <c r="AC53" s="110"/>
      <c r="AD53" s="110"/>
      <c r="AE53" s="110"/>
      <c r="AF53" s="110"/>
    </row>
    <row r="54">
      <c r="A54" s="125" t="s">
        <v>1253</v>
      </c>
      <c r="B54" s="125" t="s">
        <v>1254</v>
      </c>
      <c r="C54" s="126">
        <v>3.319916068E9</v>
      </c>
      <c r="D54" s="134">
        <v>-0.12540573932152413</v>
      </c>
      <c r="E54" s="128">
        <v>20.95</v>
      </c>
      <c r="F54" s="128">
        <v>21.44</v>
      </c>
      <c r="G54" s="128">
        <v>18.86</v>
      </c>
      <c r="H54" s="129">
        <v>16.56</v>
      </c>
      <c r="I54" s="128">
        <v>12.41</v>
      </c>
      <c r="J54" s="129">
        <v>11.1</v>
      </c>
      <c r="K54" s="128">
        <v>26.43</v>
      </c>
      <c r="L54" s="128">
        <v>24.84</v>
      </c>
      <c r="M54" s="128">
        <v>43.56</v>
      </c>
      <c r="N54" s="129">
        <v>28.87</v>
      </c>
      <c r="O54" s="127">
        <v>0.02285447761194039</v>
      </c>
      <c r="P54" s="130">
        <v>-0.13888888888888895</v>
      </c>
      <c r="Q54" s="127">
        <v>-0.11801801801801806</v>
      </c>
      <c r="R54" s="127">
        <v>-0.06400966183574879</v>
      </c>
      <c r="S54" s="127">
        <v>-0.5088326983027365</v>
      </c>
      <c r="T54" s="110"/>
      <c r="U54" s="110"/>
      <c r="V54" s="131"/>
      <c r="W54" s="110"/>
      <c r="X54" s="110"/>
      <c r="Y54" s="110"/>
      <c r="Z54" s="110"/>
      <c r="AA54" s="131"/>
      <c r="AB54" s="132"/>
      <c r="AC54" s="110"/>
      <c r="AD54" s="110"/>
      <c r="AE54" s="110"/>
      <c r="AF54" s="110"/>
    </row>
    <row r="55">
      <c r="A55" s="125" t="s">
        <v>1255</v>
      </c>
      <c r="B55" s="125" t="s">
        <v>1256</v>
      </c>
      <c r="C55" s="126">
        <v>3.381890019E9</v>
      </c>
      <c r="D55" s="134">
        <v>-0.12574988652772165</v>
      </c>
      <c r="E55" s="128">
        <v>7.32</v>
      </c>
      <c r="F55" s="128">
        <v>7.12</v>
      </c>
      <c r="G55" s="128">
        <v>9.02</v>
      </c>
      <c r="H55" s="129">
        <v>7.09</v>
      </c>
      <c r="I55" s="128">
        <v>6.15</v>
      </c>
      <c r="J55" s="129">
        <v>5.62</v>
      </c>
      <c r="K55" s="128">
        <v>17.33</v>
      </c>
      <c r="L55" s="128">
        <v>16.79</v>
      </c>
      <c r="M55" s="128">
        <v>21.12</v>
      </c>
      <c r="N55" s="129">
        <v>15.36</v>
      </c>
      <c r="O55" s="127">
        <v>-0.02808988764044946</v>
      </c>
      <c r="P55" s="130">
        <v>-0.2722143864598025</v>
      </c>
      <c r="Q55" s="127">
        <v>-0.0943060498220641</v>
      </c>
      <c r="R55" s="127">
        <v>-0.03216200119118518</v>
      </c>
      <c r="S55" s="127">
        <v>-0.3750000000000001</v>
      </c>
      <c r="T55" s="110"/>
      <c r="U55" s="110"/>
      <c r="V55" s="131"/>
      <c r="W55" s="110"/>
      <c r="X55" s="110"/>
      <c r="Y55" s="110"/>
      <c r="Z55" s="110"/>
      <c r="AA55" s="131"/>
      <c r="AB55" s="132"/>
      <c r="AC55" s="110"/>
      <c r="AD55" s="110"/>
      <c r="AE55" s="110"/>
      <c r="AF55" s="110"/>
    </row>
    <row r="56">
      <c r="A56" s="125" t="s">
        <v>1257</v>
      </c>
      <c r="B56" s="125" t="s">
        <v>1258</v>
      </c>
      <c r="C56" s="126">
        <v>4.254882163E9</v>
      </c>
      <c r="D56" s="134">
        <v>-0.1260458922935418</v>
      </c>
      <c r="E56" s="128">
        <v>17.91</v>
      </c>
      <c r="F56" s="128">
        <v>20.11</v>
      </c>
      <c r="G56" s="128">
        <v>14.61</v>
      </c>
      <c r="H56" s="129">
        <v>13.06</v>
      </c>
      <c r="I56" s="128">
        <v>12.5</v>
      </c>
      <c r="J56" s="129">
        <v>11.04</v>
      </c>
      <c r="K56" s="128">
        <v>18.55</v>
      </c>
      <c r="L56" s="128">
        <v>17.52</v>
      </c>
      <c r="M56" s="128">
        <v>20.04</v>
      </c>
      <c r="N56" s="129">
        <v>12.52</v>
      </c>
      <c r="O56" s="127">
        <v>0.10939830929885626</v>
      </c>
      <c r="P56" s="130">
        <v>-0.11868300153139348</v>
      </c>
      <c r="Q56" s="127">
        <v>-0.1322463768115943</v>
      </c>
      <c r="R56" s="127">
        <v>-0.05878995433789961</v>
      </c>
      <c r="S56" s="127">
        <v>-0.6006389776357828</v>
      </c>
      <c r="T56" s="110"/>
      <c r="U56" s="110"/>
      <c r="V56" s="131"/>
      <c r="W56" s="110"/>
      <c r="X56" s="110"/>
      <c r="Y56" s="110"/>
      <c r="Z56" s="110"/>
      <c r="AA56" s="131"/>
      <c r="AB56" s="132"/>
      <c r="AC56" s="110"/>
      <c r="AD56" s="110"/>
      <c r="AE56" s="110"/>
      <c r="AF56" s="110"/>
    </row>
    <row r="57">
      <c r="A57" s="125" t="s">
        <v>1259</v>
      </c>
      <c r="B57" s="125" t="s">
        <v>1260</v>
      </c>
      <c r="C57" s="126">
        <v>3.99735995E9</v>
      </c>
      <c r="D57" s="134">
        <v>-0.12783632850472504</v>
      </c>
      <c r="E57" s="128">
        <v>15.16</v>
      </c>
      <c r="F57" s="128">
        <v>15.54</v>
      </c>
      <c r="G57" s="128">
        <v>12.67</v>
      </c>
      <c r="H57" s="129">
        <v>11.79</v>
      </c>
      <c r="I57" s="128">
        <v>14.24</v>
      </c>
      <c r="J57" s="129">
        <v>12.74</v>
      </c>
      <c r="K57" s="128">
        <v>23.19</v>
      </c>
      <c r="L57" s="128">
        <v>21.7</v>
      </c>
      <c r="M57" s="128">
        <v>40.33</v>
      </c>
      <c r="N57" s="129">
        <v>25.94</v>
      </c>
      <c r="O57" s="127">
        <v>0.02445302445302439</v>
      </c>
      <c r="P57" s="130">
        <v>-0.07463952502120448</v>
      </c>
      <c r="Q57" s="127">
        <v>-0.11773940345368916</v>
      </c>
      <c r="R57" s="127">
        <v>-0.06866359447004618</v>
      </c>
      <c r="S57" s="127">
        <v>-0.5547417116422512</v>
      </c>
      <c r="T57" s="110"/>
      <c r="U57" s="110"/>
      <c r="V57" s="131"/>
      <c r="W57" s="110"/>
      <c r="X57" s="110"/>
      <c r="Y57" s="110"/>
      <c r="Z57" s="110"/>
      <c r="AA57" s="131"/>
      <c r="AB57" s="132"/>
      <c r="AC57" s="110"/>
      <c r="AD57" s="110"/>
      <c r="AE57" s="110"/>
      <c r="AF57" s="110"/>
    </row>
    <row r="58">
      <c r="A58" s="125" t="s">
        <v>1261</v>
      </c>
      <c r="B58" s="125" t="s">
        <v>1262</v>
      </c>
      <c r="C58" s="126">
        <v>4.854127351E9</v>
      </c>
      <c r="D58" s="134">
        <v>-0.12867828899304395</v>
      </c>
      <c r="E58" s="128">
        <v>15.96</v>
      </c>
      <c r="F58" s="128">
        <v>15.97</v>
      </c>
      <c r="G58" s="128">
        <v>14.18</v>
      </c>
      <c r="H58" s="129">
        <v>13.1</v>
      </c>
      <c r="I58" s="128">
        <v>11.57</v>
      </c>
      <c r="J58" s="129">
        <v>10.61</v>
      </c>
      <c r="K58" s="128">
        <v>9.57</v>
      </c>
      <c r="L58" s="128">
        <v>9.17</v>
      </c>
      <c r="M58" s="128">
        <v>10.9</v>
      </c>
      <c r="N58" s="129">
        <v>6.94</v>
      </c>
      <c r="O58" s="127">
        <v>6.26174076393224E-4</v>
      </c>
      <c r="P58" s="130">
        <v>-0.08244274809160305</v>
      </c>
      <c r="Q58" s="127">
        <v>-0.09048067860508963</v>
      </c>
      <c r="R58" s="127">
        <v>-0.04362050163576885</v>
      </c>
      <c r="S58" s="127">
        <v>-0.5706051873198847</v>
      </c>
      <c r="T58" s="110"/>
      <c r="U58" s="110"/>
      <c r="V58" s="131"/>
      <c r="W58" s="110"/>
      <c r="X58" s="110"/>
      <c r="Y58" s="110"/>
      <c r="Z58" s="110"/>
      <c r="AA58" s="131"/>
      <c r="AB58" s="132"/>
      <c r="AC58" s="110"/>
      <c r="AD58" s="110"/>
      <c r="AE58" s="110"/>
      <c r="AF58" s="110"/>
    </row>
    <row r="59">
      <c r="A59" s="125" t="s">
        <v>1263</v>
      </c>
      <c r="B59" s="125" t="s">
        <v>1264</v>
      </c>
      <c r="C59" s="126">
        <v>3.671495121E9</v>
      </c>
      <c r="D59" s="134">
        <v>-0.12949959093976646</v>
      </c>
      <c r="E59" s="128">
        <v>17.54</v>
      </c>
      <c r="F59" s="128">
        <v>17.83</v>
      </c>
      <c r="G59" s="128">
        <v>18.92</v>
      </c>
      <c r="H59" s="129">
        <v>17.88</v>
      </c>
      <c r="I59" s="128">
        <v>21.69</v>
      </c>
      <c r="J59" s="129">
        <v>20.09</v>
      </c>
      <c r="K59" s="128">
        <v>29.26</v>
      </c>
      <c r="L59" s="128">
        <v>28.85</v>
      </c>
      <c r="M59" s="128">
        <v>43.69</v>
      </c>
      <c r="N59" s="129">
        <v>26.76</v>
      </c>
      <c r="O59" s="127">
        <v>0.016264722378014535</v>
      </c>
      <c r="P59" s="130">
        <v>-0.05816554809843416</v>
      </c>
      <c r="Q59" s="127">
        <v>-0.07964161274265812</v>
      </c>
      <c r="R59" s="127">
        <v>-0.014211438474870022</v>
      </c>
      <c r="S59" s="127">
        <v>-0.6326606875934229</v>
      </c>
      <c r="T59" s="110"/>
      <c r="U59" s="110"/>
      <c r="V59" s="131"/>
      <c r="W59" s="110"/>
      <c r="X59" s="110"/>
      <c r="Y59" s="110"/>
      <c r="Z59" s="110"/>
      <c r="AA59" s="131"/>
      <c r="AB59" s="132"/>
      <c r="AC59" s="110"/>
      <c r="AD59" s="110"/>
      <c r="AE59" s="110"/>
      <c r="AF59" s="110"/>
    </row>
    <row r="60">
      <c r="A60" s="125" t="s">
        <v>1265</v>
      </c>
      <c r="B60" s="125" t="s">
        <v>1266</v>
      </c>
      <c r="C60" s="126">
        <v>4.520408542E9</v>
      </c>
      <c r="D60" s="134">
        <v>-0.12981561704958147</v>
      </c>
      <c r="E60" s="128">
        <v>10.53</v>
      </c>
      <c r="F60" s="128">
        <v>10.78</v>
      </c>
      <c r="G60" s="128">
        <v>16.61</v>
      </c>
      <c r="H60" s="129">
        <v>16.06</v>
      </c>
      <c r="I60" s="128">
        <v>25.88</v>
      </c>
      <c r="J60" s="129">
        <v>25.28</v>
      </c>
      <c r="K60" s="128">
        <v>36.55</v>
      </c>
      <c r="L60" s="128">
        <v>35.65</v>
      </c>
      <c r="M60" s="128">
        <v>78.34</v>
      </c>
      <c r="N60" s="129">
        <v>45.99</v>
      </c>
      <c r="O60" s="127">
        <v>0.02319109461966605</v>
      </c>
      <c r="P60" s="130">
        <v>-0.0342465753424658</v>
      </c>
      <c r="Q60" s="127">
        <v>-0.023734177215189788</v>
      </c>
      <c r="R60" s="127">
        <v>-0.025245441795231378</v>
      </c>
      <c r="S60" s="127">
        <v>-0.7034137856055664</v>
      </c>
      <c r="T60" s="110"/>
      <c r="U60" s="110"/>
      <c r="V60" s="131"/>
      <c r="W60" s="110"/>
      <c r="X60" s="110"/>
      <c r="Y60" s="110"/>
      <c r="Z60" s="110"/>
      <c r="AA60" s="131"/>
      <c r="AB60" s="132"/>
      <c r="AC60" s="110"/>
      <c r="AD60" s="110"/>
      <c r="AE60" s="110"/>
      <c r="AF60" s="110"/>
    </row>
    <row r="61">
      <c r="A61" s="125" t="s">
        <v>1267</v>
      </c>
      <c r="B61" s="125" t="s">
        <v>1268</v>
      </c>
      <c r="C61" s="126">
        <v>4.998185637E9</v>
      </c>
      <c r="D61" s="134">
        <v>-0.1320524985526395</v>
      </c>
      <c r="E61" s="128">
        <v>31.82</v>
      </c>
      <c r="F61" s="128">
        <v>28.53</v>
      </c>
      <c r="G61" s="128">
        <v>30.65</v>
      </c>
      <c r="H61" s="129">
        <v>27.64</v>
      </c>
      <c r="I61" s="128">
        <v>23.29</v>
      </c>
      <c r="J61" s="129">
        <v>22.59</v>
      </c>
      <c r="K61" s="128">
        <v>70.0</v>
      </c>
      <c r="L61" s="128">
        <v>67.76</v>
      </c>
      <c r="M61" s="128">
        <v>78.62</v>
      </c>
      <c r="N61" s="129">
        <v>54.12</v>
      </c>
      <c r="O61" s="127">
        <v>-0.1153172099544339</v>
      </c>
      <c r="P61" s="130">
        <v>-0.10890014471780021</v>
      </c>
      <c r="Q61" s="127">
        <v>-0.030987162461266017</v>
      </c>
      <c r="R61" s="127">
        <v>-0.033057851239669346</v>
      </c>
      <c r="S61" s="127">
        <v>-0.45269770879526994</v>
      </c>
      <c r="T61" s="110"/>
      <c r="U61" s="110"/>
      <c r="V61" s="131"/>
      <c r="W61" s="110"/>
      <c r="X61" s="110"/>
      <c r="Y61" s="110"/>
      <c r="Z61" s="110"/>
      <c r="AA61" s="131"/>
      <c r="AB61" s="132"/>
      <c r="AC61" s="110"/>
      <c r="AD61" s="110"/>
      <c r="AE61" s="110"/>
      <c r="AF61" s="110"/>
    </row>
    <row r="62">
      <c r="A62" s="125" t="s">
        <v>1269</v>
      </c>
      <c r="B62" s="125" t="s">
        <v>1270</v>
      </c>
      <c r="C62" s="126">
        <v>4.178039008E9</v>
      </c>
      <c r="D62" s="134">
        <v>-0.13344331087969827</v>
      </c>
      <c r="E62" s="128" t="e">
        <v>#N/A</v>
      </c>
      <c r="F62" s="128" t="e">
        <v>#N/A</v>
      </c>
      <c r="G62" s="128">
        <v>16.16</v>
      </c>
      <c r="H62" s="129">
        <v>15.77</v>
      </c>
      <c r="I62" s="128">
        <v>12.33</v>
      </c>
      <c r="J62" s="129">
        <v>11.96</v>
      </c>
      <c r="K62" s="128">
        <v>26.83</v>
      </c>
      <c r="L62" s="128">
        <v>25.87</v>
      </c>
      <c r="M62" s="128">
        <v>39.15</v>
      </c>
      <c r="N62" s="129">
        <v>26.16</v>
      </c>
      <c r="O62" s="127" t="e">
        <v>#N/A</v>
      </c>
      <c r="P62" s="130">
        <v>-0.02473050095117315</v>
      </c>
      <c r="Q62" s="127">
        <v>-0.03093645484949826</v>
      </c>
      <c r="R62" s="127">
        <v>-0.03710862002319278</v>
      </c>
      <c r="S62" s="127">
        <v>-0.4965596330275229</v>
      </c>
      <c r="T62" s="110"/>
      <c r="U62" s="110"/>
      <c r="V62" s="131"/>
      <c r="W62" s="110"/>
      <c r="X62" s="110"/>
      <c r="Y62" s="110"/>
      <c r="Z62" s="110"/>
      <c r="AA62" s="131"/>
      <c r="AB62" s="132"/>
      <c r="AC62" s="110"/>
      <c r="AD62" s="110"/>
      <c r="AE62" s="110"/>
      <c r="AF62" s="110"/>
    </row>
    <row r="63">
      <c r="A63" s="125" t="s">
        <v>1271</v>
      </c>
      <c r="B63" s="125" t="s">
        <v>1272</v>
      </c>
      <c r="C63" s="126">
        <v>4.410940483E9</v>
      </c>
      <c r="D63" s="134">
        <v>-0.1338942653809388</v>
      </c>
      <c r="E63" s="128">
        <v>29.22</v>
      </c>
      <c r="F63" s="128">
        <v>29.04</v>
      </c>
      <c r="G63" s="128">
        <v>34.8</v>
      </c>
      <c r="H63" s="129">
        <v>33.12</v>
      </c>
      <c r="I63" s="128">
        <v>19.98</v>
      </c>
      <c r="J63" s="129">
        <v>18.39</v>
      </c>
      <c r="K63" s="128">
        <v>45.55</v>
      </c>
      <c r="L63" s="128">
        <v>42.99</v>
      </c>
      <c r="M63" s="128">
        <v>158.93</v>
      </c>
      <c r="N63" s="129">
        <v>104.81</v>
      </c>
      <c r="O63" s="127">
        <v>-0.006198347107438007</v>
      </c>
      <c r="P63" s="130">
        <v>-0.05072463768115942</v>
      </c>
      <c r="Q63" s="127">
        <v>-0.0864600326264274</v>
      </c>
      <c r="R63" s="127">
        <v>-0.05954873226331694</v>
      </c>
      <c r="S63" s="127">
        <v>-0.5163629424673218</v>
      </c>
      <c r="T63" s="110"/>
      <c r="U63" s="110"/>
      <c r="V63" s="131"/>
      <c r="W63" s="110"/>
      <c r="X63" s="110"/>
      <c r="Y63" s="110"/>
      <c r="Z63" s="110"/>
      <c r="AA63" s="131"/>
      <c r="AB63" s="132"/>
      <c r="AC63" s="110"/>
      <c r="AD63" s="110"/>
      <c r="AE63" s="110"/>
      <c r="AF63" s="110"/>
    </row>
    <row r="64">
      <c r="A64" s="125" t="s">
        <v>1273</v>
      </c>
      <c r="B64" s="125" t="s">
        <v>1274</v>
      </c>
      <c r="C64" s="126">
        <v>3.818911894E9</v>
      </c>
      <c r="D64" s="134">
        <v>-0.13476405166552965</v>
      </c>
      <c r="E64" s="128">
        <v>9.41</v>
      </c>
      <c r="F64" s="128">
        <v>9.32</v>
      </c>
      <c r="G64" s="128">
        <v>8.13</v>
      </c>
      <c r="H64" s="129">
        <v>7.61</v>
      </c>
      <c r="I64" s="128">
        <v>7.9</v>
      </c>
      <c r="J64" s="129">
        <v>7.05</v>
      </c>
      <c r="K64" s="128">
        <v>6.69</v>
      </c>
      <c r="L64" s="128">
        <v>6.73</v>
      </c>
      <c r="M64" s="128">
        <v>30.9</v>
      </c>
      <c r="N64" s="129">
        <v>20.25</v>
      </c>
      <c r="O64" s="127">
        <v>-0.009656652360515007</v>
      </c>
      <c r="P64" s="130">
        <v>-0.06833114323258875</v>
      </c>
      <c r="Q64" s="127">
        <v>-0.1205673758865249</v>
      </c>
      <c r="R64" s="127">
        <v>0.00594353640416048</v>
      </c>
      <c r="S64" s="127">
        <v>-0.5259259259259259</v>
      </c>
      <c r="T64" s="110"/>
      <c r="U64" s="110"/>
      <c r="V64" s="131"/>
      <c r="W64" s="110"/>
      <c r="X64" s="110"/>
      <c r="Y64" s="110"/>
      <c r="Z64" s="110"/>
      <c r="AA64" s="131"/>
      <c r="AB64" s="132"/>
      <c r="AC64" s="110"/>
      <c r="AD64" s="110"/>
      <c r="AE64" s="110"/>
      <c r="AF64" s="110"/>
    </row>
    <row r="65">
      <c r="A65" s="125" t="s">
        <v>1275</v>
      </c>
      <c r="B65" s="125" t="s">
        <v>1276</v>
      </c>
      <c r="C65" s="126">
        <v>4.253989558E9</v>
      </c>
      <c r="D65" s="134">
        <v>-0.13570646317135304</v>
      </c>
      <c r="E65" s="128">
        <v>5.62</v>
      </c>
      <c r="F65" s="128">
        <v>5.8</v>
      </c>
      <c r="G65" s="128">
        <v>6.37</v>
      </c>
      <c r="H65" s="129">
        <v>5.83</v>
      </c>
      <c r="I65" s="128">
        <v>5.87</v>
      </c>
      <c r="J65" s="129">
        <v>5.58</v>
      </c>
      <c r="K65" s="128">
        <v>19.61</v>
      </c>
      <c r="L65" s="128">
        <v>18.45</v>
      </c>
      <c r="M65" s="128">
        <v>19.6</v>
      </c>
      <c r="N65" s="129">
        <v>12.77</v>
      </c>
      <c r="O65" s="127">
        <v>0.03103448275862064</v>
      </c>
      <c r="P65" s="130">
        <v>-0.09262435677530018</v>
      </c>
      <c r="Q65" s="127">
        <v>-0.05197132616487456</v>
      </c>
      <c r="R65" s="127">
        <v>-0.06287262872628727</v>
      </c>
      <c r="S65" s="127">
        <v>-0.5348472983555209</v>
      </c>
      <c r="T65" s="110"/>
      <c r="U65" s="110"/>
      <c r="V65" s="131"/>
      <c r="W65" s="110"/>
      <c r="X65" s="110"/>
      <c r="Y65" s="110"/>
      <c r="Z65" s="110"/>
      <c r="AA65" s="131"/>
      <c r="AB65" s="132"/>
      <c r="AC65" s="110"/>
      <c r="AD65" s="110"/>
      <c r="AE65" s="110"/>
      <c r="AF65" s="110"/>
    </row>
    <row r="66">
      <c r="A66" s="125" t="s">
        <v>1277</v>
      </c>
      <c r="B66" s="125" t="s">
        <v>1278</v>
      </c>
      <c r="C66" s="126">
        <v>3.605059658E9</v>
      </c>
      <c r="D66" s="134">
        <v>-0.13761664460532277</v>
      </c>
      <c r="E66" s="128">
        <v>23.25</v>
      </c>
      <c r="F66" s="128">
        <v>21.5</v>
      </c>
      <c r="G66" s="128">
        <v>20.93</v>
      </c>
      <c r="H66" s="129">
        <v>19.2</v>
      </c>
      <c r="I66" s="128">
        <v>17.64</v>
      </c>
      <c r="J66" s="129">
        <v>15.92</v>
      </c>
      <c r="K66" s="128">
        <v>29.7</v>
      </c>
      <c r="L66" s="128">
        <v>29.13</v>
      </c>
      <c r="M66" s="128">
        <v>69.32</v>
      </c>
      <c r="N66" s="129">
        <v>49.22</v>
      </c>
      <c r="O66" s="127">
        <v>-0.08139534883720931</v>
      </c>
      <c r="P66" s="130">
        <v>-0.0901041666666667</v>
      </c>
      <c r="Q66" s="127">
        <v>-0.10804020100502516</v>
      </c>
      <c r="R66" s="127">
        <v>-0.01956745623069002</v>
      </c>
      <c r="S66" s="127">
        <v>-0.4083705810646078</v>
      </c>
      <c r="T66" s="110"/>
      <c r="U66" s="110"/>
      <c r="V66" s="131"/>
      <c r="W66" s="110"/>
      <c r="X66" s="110"/>
      <c r="Y66" s="110"/>
      <c r="Z66" s="110"/>
      <c r="AA66" s="131"/>
      <c r="AB66" s="132"/>
      <c r="AC66" s="110"/>
      <c r="AD66" s="110"/>
      <c r="AE66" s="110"/>
      <c r="AF66" s="110"/>
    </row>
    <row r="67">
      <c r="A67" s="125" t="s">
        <v>1279</v>
      </c>
      <c r="B67" s="125" t="s">
        <v>1280</v>
      </c>
      <c r="C67" s="126">
        <v>4.022637054E9</v>
      </c>
      <c r="D67" s="134">
        <v>-0.13956218291421657</v>
      </c>
      <c r="E67" s="128">
        <v>11.97</v>
      </c>
      <c r="F67" s="128">
        <v>11.16</v>
      </c>
      <c r="G67" s="128">
        <v>11.4</v>
      </c>
      <c r="H67" s="129">
        <v>10.33</v>
      </c>
      <c r="I67" s="128">
        <v>9.0</v>
      </c>
      <c r="J67" s="129">
        <v>8.22</v>
      </c>
      <c r="K67" s="128">
        <v>37.87</v>
      </c>
      <c r="L67" s="128">
        <v>37.02</v>
      </c>
      <c r="M67" s="128">
        <v>95.44</v>
      </c>
      <c r="N67" s="129">
        <v>67.85</v>
      </c>
      <c r="O67" s="127">
        <v>-0.07258064516129037</v>
      </c>
      <c r="P67" s="130">
        <v>-0.10358180058083255</v>
      </c>
      <c r="Q67" s="127">
        <v>-0.09489051094890502</v>
      </c>
      <c r="R67" s="127">
        <v>-0.022960561858454735</v>
      </c>
      <c r="S67" s="127">
        <v>-0.40663227708179817</v>
      </c>
      <c r="T67" s="110"/>
      <c r="U67" s="110"/>
      <c r="V67" s="131"/>
      <c r="W67" s="110"/>
      <c r="X67" s="110"/>
      <c r="Y67" s="110"/>
      <c r="Z67" s="110"/>
      <c r="AA67" s="131"/>
      <c r="AB67" s="132"/>
      <c r="AC67" s="110"/>
      <c r="AD67" s="110"/>
      <c r="AE67" s="110"/>
      <c r="AF67" s="110"/>
    </row>
    <row r="68">
      <c r="A68" s="125" t="s">
        <v>1281</v>
      </c>
      <c r="B68" s="125" t="s">
        <v>1282</v>
      </c>
      <c r="C68" s="126">
        <v>5.808998705E9</v>
      </c>
      <c r="D68" s="134">
        <v>-0.1399185282747796</v>
      </c>
      <c r="E68" s="128">
        <v>28.07</v>
      </c>
      <c r="F68" s="128">
        <v>28.6</v>
      </c>
      <c r="G68" s="128">
        <v>36.4</v>
      </c>
      <c r="H68" s="129">
        <v>32.2</v>
      </c>
      <c r="I68" s="128">
        <v>29.05</v>
      </c>
      <c r="J68" s="129">
        <v>26.28</v>
      </c>
      <c r="K68" s="128">
        <v>55.0</v>
      </c>
      <c r="L68" s="128">
        <v>53.3</v>
      </c>
      <c r="M68" s="128">
        <v>106.84</v>
      </c>
      <c r="N68" s="129">
        <v>73.62</v>
      </c>
      <c r="O68" s="127">
        <v>0.01853146853146857</v>
      </c>
      <c r="P68" s="130">
        <v>-0.1304347826086955</v>
      </c>
      <c r="Q68" s="127">
        <v>-0.10540334855403347</v>
      </c>
      <c r="R68" s="127">
        <v>-0.03189493433395878</v>
      </c>
      <c r="S68" s="127">
        <v>-0.4512360771529475</v>
      </c>
      <c r="T68" s="110"/>
      <c r="U68" s="110"/>
      <c r="V68" s="131"/>
      <c r="W68" s="110"/>
      <c r="X68" s="110"/>
      <c r="Y68" s="110"/>
      <c r="Z68" s="110"/>
      <c r="AA68" s="131"/>
      <c r="AB68" s="132"/>
      <c r="AC68" s="110"/>
      <c r="AD68" s="110"/>
      <c r="AE68" s="110"/>
      <c r="AF68" s="110"/>
    </row>
    <row r="69">
      <c r="A69" s="125" t="s">
        <v>1283</v>
      </c>
      <c r="B69" s="125" t="s">
        <v>1284</v>
      </c>
      <c r="C69" s="126">
        <v>3.999492117E9</v>
      </c>
      <c r="D69" s="134">
        <v>-0.14008753482363334</v>
      </c>
      <c r="E69" s="128">
        <v>25.62</v>
      </c>
      <c r="F69" s="128">
        <v>28.44</v>
      </c>
      <c r="G69" s="128">
        <v>29.55</v>
      </c>
      <c r="H69" s="129">
        <v>27.18</v>
      </c>
      <c r="I69" s="128">
        <v>22.66</v>
      </c>
      <c r="J69" s="129">
        <v>20.78</v>
      </c>
      <c r="K69" s="128">
        <v>38.46</v>
      </c>
      <c r="L69" s="128">
        <v>36.65</v>
      </c>
      <c r="M69" s="128">
        <v>33.76</v>
      </c>
      <c r="N69" s="129">
        <v>21.48</v>
      </c>
      <c r="O69" s="127">
        <v>0.09915611814345993</v>
      </c>
      <c r="P69" s="130">
        <v>-0.08719646799117002</v>
      </c>
      <c r="Q69" s="127">
        <v>-0.09047160731472564</v>
      </c>
      <c r="R69" s="127">
        <v>-0.04938608458390184</v>
      </c>
      <c r="S69" s="127">
        <v>-0.5716945996275604</v>
      </c>
      <c r="T69" s="110"/>
      <c r="U69" s="110"/>
      <c r="V69" s="131"/>
      <c r="W69" s="110"/>
      <c r="X69" s="110"/>
      <c r="Y69" s="110"/>
      <c r="Z69" s="110"/>
      <c r="AA69" s="131"/>
      <c r="AB69" s="132"/>
      <c r="AC69" s="110"/>
      <c r="AD69" s="110"/>
      <c r="AE69" s="110"/>
      <c r="AF69" s="110"/>
    </row>
    <row r="70">
      <c r="A70" s="125" t="s">
        <v>1285</v>
      </c>
      <c r="B70" s="125" t="s">
        <v>1286</v>
      </c>
      <c r="C70" s="126">
        <v>5.475681108E9</v>
      </c>
      <c r="D70" s="134">
        <v>-0.14012915912625618</v>
      </c>
      <c r="E70" s="128">
        <v>25.16</v>
      </c>
      <c r="F70" s="128">
        <v>25.14</v>
      </c>
      <c r="G70" s="128">
        <v>20.4</v>
      </c>
      <c r="H70" s="129">
        <v>19.08</v>
      </c>
      <c r="I70" s="128">
        <v>23.22</v>
      </c>
      <c r="J70" s="129">
        <v>21.49</v>
      </c>
      <c r="K70" s="128">
        <v>36.73</v>
      </c>
      <c r="L70" s="128">
        <v>35.05</v>
      </c>
      <c r="M70" s="128">
        <v>62.36</v>
      </c>
      <c r="N70" s="129">
        <v>41.59</v>
      </c>
      <c r="O70" s="127">
        <v>-7.955449482895614E-4</v>
      </c>
      <c r="P70" s="130">
        <v>-0.06918238993710694</v>
      </c>
      <c r="Q70" s="127">
        <v>-0.08050255932992093</v>
      </c>
      <c r="R70" s="127">
        <v>-0.04793152639087018</v>
      </c>
      <c r="S70" s="127">
        <v>-0.4993988939648953</v>
      </c>
      <c r="T70" s="110"/>
      <c r="U70" s="110"/>
      <c r="V70" s="131"/>
      <c r="W70" s="110"/>
      <c r="X70" s="110"/>
      <c r="Y70" s="110"/>
      <c r="Z70" s="110"/>
      <c r="AA70" s="131"/>
      <c r="AB70" s="132"/>
      <c r="AC70" s="110"/>
      <c r="AD70" s="110"/>
      <c r="AE70" s="110"/>
      <c r="AF70" s="110"/>
    </row>
    <row r="71">
      <c r="A71" s="125" t="s">
        <v>1287</v>
      </c>
      <c r="B71" s="125" t="s">
        <v>1288</v>
      </c>
      <c r="C71" s="126">
        <v>3.36887905E9</v>
      </c>
      <c r="D71" s="134">
        <v>-0.1414955507608398</v>
      </c>
      <c r="E71" s="128">
        <v>38.53</v>
      </c>
      <c r="F71" s="128">
        <v>37.72</v>
      </c>
      <c r="G71" s="128">
        <v>38.94</v>
      </c>
      <c r="H71" s="129">
        <v>34.6</v>
      </c>
      <c r="I71" s="133">
        <v>31.91</v>
      </c>
      <c r="J71" s="129">
        <v>29.12</v>
      </c>
      <c r="K71" s="128">
        <v>34.52</v>
      </c>
      <c r="L71" s="133">
        <v>33.41</v>
      </c>
      <c r="M71" s="128">
        <v>41.87</v>
      </c>
      <c r="N71" s="135">
        <v>29.65</v>
      </c>
      <c r="O71" s="127">
        <v>-0.021474019088017028</v>
      </c>
      <c r="P71" s="130">
        <v>-0.12543352601156058</v>
      </c>
      <c r="Q71" s="127">
        <v>-0.09581043956043953</v>
      </c>
      <c r="R71" s="127">
        <v>-0.03322358575276883</v>
      </c>
      <c r="S71" s="127">
        <v>-0.41214165261382796</v>
      </c>
      <c r="T71" s="110"/>
      <c r="U71" s="110"/>
      <c r="V71" s="131"/>
      <c r="W71" s="110"/>
      <c r="X71" s="110"/>
      <c r="Y71" s="110"/>
      <c r="Z71" s="110"/>
      <c r="AA71" s="131"/>
      <c r="AB71" s="132"/>
      <c r="AC71" s="110"/>
      <c r="AD71" s="110"/>
      <c r="AE71" s="110"/>
      <c r="AF71" s="110"/>
    </row>
    <row r="72">
      <c r="A72" s="125" t="s">
        <v>1289</v>
      </c>
      <c r="B72" s="125" t="s">
        <v>1290</v>
      </c>
      <c r="C72" s="126">
        <v>5.218906515E9</v>
      </c>
      <c r="D72" s="134">
        <v>-0.14225622545267247</v>
      </c>
      <c r="E72" s="128" t="e">
        <v>#N/A</v>
      </c>
      <c r="F72" s="128" t="e">
        <v>#N/A</v>
      </c>
      <c r="G72" s="128" t="e">
        <v>#N/A</v>
      </c>
      <c r="H72" s="129" t="e">
        <v>#N/A</v>
      </c>
      <c r="I72" s="128">
        <v>14.37</v>
      </c>
      <c r="J72" s="129">
        <v>12.9</v>
      </c>
      <c r="K72" s="128">
        <v>19.63</v>
      </c>
      <c r="L72" s="128">
        <v>19.0</v>
      </c>
      <c r="M72" s="128">
        <v>62.95</v>
      </c>
      <c r="N72" s="129">
        <v>49.96</v>
      </c>
      <c r="O72" s="127" t="e">
        <v>#N/A</v>
      </c>
      <c r="P72" s="130" t="e">
        <v>#N/A</v>
      </c>
      <c r="Q72" s="127">
        <v>-0.11395348837209293</v>
      </c>
      <c r="R72" s="127">
        <v>-0.03315789473684205</v>
      </c>
      <c r="S72" s="127">
        <v>-0.2600080064051241</v>
      </c>
      <c r="T72" s="110"/>
      <c r="U72" s="110"/>
      <c r="V72" s="131"/>
      <c r="W72" s="110"/>
      <c r="X72" s="110"/>
      <c r="Y72" s="110"/>
      <c r="Z72" s="110"/>
      <c r="AA72" s="131"/>
      <c r="AB72" s="132"/>
      <c r="AC72" s="110"/>
      <c r="AD72" s="110"/>
      <c r="AE72" s="110"/>
      <c r="AF72" s="110"/>
    </row>
    <row r="73">
      <c r="A73" s="125" t="s">
        <v>1291</v>
      </c>
      <c r="B73" s="125" t="s">
        <v>1292</v>
      </c>
      <c r="C73" s="126">
        <v>6.447974896E9</v>
      </c>
      <c r="D73" s="134">
        <v>-0.14370751220027883</v>
      </c>
      <c r="E73" s="128">
        <v>13.65</v>
      </c>
      <c r="F73" s="128">
        <v>12.47</v>
      </c>
      <c r="G73" s="128">
        <v>13.36</v>
      </c>
      <c r="H73" s="129">
        <v>11.6</v>
      </c>
      <c r="I73" s="128">
        <v>15.58</v>
      </c>
      <c r="J73" s="129">
        <v>14.12</v>
      </c>
      <c r="K73" s="128">
        <v>60.35</v>
      </c>
      <c r="L73" s="128">
        <v>56.65</v>
      </c>
      <c r="M73" s="128">
        <v>17.61</v>
      </c>
      <c r="N73" s="129">
        <v>13.99</v>
      </c>
      <c r="O73" s="127">
        <v>-0.09462710505212507</v>
      </c>
      <c r="P73" s="130">
        <v>-0.15172413793103448</v>
      </c>
      <c r="Q73" s="127">
        <v>-0.1033994334277621</v>
      </c>
      <c r="R73" s="127">
        <v>-0.06531332744924984</v>
      </c>
      <c r="S73" s="127">
        <v>-0.2587562544674767</v>
      </c>
      <c r="T73" s="110"/>
      <c r="U73" s="110"/>
      <c r="V73" s="131"/>
      <c r="W73" s="110"/>
      <c r="X73" s="110"/>
      <c r="Y73" s="110"/>
      <c r="Z73" s="110"/>
      <c r="AA73" s="131"/>
      <c r="AB73" s="132"/>
      <c r="AC73" s="110"/>
      <c r="AD73" s="110"/>
      <c r="AE73" s="110"/>
      <c r="AF73" s="110"/>
    </row>
    <row r="74">
      <c r="A74" s="125" t="s">
        <v>1293</v>
      </c>
      <c r="B74" s="125" t="s">
        <v>1294</v>
      </c>
      <c r="C74" s="126">
        <v>5.181813274E9</v>
      </c>
      <c r="D74" s="134">
        <v>-0.14385893842913272</v>
      </c>
      <c r="E74" s="128">
        <v>11.2</v>
      </c>
      <c r="F74" s="128">
        <v>11.75</v>
      </c>
      <c r="G74" s="128">
        <v>14.32</v>
      </c>
      <c r="H74" s="129">
        <v>12.68</v>
      </c>
      <c r="I74" s="128">
        <v>8.98</v>
      </c>
      <c r="J74" s="129">
        <v>8.27</v>
      </c>
      <c r="K74" s="128">
        <v>20.94</v>
      </c>
      <c r="L74" s="128">
        <v>20.02</v>
      </c>
      <c r="M74" s="128">
        <v>49.3</v>
      </c>
      <c r="N74" s="129">
        <v>33.88</v>
      </c>
      <c r="O74" s="127">
        <v>0.04680851063829793</v>
      </c>
      <c r="P74" s="130">
        <v>-0.1293375394321767</v>
      </c>
      <c r="Q74" s="127">
        <v>-0.08585247883917786</v>
      </c>
      <c r="R74" s="127">
        <v>-0.04595404595404604</v>
      </c>
      <c r="S74" s="127">
        <v>-0.4551357733175913</v>
      </c>
      <c r="T74" s="110"/>
      <c r="U74" s="110"/>
      <c r="V74" s="131"/>
      <c r="W74" s="110"/>
      <c r="X74" s="110"/>
      <c r="Y74" s="110"/>
      <c r="Z74" s="110"/>
      <c r="AA74" s="131"/>
      <c r="AB74" s="132"/>
      <c r="AC74" s="110"/>
      <c r="AD74" s="110"/>
      <c r="AE74" s="110"/>
      <c r="AF74" s="110"/>
    </row>
    <row r="75">
      <c r="A75" s="125" t="s">
        <v>1295</v>
      </c>
      <c r="B75" s="125" t="s">
        <v>1296</v>
      </c>
      <c r="C75" s="126">
        <v>4.902990729E9</v>
      </c>
      <c r="D75" s="134">
        <v>-0.14733380221284675</v>
      </c>
      <c r="E75" s="128">
        <v>12.58</v>
      </c>
      <c r="F75" s="128">
        <v>13.45</v>
      </c>
      <c r="G75" s="128">
        <v>5.3</v>
      </c>
      <c r="H75" s="129">
        <v>4.47</v>
      </c>
      <c r="I75" s="128">
        <v>5.36</v>
      </c>
      <c r="J75" s="129">
        <v>4.73</v>
      </c>
      <c r="K75" s="128">
        <v>6.31</v>
      </c>
      <c r="L75" s="128">
        <v>5.98</v>
      </c>
      <c r="M75" s="128">
        <v>54.11</v>
      </c>
      <c r="N75" s="129">
        <v>39.85</v>
      </c>
      <c r="O75" s="127">
        <v>0.06468401486988842</v>
      </c>
      <c r="P75" s="130">
        <v>-0.18568232662192397</v>
      </c>
      <c r="Q75" s="127">
        <v>-0.13319238900634245</v>
      </c>
      <c r="R75" s="127">
        <v>-0.055183946488294174</v>
      </c>
      <c r="S75" s="127">
        <v>-0.35784190715181924</v>
      </c>
      <c r="T75" s="110"/>
      <c r="U75" s="110"/>
      <c r="V75" s="131"/>
      <c r="W75" s="110"/>
      <c r="X75" s="110"/>
      <c r="Y75" s="110"/>
      <c r="Z75" s="110"/>
      <c r="AA75" s="131"/>
      <c r="AB75" s="132"/>
      <c r="AC75" s="110"/>
      <c r="AD75" s="110"/>
      <c r="AE75" s="110"/>
      <c r="AF75" s="110"/>
    </row>
    <row r="76">
      <c r="A76" s="125" t="s">
        <v>1297</v>
      </c>
      <c r="B76" s="125" t="s">
        <v>1298</v>
      </c>
      <c r="C76" s="126">
        <v>3.601439619E9</v>
      </c>
      <c r="D76" s="134">
        <v>-0.1481920154336879</v>
      </c>
      <c r="E76" s="128">
        <v>13.2</v>
      </c>
      <c r="F76" s="128">
        <v>12.06</v>
      </c>
      <c r="G76" s="128">
        <v>8.55</v>
      </c>
      <c r="H76" s="129">
        <v>8.1</v>
      </c>
      <c r="I76" s="128">
        <v>9.96</v>
      </c>
      <c r="J76" s="129">
        <v>8.94</v>
      </c>
      <c r="K76" s="133">
        <v>13.11</v>
      </c>
      <c r="L76" s="128">
        <v>12.33</v>
      </c>
      <c r="M76" s="128">
        <v>96.19</v>
      </c>
      <c r="N76" s="129">
        <v>72.17</v>
      </c>
      <c r="O76" s="127">
        <v>-0.0945273631840795</v>
      </c>
      <c r="P76" s="130">
        <v>-0.05555555555555569</v>
      </c>
      <c r="Q76" s="127">
        <v>-0.11409395973154378</v>
      </c>
      <c r="R76" s="127">
        <v>-0.06326034063260336</v>
      </c>
      <c r="S76" s="127">
        <v>-0.3328252736594152</v>
      </c>
      <c r="T76" s="110"/>
      <c r="U76" s="110"/>
      <c r="V76" s="131"/>
      <c r="W76" s="110"/>
      <c r="X76" s="110"/>
      <c r="Y76" s="110"/>
      <c r="Z76" s="110"/>
      <c r="AA76" s="131"/>
      <c r="AB76" s="132"/>
      <c r="AC76" s="110"/>
      <c r="AD76" s="110"/>
      <c r="AE76" s="110"/>
      <c r="AF76" s="110"/>
    </row>
    <row r="77">
      <c r="A77" s="125" t="s">
        <v>1299</v>
      </c>
      <c r="B77" s="125" t="s">
        <v>1300</v>
      </c>
      <c r="C77" s="126">
        <v>6.090501346E9</v>
      </c>
      <c r="D77" s="134">
        <v>-0.15268977706775747</v>
      </c>
      <c r="E77" s="128" t="e">
        <v>#N/A</v>
      </c>
      <c r="F77" s="128" t="e">
        <v>#N/A</v>
      </c>
      <c r="G77" s="128" t="e">
        <v>#N/A</v>
      </c>
      <c r="H77" s="129" t="e">
        <v>#N/A</v>
      </c>
      <c r="I77" s="128" t="e">
        <v>#N/A</v>
      </c>
      <c r="J77" s="129" t="e">
        <v>#N/A</v>
      </c>
      <c r="K77" s="128">
        <v>21.69</v>
      </c>
      <c r="L77" s="128">
        <v>21.12</v>
      </c>
      <c r="M77" s="128">
        <v>57.7</v>
      </c>
      <c r="N77" s="129">
        <v>46.81</v>
      </c>
      <c r="O77" s="127" t="e">
        <v>#N/A</v>
      </c>
      <c r="P77" s="130" t="e">
        <v>#N/A</v>
      </c>
      <c r="Q77" s="127" t="e">
        <v>#N/A</v>
      </c>
      <c r="R77" s="127">
        <v>-0.026988636363636374</v>
      </c>
      <c r="S77" s="127">
        <v>-0.2326425977355266</v>
      </c>
      <c r="T77" s="110"/>
      <c r="U77" s="110"/>
      <c r="V77" s="131"/>
      <c r="W77" s="110"/>
      <c r="X77" s="110"/>
      <c r="Y77" s="110"/>
      <c r="Z77" s="110"/>
      <c r="AA77" s="131"/>
      <c r="AB77" s="132"/>
      <c r="AC77" s="110"/>
      <c r="AD77" s="110"/>
      <c r="AE77" s="110"/>
      <c r="AF77" s="110"/>
    </row>
    <row r="78">
      <c r="A78" s="125" t="s">
        <v>1301</v>
      </c>
      <c r="B78" s="125" t="s">
        <v>1302</v>
      </c>
      <c r="C78" s="126">
        <v>4.340862132E9</v>
      </c>
      <c r="D78" s="134">
        <v>-0.15368291290627414</v>
      </c>
      <c r="E78" s="128">
        <v>21.53</v>
      </c>
      <c r="F78" s="128">
        <v>20.2</v>
      </c>
      <c r="G78" s="128">
        <v>20.97</v>
      </c>
      <c r="H78" s="129">
        <v>19.68</v>
      </c>
      <c r="I78" s="128">
        <v>26.25</v>
      </c>
      <c r="J78" s="129">
        <v>24.85</v>
      </c>
      <c r="K78" s="128">
        <v>60.47</v>
      </c>
      <c r="L78" s="128">
        <v>57.42</v>
      </c>
      <c r="M78" s="128">
        <v>84.16</v>
      </c>
      <c r="N78" s="129">
        <v>59.83</v>
      </c>
      <c r="O78" s="127">
        <v>-0.06584158415841594</v>
      </c>
      <c r="P78" s="130">
        <v>-0.06554878048780484</v>
      </c>
      <c r="Q78" s="127">
        <v>-0.05633802816901402</v>
      </c>
      <c r="R78" s="127">
        <v>-0.05311738070358755</v>
      </c>
      <c r="S78" s="127">
        <v>-0.40665218118001</v>
      </c>
      <c r="T78" s="110"/>
      <c r="U78" s="110"/>
      <c r="V78" s="131"/>
      <c r="W78" s="110"/>
      <c r="X78" s="110"/>
      <c r="Y78" s="110"/>
      <c r="Z78" s="110"/>
      <c r="AA78" s="131"/>
      <c r="AB78" s="132"/>
      <c r="AC78" s="110"/>
      <c r="AD78" s="110"/>
      <c r="AE78" s="110"/>
      <c r="AF78" s="110"/>
    </row>
    <row r="79">
      <c r="A79" s="125" t="s">
        <v>1303</v>
      </c>
      <c r="B79" s="125" t="s">
        <v>1304</v>
      </c>
      <c r="C79" s="126">
        <v>6.045707182E9</v>
      </c>
      <c r="D79" s="134">
        <v>-0.15730458831519062</v>
      </c>
      <c r="E79" s="128">
        <v>29.15</v>
      </c>
      <c r="F79" s="128">
        <v>30.12</v>
      </c>
      <c r="G79" s="128">
        <v>32.29</v>
      </c>
      <c r="H79" s="129">
        <v>30.31</v>
      </c>
      <c r="I79" s="128">
        <v>35.7</v>
      </c>
      <c r="J79" s="129">
        <v>32.24</v>
      </c>
      <c r="K79" s="128">
        <v>55.95</v>
      </c>
      <c r="L79" s="128">
        <v>56.92</v>
      </c>
      <c r="M79" s="128">
        <v>79.45</v>
      </c>
      <c r="N79" s="129">
        <v>52.27</v>
      </c>
      <c r="O79" s="127">
        <v>0.03220451527224444</v>
      </c>
      <c r="P79" s="130">
        <v>-0.06532497525569121</v>
      </c>
      <c r="Q79" s="127">
        <v>-0.10732009925558314</v>
      </c>
      <c r="R79" s="127">
        <v>0.017041461700632445</v>
      </c>
      <c r="S79" s="127">
        <v>-0.5199923474268222</v>
      </c>
      <c r="T79" s="110"/>
      <c r="U79" s="110"/>
      <c r="V79" s="131"/>
      <c r="W79" s="110"/>
      <c r="X79" s="110"/>
      <c r="Y79" s="110"/>
      <c r="Z79" s="110"/>
      <c r="AA79" s="131"/>
      <c r="AB79" s="132"/>
      <c r="AC79" s="110"/>
      <c r="AD79" s="110"/>
      <c r="AE79" s="110"/>
      <c r="AF79" s="110"/>
    </row>
    <row r="80">
      <c r="A80" s="125" t="s">
        <v>1305</v>
      </c>
      <c r="B80" s="125" t="s">
        <v>1306</v>
      </c>
      <c r="C80" s="126">
        <v>3.929146527E9</v>
      </c>
      <c r="D80" s="134">
        <v>-0.15826624202683331</v>
      </c>
      <c r="E80" s="128">
        <v>51.64</v>
      </c>
      <c r="F80" s="128">
        <v>51.77</v>
      </c>
      <c r="G80" s="128">
        <v>42.16</v>
      </c>
      <c r="H80" s="129">
        <v>40.36</v>
      </c>
      <c r="I80" s="128">
        <v>38.89</v>
      </c>
      <c r="J80" s="129">
        <v>35.37</v>
      </c>
      <c r="K80" s="128">
        <v>50.7</v>
      </c>
      <c r="L80" s="128">
        <v>48.35</v>
      </c>
      <c r="M80" s="128">
        <v>67.58</v>
      </c>
      <c r="N80" s="129">
        <v>46.64</v>
      </c>
      <c r="O80" s="127">
        <v>0.002511106818620872</v>
      </c>
      <c r="P80" s="130">
        <v>-0.044598612487611426</v>
      </c>
      <c r="Q80" s="127">
        <v>-0.09951936669493931</v>
      </c>
      <c r="R80" s="127">
        <v>-0.04860392967942092</v>
      </c>
      <c r="S80" s="127">
        <v>-0.4489708404802744</v>
      </c>
      <c r="T80" s="110"/>
      <c r="U80" s="110"/>
      <c r="V80" s="131"/>
      <c r="W80" s="110"/>
      <c r="X80" s="110"/>
      <c r="Y80" s="110"/>
      <c r="Z80" s="110"/>
      <c r="AA80" s="131"/>
      <c r="AB80" s="132"/>
      <c r="AC80" s="110"/>
      <c r="AD80" s="110"/>
      <c r="AE80" s="110"/>
      <c r="AF80" s="110"/>
    </row>
    <row r="81">
      <c r="A81" s="125" t="s">
        <v>1307</v>
      </c>
      <c r="B81" s="125" t="s">
        <v>1308</v>
      </c>
      <c r="C81" s="126">
        <v>3.706354231E9</v>
      </c>
      <c r="D81" s="134">
        <v>-0.16019200020356278</v>
      </c>
      <c r="E81" s="128">
        <v>17.32</v>
      </c>
      <c r="F81" s="128">
        <v>17.48</v>
      </c>
      <c r="G81" s="128">
        <v>22.86</v>
      </c>
      <c r="H81" s="129">
        <v>20.88</v>
      </c>
      <c r="I81" s="128">
        <v>24.03</v>
      </c>
      <c r="J81" s="129">
        <v>21.72</v>
      </c>
      <c r="K81" s="128">
        <v>25.42</v>
      </c>
      <c r="L81" s="128">
        <v>24.69</v>
      </c>
      <c r="M81" s="128">
        <v>32.3</v>
      </c>
      <c r="N81" s="129">
        <v>22.93</v>
      </c>
      <c r="O81" s="127">
        <v>0.009153318077803212</v>
      </c>
      <c r="P81" s="130">
        <v>-0.09482758620689657</v>
      </c>
      <c r="Q81" s="127">
        <v>-0.10635359116022111</v>
      </c>
      <c r="R81" s="127">
        <v>-0.029566626164439058</v>
      </c>
      <c r="S81" s="127">
        <v>-0.40863497601395543</v>
      </c>
      <c r="T81" s="110"/>
      <c r="U81" s="110"/>
      <c r="V81" s="131"/>
      <c r="W81" s="110"/>
      <c r="X81" s="110"/>
      <c r="Y81" s="110"/>
      <c r="Z81" s="110"/>
      <c r="AA81" s="131"/>
      <c r="AB81" s="132"/>
      <c r="AC81" s="110"/>
      <c r="AD81" s="110"/>
      <c r="AE81" s="110"/>
      <c r="AF81" s="110"/>
    </row>
    <row r="82">
      <c r="A82" s="125" t="s">
        <v>1309</v>
      </c>
      <c r="B82" s="125" t="s">
        <v>1310</v>
      </c>
      <c r="C82" s="126">
        <v>6.651987984E9</v>
      </c>
      <c r="D82" s="134">
        <v>-0.1603544650227003</v>
      </c>
      <c r="E82" s="128">
        <v>16.01</v>
      </c>
      <c r="F82" s="128">
        <v>15.5</v>
      </c>
      <c r="G82" s="128">
        <v>13.72</v>
      </c>
      <c r="H82" s="129">
        <v>12.68</v>
      </c>
      <c r="I82" s="128">
        <v>14.92</v>
      </c>
      <c r="J82" s="129">
        <v>13.2</v>
      </c>
      <c r="K82" s="128">
        <v>34.05</v>
      </c>
      <c r="L82" s="128">
        <v>32.84</v>
      </c>
      <c r="M82" s="128">
        <v>87.79</v>
      </c>
      <c r="N82" s="129">
        <v>65.19</v>
      </c>
      <c r="O82" s="127">
        <v>-0.03290322580645171</v>
      </c>
      <c r="P82" s="130">
        <v>-0.08201892744479503</v>
      </c>
      <c r="Q82" s="127">
        <v>-0.13030303030303036</v>
      </c>
      <c r="R82" s="127">
        <v>-0.036845310596832936</v>
      </c>
      <c r="S82" s="127">
        <v>-0.3466789384874982</v>
      </c>
      <c r="T82" s="110"/>
      <c r="U82" s="110"/>
      <c r="V82" s="131"/>
      <c r="W82" s="110"/>
      <c r="X82" s="110"/>
      <c r="Y82" s="110"/>
      <c r="Z82" s="110"/>
      <c r="AA82" s="131"/>
      <c r="AB82" s="132"/>
      <c r="AC82" s="110"/>
      <c r="AD82" s="110"/>
      <c r="AE82" s="110"/>
      <c r="AF82" s="110"/>
    </row>
    <row r="83">
      <c r="A83" s="125" t="s">
        <v>1311</v>
      </c>
      <c r="B83" s="125" t="s">
        <v>1312</v>
      </c>
      <c r="C83" s="126">
        <v>6.313716378E9</v>
      </c>
      <c r="D83" s="134">
        <v>-0.16137895788669038</v>
      </c>
      <c r="E83" s="128">
        <v>111.24</v>
      </c>
      <c r="F83" s="128">
        <v>103.0</v>
      </c>
      <c r="G83" s="128">
        <v>66.25</v>
      </c>
      <c r="H83" s="129">
        <v>62.81</v>
      </c>
      <c r="I83" s="128">
        <v>101.29</v>
      </c>
      <c r="J83" s="129">
        <v>97.53</v>
      </c>
      <c r="K83" s="128">
        <v>151.0</v>
      </c>
      <c r="L83" s="128">
        <v>148.06</v>
      </c>
      <c r="M83" s="128">
        <v>197.47</v>
      </c>
      <c r="N83" s="129">
        <v>137.72</v>
      </c>
      <c r="O83" s="127">
        <v>-0.07999999999999995</v>
      </c>
      <c r="P83" s="130">
        <v>-0.05476834898901445</v>
      </c>
      <c r="Q83" s="127">
        <v>-0.03855224033630683</v>
      </c>
      <c r="R83" s="127">
        <v>-0.019856814804808845</v>
      </c>
      <c r="S83" s="127">
        <v>-0.43385129247749055</v>
      </c>
      <c r="T83" s="110"/>
      <c r="U83" s="110"/>
      <c r="V83" s="131"/>
      <c r="W83" s="110"/>
      <c r="X83" s="110"/>
      <c r="Y83" s="110"/>
      <c r="Z83" s="110"/>
      <c r="AA83" s="131"/>
      <c r="AB83" s="132"/>
      <c r="AC83" s="110"/>
      <c r="AD83" s="110"/>
      <c r="AE83" s="110"/>
      <c r="AF83" s="110"/>
    </row>
    <row r="84">
      <c r="A84" s="125" t="s">
        <v>1313</v>
      </c>
      <c r="B84" s="125" t="s">
        <v>1314</v>
      </c>
      <c r="C84" s="126">
        <v>4.325063918E9</v>
      </c>
      <c r="D84" s="134">
        <v>-0.1639089383520404</v>
      </c>
      <c r="E84" s="128">
        <v>41.67</v>
      </c>
      <c r="F84" s="128">
        <v>40.3</v>
      </c>
      <c r="G84" s="128">
        <v>33.43</v>
      </c>
      <c r="H84" s="129">
        <v>30.31</v>
      </c>
      <c r="I84" s="128">
        <v>33.53</v>
      </c>
      <c r="J84" s="129">
        <v>30.57</v>
      </c>
      <c r="K84" s="128">
        <v>46.45</v>
      </c>
      <c r="L84" s="128">
        <v>45.57</v>
      </c>
      <c r="M84" s="128">
        <v>77.68</v>
      </c>
      <c r="N84" s="129">
        <v>56.79</v>
      </c>
      <c r="O84" s="127">
        <v>-0.033995037220843786</v>
      </c>
      <c r="P84" s="130">
        <v>-0.10293632464533162</v>
      </c>
      <c r="Q84" s="127">
        <v>-0.09682695453058557</v>
      </c>
      <c r="R84" s="127">
        <v>-0.01931095018652628</v>
      </c>
      <c r="S84" s="127">
        <v>-0.36784645184011283</v>
      </c>
      <c r="T84" s="110"/>
      <c r="U84" s="110"/>
      <c r="V84" s="131"/>
      <c r="W84" s="110"/>
      <c r="X84" s="110"/>
      <c r="Y84" s="110"/>
      <c r="Z84" s="110"/>
      <c r="AA84" s="131"/>
      <c r="AB84" s="132"/>
      <c r="AC84" s="110"/>
      <c r="AD84" s="110"/>
      <c r="AE84" s="110"/>
      <c r="AF84" s="110"/>
    </row>
    <row r="85">
      <c r="A85" s="125" t="s">
        <v>1315</v>
      </c>
      <c r="B85" s="125" t="s">
        <v>1316</v>
      </c>
      <c r="C85" s="126">
        <v>3.667436555E9</v>
      </c>
      <c r="D85" s="134">
        <v>-0.16401309672460143</v>
      </c>
      <c r="E85" s="128">
        <v>26.26</v>
      </c>
      <c r="F85" s="128">
        <v>26.22</v>
      </c>
      <c r="G85" s="128">
        <v>34.25</v>
      </c>
      <c r="H85" s="129">
        <v>29.78</v>
      </c>
      <c r="I85" s="128">
        <v>27.06</v>
      </c>
      <c r="J85" s="129">
        <v>24.93</v>
      </c>
      <c r="K85" s="128">
        <v>35.65</v>
      </c>
      <c r="L85" s="128">
        <v>34.48</v>
      </c>
      <c r="M85" s="128">
        <v>85.36</v>
      </c>
      <c r="N85" s="129">
        <v>63.36</v>
      </c>
      <c r="O85" s="127">
        <v>-0.0015255530129673037</v>
      </c>
      <c r="P85" s="130">
        <v>-0.15010073875083946</v>
      </c>
      <c r="Q85" s="127">
        <v>-0.08543922984356193</v>
      </c>
      <c r="R85" s="127">
        <v>-0.03393271461716943</v>
      </c>
      <c r="S85" s="127">
        <v>-0.3472222222222222</v>
      </c>
      <c r="T85" s="110"/>
      <c r="U85" s="110"/>
      <c r="V85" s="131"/>
      <c r="W85" s="110"/>
      <c r="X85" s="110"/>
      <c r="Y85" s="110"/>
      <c r="Z85" s="110"/>
      <c r="AA85" s="131"/>
      <c r="AB85" s="132"/>
      <c r="AC85" s="110"/>
      <c r="AD85" s="110"/>
      <c r="AE85" s="110"/>
      <c r="AF85" s="110"/>
    </row>
    <row r="86">
      <c r="A86" s="125" t="s">
        <v>1317</v>
      </c>
      <c r="B86" s="125" t="s">
        <v>1318</v>
      </c>
      <c r="C86" s="126">
        <v>4.357855121E9</v>
      </c>
      <c r="D86" s="134">
        <v>-0.16855563817175856</v>
      </c>
      <c r="E86" s="128">
        <v>9.13</v>
      </c>
      <c r="F86" s="128">
        <v>9.01</v>
      </c>
      <c r="G86" s="128">
        <v>15.59</v>
      </c>
      <c r="H86" s="129">
        <v>14.81</v>
      </c>
      <c r="I86" s="128">
        <v>19.48</v>
      </c>
      <c r="J86" s="129">
        <v>18.53</v>
      </c>
      <c r="K86" s="128">
        <v>59.93</v>
      </c>
      <c r="L86" s="128">
        <v>58.64</v>
      </c>
      <c r="M86" s="128">
        <v>73.11</v>
      </c>
      <c r="N86" s="129">
        <v>49.45</v>
      </c>
      <c r="O86" s="127">
        <v>-0.013318534961154383</v>
      </c>
      <c r="P86" s="130">
        <v>-0.05266711681296417</v>
      </c>
      <c r="Q86" s="127">
        <v>-0.05126821370750131</v>
      </c>
      <c r="R86" s="127">
        <v>-0.021998635743519766</v>
      </c>
      <c r="S86" s="127">
        <v>-0.4784630940343781</v>
      </c>
      <c r="T86" s="110"/>
      <c r="U86" s="110"/>
      <c r="V86" s="131"/>
      <c r="W86" s="110"/>
      <c r="X86" s="110"/>
      <c r="Y86" s="110"/>
      <c r="Z86" s="110"/>
      <c r="AA86" s="131"/>
      <c r="AB86" s="132"/>
      <c r="AC86" s="110"/>
      <c r="AD86" s="110"/>
      <c r="AE86" s="110"/>
      <c r="AF86" s="110"/>
    </row>
    <row r="87">
      <c r="A87" s="125" t="s">
        <v>1319</v>
      </c>
      <c r="B87" s="125" t="s">
        <v>1320</v>
      </c>
      <c r="C87" s="126">
        <v>3.881110099E9</v>
      </c>
      <c r="D87" s="134">
        <v>-0.17126940545212718</v>
      </c>
      <c r="E87" s="128" t="e">
        <v>#N/A</v>
      </c>
      <c r="F87" s="128" t="e">
        <v>#N/A</v>
      </c>
      <c r="G87" s="128" t="e">
        <v>#N/A</v>
      </c>
      <c r="H87" s="129" t="e">
        <v>#N/A</v>
      </c>
      <c r="I87" s="128" t="e">
        <v>#N/A</v>
      </c>
      <c r="J87" s="129" t="e">
        <v>#N/A</v>
      </c>
      <c r="K87" s="128" t="e">
        <v>#N/A</v>
      </c>
      <c r="L87" s="128" t="e">
        <v>#N/A</v>
      </c>
      <c r="M87" s="128">
        <v>23.04</v>
      </c>
      <c r="N87" s="129">
        <v>20.51</v>
      </c>
      <c r="O87" s="127" t="e">
        <v>#N/A</v>
      </c>
      <c r="P87" s="130" t="e">
        <v>#N/A</v>
      </c>
      <c r="Q87" s="127" t="e">
        <v>#N/A</v>
      </c>
      <c r="R87" s="127" t="e">
        <v>#N/A</v>
      </c>
      <c r="S87" s="127">
        <v>-0.12335446123842016</v>
      </c>
      <c r="T87" s="110"/>
      <c r="U87" s="110"/>
      <c r="V87" s="131"/>
      <c r="W87" s="110"/>
      <c r="X87" s="110"/>
      <c r="Y87" s="110"/>
      <c r="Z87" s="110"/>
      <c r="AA87" s="131"/>
      <c r="AB87" s="132"/>
      <c r="AC87" s="110"/>
      <c r="AD87" s="110"/>
      <c r="AE87" s="110"/>
      <c r="AF87" s="110"/>
    </row>
    <row r="88">
      <c r="A88" s="125" t="s">
        <v>1321</v>
      </c>
      <c r="B88" s="125" t="s">
        <v>1322</v>
      </c>
      <c r="C88" s="126">
        <v>3.761658223E9</v>
      </c>
      <c r="D88" s="134">
        <v>-0.1720766207715761</v>
      </c>
      <c r="E88" s="128">
        <v>28.15</v>
      </c>
      <c r="F88" s="128">
        <v>29.05</v>
      </c>
      <c r="G88" s="128">
        <v>26.48</v>
      </c>
      <c r="H88" s="129">
        <v>24.02</v>
      </c>
      <c r="I88" s="128">
        <v>24.78</v>
      </c>
      <c r="J88" s="129">
        <v>22.51</v>
      </c>
      <c r="K88" s="128">
        <v>46.44</v>
      </c>
      <c r="L88" s="128">
        <v>43.91</v>
      </c>
      <c r="M88" s="128">
        <v>76.09</v>
      </c>
      <c r="N88" s="129">
        <v>55.45</v>
      </c>
      <c r="O88" s="127">
        <v>0.030981067125645512</v>
      </c>
      <c r="P88" s="130">
        <v>-0.10241465445462118</v>
      </c>
      <c r="Q88" s="127">
        <v>-0.10084406930253219</v>
      </c>
      <c r="R88" s="127">
        <v>-0.057617854702801216</v>
      </c>
      <c r="S88" s="127">
        <v>-0.3722272317403066</v>
      </c>
      <c r="T88" s="110"/>
      <c r="U88" s="110"/>
      <c r="V88" s="131"/>
      <c r="W88" s="110"/>
      <c r="X88" s="110"/>
      <c r="Y88" s="110"/>
      <c r="Z88" s="110"/>
      <c r="AA88" s="131"/>
      <c r="AB88" s="132"/>
      <c r="AC88" s="110"/>
      <c r="AD88" s="110"/>
      <c r="AE88" s="110"/>
      <c r="AF88" s="110"/>
    </row>
    <row r="89">
      <c r="A89" s="125" t="s">
        <v>1323</v>
      </c>
      <c r="B89" s="125" t="s">
        <v>1324</v>
      </c>
      <c r="C89" s="126">
        <v>5.051381568E9</v>
      </c>
      <c r="D89" s="134">
        <v>-0.1750773809590159</v>
      </c>
      <c r="E89" s="128">
        <v>17.78</v>
      </c>
      <c r="F89" s="128">
        <v>17.27</v>
      </c>
      <c r="G89" s="128">
        <v>26.8</v>
      </c>
      <c r="H89" s="129">
        <v>23.84</v>
      </c>
      <c r="I89" s="128">
        <v>39.12</v>
      </c>
      <c r="J89" s="129">
        <v>35.05</v>
      </c>
      <c r="K89" s="128">
        <v>57.76</v>
      </c>
      <c r="L89" s="128">
        <v>56.74</v>
      </c>
      <c r="M89" s="128">
        <v>109.8</v>
      </c>
      <c r="N89" s="129">
        <v>83.67</v>
      </c>
      <c r="O89" s="127">
        <v>-0.029530978575564654</v>
      </c>
      <c r="P89" s="130">
        <v>-0.1241610738255034</v>
      </c>
      <c r="Q89" s="127">
        <v>-0.1161198288159772</v>
      </c>
      <c r="R89" s="127">
        <v>-0.017976735988720408</v>
      </c>
      <c r="S89" s="127">
        <v>-0.31229831480817494</v>
      </c>
      <c r="T89" s="110"/>
      <c r="U89" s="110"/>
      <c r="V89" s="131"/>
      <c r="W89" s="110"/>
      <c r="X89" s="110"/>
      <c r="Y89" s="110"/>
      <c r="Z89" s="110"/>
      <c r="AA89" s="131"/>
      <c r="AB89" s="132"/>
      <c r="AC89" s="110"/>
      <c r="AD89" s="110"/>
      <c r="AE89" s="110"/>
      <c r="AF89" s="110"/>
    </row>
    <row r="90">
      <c r="A90" s="125" t="s">
        <v>1325</v>
      </c>
      <c r="B90" s="125" t="s">
        <v>1326</v>
      </c>
      <c r="C90" s="126">
        <v>4.533326787E9</v>
      </c>
      <c r="D90" s="134">
        <v>-0.17648226493939076</v>
      </c>
      <c r="E90" s="128">
        <v>8.18</v>
      </c>
      <c r="F90" s="128">
        <v>8.38</v>
      </c>
      <c r="G90" s="128">
        <v>8.99</v>
      </c>
      <c r="H90" s="129">
        <v>8.57</v>
      </c>
      <c r="I90" s="128">
        <v>7.61</v>
      </c>
      <c r="J90" s="129">
        <v>6.96</v>
      </c>
      <c r="K90" s="128">
        <v>15.57</v>
      </c>
      <c r="L90" s="128">
        <v>14.77</v>
      </c>
      <c r="M90" s="128">
        <v>34.39</v>
      </c>
      <c r="N90" s="129">
        <v>24.12</v>
      </c>
      <c r="O90" s="127">
        <v>0.023866348448687475</v>
      </c>
      <c r="P90" s="130">
        <v>-0.04900816802800466</v>
      </c>
      <c r="Q90" s="127">
        <v>-0.0933908045977012</v>
      </c>
      <c r="R90" s="127">
        <v>-0.05416384563304</v>
      </c>
      <c r="S90" s="127">
        <v>-0.425787728026534</v>
      </c>
      <c r="T90" s="110"/>
      <c r="U90" s="110"/>
      <c r="V90" s="131"/>
      <c r="W90" s="110"/>
      <c r="X90" s="110"/>
      <c r="Y90" s="110"/>
      <c r="Z90" s="110"/>
      <c r="AA90" s="131"/>
      <c r="AB90" s="132"/>
      <c r="AC90" s="110"/>
      <c r="AD90" s="110"/>
      <c r="AE90" s="110"/>
      <c r="AF90" s="110"/>
    </row>
    <row r="91">
      <c r="A91" s="125" t="s">
        <v>1327</v>
      </c>
      <c r="B91" s="125" t="s">
        <v>1328</v>
      </c>
      <c r="C91" s="126">
        <v>5.36960186E9</v>
      </c>
      <c r="D91" s="134">
        <v>-0.17997817733406563</v>
      </c>
      <c r="E91" s="128">
        <v>38.27</v>
      </c>
      <c r="F91" s="128">
        <v>37.3</v>
      </c>
      <c r="G91" s="128">
        <v>34.66</v>
      </c>
      <c r="H91" s="129">
        <v>29.34</v>
      </c>
      <c r="I91" s="128">
        <v>48.7</v>
      </c>
      <c r="J91" s="129">
        <v>45.29</v>
      </c>
      <c r="K91" s="128">
        <v>57.25</v>
      </c>
      <c r="L91" s="128">
        <v>55.75</v>
      </c>
      <c r="M91" s="128">
        <v>111.86</v>
      </c>
      <c r="N91" s="129">
        <v>87.03</v>
      </c>
      <c r="O91" s="127">
        <v>-0.026005361930295068</v>
      </c>
      <c r="P91" s="130">
        <v>-0.1813224267211996</v>
      </c>
      <c r="Q91" s="127">
        <v>-0.07529255906381108</v>
      </c>
      <c r="R91" s="127">
        <v>-0.026905829596412557</v>
      </c>
      <c r="S91" s="127">
        <v>-0.28530391818913015</v>
      </c>
      <c r="T91" s="110"/>
      <c r="U91" s="110"/>
      <c r="V91" s="131"/>
      <c r="W91" s="110"/>
      <c r="X91" s="110"/>
      <c r="Y91" s="110"/>
      <c r="Z91" s="110"/>
      <c r="AA91" s="131"/>
      <c r="AB91" s="132"/>
      <c r="AC91" s="110"/>
      <c r="AD91" s="110"/>
      <c r="AE91" s="110"/>
      <c r="AF91" s="110"/>
    </row>
    <row r="92">
      <c r="A92" s="125" t="s">
        <v>1329</v>
      </c>
      <c r="B92" s="125" t="s">
        <v>1330</v>
      </c>
      <c r="C92" s="126">
        <v>5.003554911E9</v>
      </c>
      <c r="D92" s="134">
        <v>-0.18010843415088312</v>
      </c>
      <c r="E92" s="128">
        <v>31.25</v>
      </c>
      <c r="F92" s="128">
        <v>30.04</v>
      </c>
      <c r="G92" s="128">
        <v>48.52</v>
      </c>
      <c r="H92" s="129">
        <v>45.06</v>
      </c>
      <c r="I92" s="128">
        <v>32.94</v>
      </c>
      <c r="J92" s="129">
        <v>31.22</v>
      </c>
      <c r="K92" s="128">
        <v>41.55</v>
      </c>
      <c r="L92" s="128">
        <v>40.32</v>
      </c>
      <c r="M92" s="128">
        <v>103.46</v>
      </c>
      <c r="N92" s="129">
        <v>74.91</v>
      </c>
      <c r="O92" s="127">
        <v>-0.04027962716378165</v>
      </c>
      <c r="P92" s="130">
        <v>-0.07678650687971594</v>
      </c>
      <c r="Q92" s="127">
        <v>-0.05509288917360663</v>
      </c>
      <c r="R92" s="127">
        <v>-0.030505952380952304</v>
      </c>
      <c r="S92" s="127">
        <v>-0.38112401548524893</v>
      </c>
      <c r="T92" s="110"/>
      <c r="U92" s="110"/>
      <c r="V92" s="131"/>
      <c r="W92" s="110"/>
      <c r="X92" s="110"/>
      <c r="Y92" s="110"/>
      <c r="Z92" s="110"/>
      <c r="AA92" s="131"/>
      <c r="AB92" s="132"/>
      <c r="AC92" s="110"/>
      <c r="AD92" s="110"/>
      <c r="AE92" s="110"/>
      <c r="AF92" s="110"/>
    </row>
    <row r="93">
      <c r="A93" s="125" t="s">
        <v>1331</v>
      </c>
      <c r="B93" s="125" t="s">
        <v>1332</v>
      </c>
      <c r="C93" s="126">
        <v>3.996160594E9</v>
      </c>
      <c r="D93" s="134">
        <v>-0.18118252273646504</v>
      </c>
      <c r="E93" s="128">
        <v>21.25</v>
      </c>
      <c r="F93" s="128">
        <v>20.82</v>
      </c>
      <c r="G93" s="128">
        <v>17.61</v>
      </c>
      <c r="H93" s="129">
        <v>15.3</v>
      </c>
      <c r="I93" s="128">
        <v>21.25</v>
      </c>
      <c r="J93" s="129">
        <v>19.95</v>
      </c>
      <c r="K93" s="128">
        <v>28.92</v>
      </c>
      <c r="L93" s="128">
        <v>28.08</v>
      </c>
      <c r="M93" s="128">
        <v>58.78</v>
      </c>
      <c r="N93" s="129">
        <v>44.67</v>
      </c>
      <c r="O93" s="127">
        <v>-0.020653218059558102</v>
      </c>
      <c r="P93" s="130">
        <v>-0.15098039215686265</v>
      </c>
      <c r="Q93" s="127">
        <v>-0.06516290726817046</v>
      </c>
      <c r="R93" s="127">
        <v>-0.029914529914530037</v>
      </c>
      <c r="S93" s="127">
        <v>-0.31587194985448847</v>
      </c>
      <c r="T93" s="110"/>
      <c r="U93" s="110"/>
      <c r="V93" s="131"/>
      <c r="W93" s="110"/>
      <c r="X93" s="110"/>
      <c r="Y93" s="110"/>
      <c r="Z93" s="110"/>
      <c r="AA93" s="131"/>
      <c r="AB93" s="132"/>
      <c r="AC93" s="110"/>
      <c r="AD93" s="110"/>
      <c r="AE93" s="110"/>
      <c r="AF93" s="110"/>
    </row>
    <row r="94">
      <c r="A94" s="125" t="s">
        <v>1333</v>
      </c>
      <c r="B94" s="125" t="s">
        <v>1334</v>
      </c>
      <c r="C94" s="126">
        <v>4.256949422E9</v>
      </c>
      <c r="D94" s="134">
        <v>-0.18227915773822914</v>
      </c>
      <c r="E94" s="128">
        <v>4.7</v>
      </c>
      <c r="F94" s="128">
        <v>4.84</v>
      </c>
      <c r="G94" s="128">
        <v>5.25</v>
      </c>
      <c r="H94" s="129">
        <v>4.59</v>
      </c>
      <c r="I94" s="128">
        <v>5.33</v>
      </c>
      <c r="J94" s="129">
        <v>5.18</v>
      </c>
      <c r="K94" s="128">
        <v>7.24</v>
      </c>
      <c r="L94" s="128">
        <v>7.26</v>
      </c>
      <c r="M94" s="128">
        <v>35.99</v>
      </c>
      <c r="N94" s="129">
        <v>25.01</v>
      </c>
      <c r="O94" s="127">
        <v>0.02892561983471068</v>
      </c>
      <c r="P94" s="130">
        <v>-0.14379084967320266</v>
      </c>
      <c r="Q94" s="127">
        <v>-0.028957528957529028</v>
      </c>
      <c r="R94" s="127">
        <v>0.00275482093663906</v>
      </c>
      <c r="S94" s="127">
        <v>-0.43902439024390244</v>
      </c>
      <c r="T94" s="110"/>
      <c r="U94" s="110"/>
      <c r="V94" s="131"/>
      <c r="W94" s="110"/>
      <c r="X94" s="110"/>
      <c r="Y94" s="110"/>
      <c r="Z94" s="110"/>
      <c r="AA94" s="131"/>
      <c r="AB94" s="132"/>
      <c r="AC94" s="110"/>
      <c r="AD94" s="110"/>
      <c r="AE94" s="110"/>
      <c r="AF94" s="110"/>
    </row>
    <row r="95">
      <c r="A95" s="125" t="s">
        <v>1335</v>
      </c>
      <c r="B95" s="125" t="s">
        <v>1336</v>
      </c>
      <c r="C95" s="126">
        <v>4.126171373E9</v>
      </c>
      <c r="D95" s="134">
        <v>-0.18314806711956896</v>
      </c>
      <c r="E95" s="128">
        <v>12.8</v>
      </c>
      <c r="F95" s="128">
        <v>11.35</v>
      </c>
      <c r="G95" s="128">
        <v>19.04</v>
      </c>
      <c r="H95" s="129">
        <v>17.44</v>
      </c>
      <c r="I95" s="128">
        <v>15.39</v>
      </c>
      <c r="J95" s="129">
        <v>14.58</v>
      </c>
      <c r="K95" s="128">
        <v>18.77</v>
      </c>
      <c r="L95" s="128">
        <v>18.47</v>
      </c>
      <c r="M95" s="128">
        <v>51.0</v>
      </c>
      <c r="N95" s="129">
        <v>39.78</v>
      </c>
      <c r="O95" s="127">
        <v>-0.12775330396475781</v>
      </c>
      <c r="P95" s="130">
        <v>-0.09174311926605491</v>
      </c>
      <c r="Q95" s="127">
        <v>-0.05555555555555559</v>
      </c>
      <c r="R95" s="127">
        <v>-0.016242555495397982</v>
      </c>
      <c r="S95" s="127">
        <v>-0.282051282051282</v>
      </c>
      <c r="T95" s="110"/>
      <c r="U95" s="110"/>
      <c r="V95" s="131"/>
      <c r="W95" s="110"/>
      <c r="X95" s="110"/>
      <c r="Y95" s="110"/>
      <c r="Z95" s="110"/>
      <c r="AA95" s="131"/>
      <c r="AB95" s="132"/>
      <c r="AC95" s="110"/>
      <c r="AD95" s="110"/>
      <c r="AE95" s="110"/>
      <c r="AF95" s="110"/>
    </row>
    <row r="96">
      <c r="A96" s="125" t="s">
        <v>1337</v>
      </c>
      <c r="B96" s="125" t="s">
        <v>1338</v>
      </c>
      <c r="C96" s="126">
        <v>3.497530925E9</v>
      </c>
      <c r="D96" s="134">
        <v>-0.18464915899283585</v>
      </c>
      <c r="E96" s="128">
        <v>28.64</v>
      </c>
      <c r="F96" s="128">
        <v>27.8</v>
      </c>
      <c r="G96" s="128">
        <v>29.34</v>
      </c>
      <c r="H96" s="129">
        <v>27.57</v>
      </c>
      <c r="I96" s="128">
        <v>29.92</v>
      </c>
      <c r="J96" s="129">
        <v>28.25</v>
      </c>
      <c r="K96" s="128">
        <v>53.74</v>
      </c>
      <c r="L96" s="128">
        <v>51.68</v>
      </c>
      <c r="M96" s="128">
        <v>94.71</v>
      </c>
      <c r="N96" s="129">
        <v>68.8</v>
      </c>
      <c r="O96" s="127">
        <v>-0.03021582733812949</v>
      </c>
      <c r="P96" s="130">
        <v>-0.06420021762785635</v>
      </c>
      <c r="Q96" s="127">
        <v>-0.05911504424778767</v>
      </c>
      <c r="R96" s="127">
        <v>-0.03986068111455113</v>
      </c>
      <c r="S96" s="127">
        <v>-0.3765988372093023</v>
      </c>
      <c r="T96" s="110"/>
      <c r="U96" s="110"/>
      <c r="V96" s="131"/>
      <c r="W96" s="110"/>
      <c r="X96" s="110"/>
      <c r="Y96" s="110"/>
      <c r="Z96" s="110"/>
      <c r="AA96" s="131"/>
      <c r="AB96" s="132"/>
      <c r="AC96" s="110"/>
      <c r="AD96" s="110"/>
      <c r="AE96" s="110"/>
      <c r="AF96" s="110"/>
    </row>
    <row r="97">
      <c r="A97" s="125" t="s">
        <v>1339</v>
      </c>
      <c r="B97" s="125" t="s">
        <v>1340</v>
      </c>
      <c r="C97" s="126">
        <v>5.762687308E9</v>
      </c>
      <c r="D97" s="134">
        <v>-0.18641469547192374</v>
      </c>
      <c r="E97" s="128">
        <v>32.15</v>
      </c>
      <c r="F97" s="128">
        <v>34.7</v>
      </c>
      <c r="G97" s="128">
        <v>40.99</v>
      </c>
      <c r="H97" s="129">
        <v>37.33</v>
      </c>
      <c r="I97" s="128">
        <v>30.23</v>
      </c>
      <c r="J97" s="129">
        <v>28.21</v>
      </c>
      <c r="K97" s="128">
        <v>75.37</v>
      </c>
      <c r="L97" s="128">
        <v>72.68</v>
      </c>
      <c r="M97" s="128">
        <v>78.06</v>
      </c>
      <c r="N97" s="129">
        <v>54.92</v>
      </c>
      <c r="O97" s="127">
        <v>0.07348703170028831</v>
      </c>
      <c r="P97" s="130">
        <v>-0.09804446825609439</v>
      </c>
      <c r="Q97" s="127">
        <v>-0.0716058135412974</v>
      </c>
      <c r="R97" s="127">
        <v>-0.03701155751238301</v>
      </c>
      <c r="S97" s="127">
        <v>-0.4213401310997815</v>
      </c>
      <c r="T97" s="110"/>
      <c r="U97" s="110"/>
      <c r="V97" s="131"/>
      <c r="W97" s="110"/>
      <c r="X97" s="110"/>
      <c r="Y97" s="110"/>
      <c r="Z97" s="110"/>
      <c r="AA97" s="131"/>
      <c r="AB97" s="132"/>
      <c r="AC97" s="110"/>
      <c r="AD97" s="110"/>
      <c r="AE97" s="110"/>
      <c r="AF97" s="110"/>
    </row>
    <row r="98">
      <c r="A98" s="125" t="s">
        <v>1341</v>
      </c>
      <c r="B98" s="125" t="s">
        <v>1342</v>
      </c>
      <c r="C98" s="126">
        <v>5.016732485E9</v>
      </c>
      <c r="D98" s="134">
        <v>-0.1870499125188043</v>
      </c>
      <c r="E98" s="128">
        <v>22.39</v>
      </c>
      <c r="F98" s="128">
        <v>22.85</v>
      </c>
      <c r="G98" s="128">
        <v>24.83</v>
      </c>
      <c r="H98" s="129">
        <v>22.34</v>
      </c>
      <c r="I98" s="128">
        <v>24.41</v>
      </c>
      <c r="J98" s="129">
        <v>22.3</v>
      </c>
      <c r="K98" s="128">
        <v>36.08</v>
      </c>
      <c r="L98" s="128">
        <v>34.52</v>
      </c>
      <c r="M98" s="128">
        <v>68.33</v>
      </c>
      <c r="N98" s="129">
        <v>51.64</v>
      </c>
      <c r="O98" s="127">
        <v>0.020131291028446425</v>
      </c>
      <c r="P98" s="130">
        <v>-0.1114592658907788</v>
      </c>
      <c r="Q98" s="127">
        <v>-0.09461883408071746</v>
      </c>
      <c r="R98" s="127">
        <v>-0.04519119351100797</v>
      </c>
      <c r="S98" s="127">
        <v>-0.32319907048799373</v>
      </c>
      <c r="T98" s="110"/>
      <c r="U98" s="110"/>
      <c r="V98" s="131"/>
      <c r="W98" s="110"/>
      <c r="X98" s="110"/>
      <c r="Y98" s="110"/>
      <c r="Z98" s="110"/>
      <c r="AA98" s="131"/>
      <c r="AB98" s="132"/>
      <c r="AC98" s="110"/>
      <c r="AD98" s="110"/>
      <c r="AE98" s="110"/>
      <c r="AF98" s="110"/>
    </row>
    <row r="99">
      <c r="A99" s="125" t="s">
        <v>1343</v>
      </c>
      <c r="B99" s="125" t="s">
        <v>1344</v>
      </c>
      <c r="C99" s="126">
        <v>3.323135323E9</v>
      </c>
      <c r="D99" s="134">
        <v>-0.18770201341405188</v>
      </c>
      <c r="E99" s="128">
        <v>24.67</v>
      </c>
      <c r="F99" s="128">
        <v>25.12</v>
      </c>
      <c r="G99" s="128">
        <v>26.8</v>
      </c>
      <c r="H99" s="129">
        <v>24.0</v>
      </c>
      <c r="I99" s="128">
        <v>20.91</v>
      </c>
      <c r="J99" s="129">
        <v>20.06</v>
      </c>
      <c r="K99" s="128">
        <v>29.63</v>
      </c>
      <c r="L99" s="128">
        <v>28.36</v>
      </c>
      <c r="M99" s="128">
        <v>77.67</v>
      </c>
      <c r="N99" s="129">
        <v>56.98</v>
      </c>
      <c r="O99" s="127">
        <v>0.017914012738853475</v>
      </c>
      <c r="P99" s="130">
        <v>-0.1166666666666667</v>
      </c>
      <c r="Q99" s="127">
        <v>-0.04237288135593228</v>
      </c>
      <c r="R99" s="127">
        <v>-0.04478138222849082</v>
      </c>
      <c r="S99" s="127">
        <v>-0.3631098631098632</v>
      </c>
      <c r="T99" s="110"/>
      <c r="U99" s="110"/>
      <c r="V99" s="131"/>
      <c r="W99" s="110"/>
      <c r="X99" s="110"/>
      <c r="Y99" s="110"/>
      <c r="Z99" s="110"/>
      <c r="AA99" s="131"/>
      <c r="AB99" s="132"/>
      <c r="AC99" s="110"/>
      <c r="AD99" s="110"/>
      <c r="AE99" s="110"/>
      <c r="AF99" s="110"/>
    </row>
    <row r="100">
      <c r="A100" s="125" t="s">
        <v>1345</v>
      </c>
      <c r="B100" s="125" t="s">
        <v>1346</v>
      </c>
      <c r="C100" s="126">
        <v>4.10628E9</v>
      </c>
      <c r="D100" s="134">
        <v>-0.1882999639249639</v>
      </c>
      <c r="E100" s="128">
        <v>31.87</v>
      </c>
      <c r="F100" s="128">
        <v>31.52</v>
      </c>
      <c r="G100" s="128">
        <v>28.69</v>
      </c>
      <c r="H100" s="129">
        <v>27.87</v>
      </c>
      <c r="I100" s="128">
        <v>29.45</v>
      </c>
      <c r="J100" s="129">
        <v>28.15</v>
      </c>
      <c r="K100" s="128">
        <v>37.42</v>
      </c>
      <c r="L100" s="128">
        <v>36.02</v>
      </c>
      <c r="M100" s="128">
        <v>120.38</v>
      </c>
      <c r="N100" s="129">
        <v>85.57</v>
      </c>
      <c r="O100" s="127">
        <v>-0.01110406091370563</v>
      </c>
      <c r="P100" s="130">
        <v>-0.02942231790455688</v>
      </c>
      <c r="Q100" s="127">
        <v>-0.04618117229129665</v>
      </c>
      <c r="R100" s="127">
        <v>-0.03886729594669624</v>
      </c>
      <c r="S100" s="127">
        <v>-0.40680144910599514</v>
      </c>
      <c r="T100" s="110"/>
      <c r="U100" s="110"/>
      <c r="V100" s="131"/>
      <c r="W100" s="110"/>
      <c r="X100" s="110"/>
      <c r="Y100" s="110"/>
      <c r="Z100" s="110"/>
      <c r="AA100" s="131"/>
      <c r="AB100" s="132"/>
      <c r="AC100" s="110"/>
      <c r="AD100" s="110"/>
      <c r="AE100" s="110"/>
      <c r="AF100" s="110"/>
    </row>
    <row r="101">
      <c r="A101" s="125" t="s">
        <v>1347</v>
      </c>
      <c r="B101" s="125" t="s">
        <v>1348</v>
      </c>
      <c r="C101" s="126">
        <v>4.574881525E9</v>
      </c>
      <c r="D101" s="134">
        <v>-0.19224961542037752</v>
      </c>
      <c r="E101" s="128">
        <v>43.12</v>
      </c>
      <c r="F101" s="128">
        <v>44.58</v>
      </c>
      <c r="G101" s="128">
        <v>35.05</v>
      </c>
      <c r="H101" s="129">
        <v>32.99</v>
      </c>
      <c r="I101" s="128">
        <v>36.09</v>
      </c>
      <c r="J101" s="129">
        <v>33.52</v>
      </c>
      <c r="K101" s="128">
        <v>54.62</v>
      </c>
      <c r="L101" s="128">
        <v>53.06</v>
      </c>
      <c r="M101" s="128">
        <v>87.6</v>
      </c>
      <c r="N101" s="129">
        <v>63.16</v>
      </c>
      <c r="O101" s="127">
        <v>0.03275011215791837</v>
      </c>
      <c r="P101" s="130">
        <v>-0.062443164595331765</v>
      </c>
      <c r="Q101" s="127">
        <v>-0.07667064439140811</v>
      </c>
      <c r="R101" s="127">
        <v>-0.029400678477195536</v>
      </c>
      <c r="S101" s="127">
        <v>-0.38695376820772637</v>
      </c>
      <c r="T101" s="110"/>
      <c r="U101" s="110"/>
      <c r="V101" s="131"/>
      <c r="W101" s="110"/>
      <c r="X101" s="110"/>
      <c r="Y101" s="110"/>
      <c r="Z101" s="110"/>
      <c r="AA101" s="131"/>
      <c r="AB101" s="132"/>
      <c r="AC101" s="110"/>
      <c r="AD101" s="110"/>
      <c r="AE101" s="110"/>
      <c r="AF101" s="110"/>
    </row>
    <row r="102">
      <c r="A102" s="125" t="s">
        <v>1349</v>
      </c>
      <c r="B102" s="125" t="s">
        <v>1350</v>
      </c>
      <c r="C102" s="126">
        <v>5.359780931E9</v>
      </c>
      <c r="D102" s="134">
        <v>-0.19294088664548797</v>
      </c>
      <c r="E102" s="128">
        <v>10.72</v>
      </c>
      <c r="F102" s="128">
        <v>11.86</v>
      </c>
      <c r="G102" s="128">
        <v>11.2</v>
      </c>
      <c r="H102" s="129">
        <v>9.8</v>
      </c>
      <c r="I102" s="128">
        <v>8.96</v>
      </c>
      <c r="J102" s="129">
        <v>8.05</v>
      </c>
      <c r="K102" s="128">
        <v>16.66</v>
      </c>
      <c r="L102" s="128">
        <v>15.71</v>
      </c>
      <c r="M102" s="128">
        <v>21.29</v>
      </c>
      <c r="N102" s="129">
        <v>16.81</v>
      </c>
      <c r="O102" s="127">
        <v>0.09612141652613818</v>
      </c>
      <c r="P102" s="130">
        <v>-0.1428571428571427</v>
      </c>
      <c r="Q102" s="127">
        <v>-0.11304347826086958</v>
      </c>
      <c r="R102" s="127">
        <v>-0.06047103755569696</v>
      </c>
      <c r="S102" s="127">
        <v>-0.2665080309339679</v>
      </c>
      <c r="T102" s="110"/>
      <c r="U102" s="110"/>
      <c r="V102" s="131"/>
      <c r="W102" s="110"/>
      <c r="X102" s="110"/>
      <c r="Y102" s="110"/>
      <c r="Z102" s="110"/>
      <c r="AA102" s="131"/>
      <c r="AB102" s="132"/>
      <c r="AC102" s="110"/>
      <c r="AD102" s="110"/>
      <c r="AE102" s="110"/>
      <c r="AF102" s="110"/>
    </row>
    <row r="103">
      <c r="A103" s="125" t="s">
        <v>1351</v>
      </c>
      <c r="B103" s="125" t="s">
        <v>1352</v>
      </c>
      <c r="C103" s="126">
        <v>4.003338523E9</v>
      </c>
      <c r="D103" s="134">
        <v>-0.1984687366710376</v>
      </c>
      <c r="E103" s="128">
        <v>19.06</v>
      </c>
      <c r="F103" s="128">
        <v>18.76</v>
      </c>
      <c r="G103" s="128">
        <v>9.43</v>
      </c>
      <c r="H103" s="129">
        <v>8.09</v>
      </c>
      <c r="I103" s="128">
        <v>6.39</v>
      </c>
      <c r="J103" s="129">
        <v>5.37</v>
      </c>
      <c r="K103" s="128">
        <v>34.12</v>
      </c>
      <c r="L103" s="128">
        <v>33.05</v>
      </c>
      <c r="M103" s="128">
        <v>75.67</v>
      </c>
      <c r="N103" s="129">
        <v>70.4</v>
      </c>
      <c r="O103" s="127">
        <v>-0.01599147121535166</v>
      </c>
      <c r="P103" s="130">
        <v>-0.16563658838071693</v>
      </c>
      <c r="Q103" s="127">
        <v>-0.1899441340782122</v>
      </c>
      <c r="R103" s="127">
        <v>-0.03237518910741302</v>
      </c>
      <c r="S103" s="127">
        <v>-0.07485795454545448</v>
      </c>
      <c r="T103" s="110"/>
      <c r="U103" s="110"/>
      <c r="V103" s="131"/>
      <c r="W103" s="110"/>
      <c r="X103" s="110"/>
      <c r="Y103" s="110"/>
      <c r="Z103" s="110"/>
      <c r="AA103" s="131"/>
      <c r="AB103" s="132"/>
      <c r="AC103" s="110"/>
      <c r="AD103" s="110"/>
      <c r="AE103" s="110"/>
      <c r="AF103" s="110"/>
    </row>
    <row r="104">
      <c r="A104" s="125" t="s">
        <v>1353</v>
      </c>
      <c r="B104" s="125" t="s">
        <v>1354</v>
      </c>
      <c r="C104" s="126">
        <v>6.878558929E9</v>
      </c>
      <c r="D104" s="134">
        <v>-0.2000581050444949</v>
      </c>
      <c r="E104" s="128">
        <v>36.17</v>
      </c>
      <c r="F104" s="128">
        <v>37.42</v>
      </c>
      <c r="G104" s="128">
        <v>55.38</v>
      </c>
      <c r="H104" s="129">
        <v>54.53</v>
      </c>
      <c r="I104" s="128">
        <v>64.55</v>
      </c>
      <c r="J104" s="129">
        <v>60.15</v>
      </c>
      <c r="K104" s="128">
        <v>154.15</v>
      </c>
      <c r="L104" s="128">
        <v>155.55</v>
      </c>
      <c r="M104" s="128">
        <v>277.5</v>
      </c>
      <c r="N104" s="129">
        <v>201.05</v>
      </c>
      <c r="O104" s="127">
        <v>0.03340459647247461</v>
      </c>
      <c r="P104" s="130">
        <v>-0.015587749862461057</v>
      </c>
      <c r="Q104" s="127">
        <v>-0.07315045719035741</v>
      </c>
      <c r="R104" s="127">
        <v>0.009000321440051466</v>
      </c>
      <c r="S104" s="127">
        <v>-0.38025366824173085</v>
      </c>
      <c r="T104" s="110"/>
      <c r="U104" s="110"/>
      <c r="V104" s="131"/>
      <c r="W104" s="110"/>
      <c r="X104" s="110"/>
      <c r="Y104" s="110"/>
      <c r="Z104" s="110"/>
      <c r="AA104" s="131"/>
      <c r="AB104" s="132"/>
      <c r="AC104" s="110"/>
      <c r="AD104" s="110"/>
      <c r="AE104" s="110"/>
      <c r="AF104" s="110"/>
    </row>
    <row r="105">
      <c r="A105" s="125" t="s">
        <v>1355</v>
      </c>
      <c r="B105" s="125" t="s">
        <v>1356</v>
      </c>
      <c r="C105" s="126">
        <v>4.04725473E9</v>
      </c>
      <c r="D105" s="134">
        <v>-0.2010116209574123</v>
      </c>
      <c r="E105" s="128">
        <v>8.77</v>
      </c>
      <c r="F105" s="128">
        <v>8.36</v>
      </c>
      <c r="G105" s="128">
        <v>8.86</v>
      </c>
      <c r="H105" s="129">
        <v>7.71</v>
      </c>
      <c r="I105" s="128">
        <v>5.53</v>
      </c>
      <c r="J105" s="129">
        <v>5.15</v>
      </c>
      <c r="K105" s="128">
        <v>15.34</v>
      </c>
      <c r="L105" s="128">
        <v>14.96</v>
      </c>
      <c r="M105" s="128">
        <v>16.89</v>
      </c>
      <c r="N105" s="129">
        <v>14.99</v>
      </c>
      <c r="O105" s="127">
        <v>-0.04904306220095696</v>
      </c>
      <c r="P105" s="130">
        <v>-0.14915693904020746</v>
      </c>
      <c r="Q105" s="127">
        <v>-0.07378640776699026</v>
      </c>
      <c r="R105" s="127">
        <v>-0.02540106951871651</v>
      </c>
      <c r="S105" s="127">
        <v>-0.12675116744496334</v>
      </c>
      <c r="T105" s="110"/>
      <c r="U105" s="110"/>
      <c r="V105" s="131"/>
      <c r="W105" s="110"/>
      <c r="X105" s="110"/>
      <c r="Y105" s="110"/>
      <c r="Z105" s="110"/>
      <c r="AA105" s="131"/>
      <c r="AB105" s="132"/>
      <c r="AC105" s="110"/>
      <c r="AD105" s="110"/>
      <c r="AE105" s="110"/>
      <c r="AF105" s="110"/>
    </row>
    <row r="106">
      <c r="A106" s="125" t="s">
        <v>1357</v>
      </c>
      <c r="B106" s="125" t="s">
        <v>1358</v>
      </c>
      <c r="C106" s="126">
        <v>3.540137156E9</v>
      </c>
      <c r="D106" s="134">
        <v>-0.20101491853246561</v>
      </c>
      <c r="E106" s="128">
        <v>17.93</v>
      </c>
      <c r="F106" s="128">
        <v>19.94</v>
      </c>
      <c r="G106" s="128">
        <v>13.4</v>
      </c>
      <c r="H106" s="129">
        <v>12.5</v>
      </c>
      <c r="I106" s="128">
        <v>10.51</v>
      </c>
      <c r="J106" s="129">
        <v>9.56</v>
      </c>
      <c r="K106" s="128">
        <v>14.14</v>
      </c>
      <c r="L106" s="128">
        <v>13.47</v>
      </c>
      <c r="M106" s="128">
        <v>18.09</v>
      </c>
      <c r="N106" s="129">
        <v>14.04</v>
      </c>
      <c r="O106" s="127">
        <v>0.10080240722166507</v>
      </c>
      <c r="P106" s="130">
        <v>-0.07200000000000002</v>
      </c>
      <c r="Q106" s="127">
        <v>-0.09937238493723842</v>
      </c>
      <c r="R106" s="127">
        <v>-0.04974016332590942</v>
      </c>
      <c r="S106" s="127">
        <v>-0.28846153846153855</v>
      </c>
      <c r="T106" s="110"/>
      <c r="U106" s="110"/>
      <c r="V106" s="131"/>
      <c r="W106" s="110"/>
      <c r="X106" s="110"/>
      <c r="Y106" s="110"/>
      <c r="Z106" s="110"/>
      <c r="AA106" s="131"/>
      <c r="AB106" s="132"/>
      <c r="AC106" s="110"/>
      <c r="AD106" s="110"/>
      <c r="AE106" s="110"/>
      <c r="AF106" s="110"/>
    </row>
    <row r="107">
      <c r="A107" s="125" t="s">
        <v>1359</v>
      </c>
      <c r="B107" s="125" t="s">
        <v>1360</v>
      </c>
      <c r="C107" s="126">
        <v>4.326701128E9</v>
      </c>
      <c r="D107" s="134">
        <v>-0.20362082902978806</v>
      </c>
      <c r="E107" s="128" t="e">
        <v>#N/A</v>
      </c>
      <c r="F107" s="128" t="e">
        <v>#N/A</v>
      </c>
      <c r="G107" s="128" t="e">
        <v>#N/A</v>
      </c>
      <c r="H107" s="129" t="e">
        <v>#N/A</v>
      </c>
      <c r="I107" s="128" t="e">
        <v>#N/A</v>
      </c>
      <c r="J107" s="129" t="e">
        <v>#N/A</v>
      </c>
      <c r="K107" s="128">
        <v>50.51</v>
      </c>
      <c r="L107" s="128">
        <v>48.85</v>
      </c>
      <c r="M107" s="128">
        <v>106.47</v>
      </c>
      <c r="N107" s="129">
        <v>94.77</v>
      </c>
      <c r="O107" s="127" t="e">
        <v>#N/A</v>
      </c>
      <c r="P107" s="130" t="e">
        <v>#N/A</v>
      </c>
      <c r="Q107" s="127" t="e">
        <v>#N/A</v>
      </c>
      <c r="R107" s="127">
        <v>-0.03398157625383821</v>
      </c>
      <c r="S107" s="127">
        <v>-0.12345679012345682</v>
      </c>
      <c r="T107" s="110"/>
      <c r="U107" s="110"/>
      <c r="V107" s="131"/>
      <c r="W107" s="110"/>
      <c r="X107" s="110"/>
      <c r="Y107" s="110"/>
      <c r="Z107" s="110"/>
      <c r="AA107" s="131"/>
      <c r="AB107" s="132"/>
      <c r="AC107" s="110"/>
      <c r="AD107" s="110"/>
      <c r="AE107" s="110"/>
      <c r="AF107" s="110"/>
    </row>
    <row r="108">
      <c r="A108" s="125" t="s">
        <v>1361</v>
      </c>
      <c r="B108" s="125" t="s">
        <v>1362</v>
      </c>
      <c r="C108" s="126">
        <v>3.421749661E9</v>
      </c>
      <c r="D108" s="134">
        <v>-0.20568814704225707</v>
      </c>
      <c r="E108" s="128">
        <v>7.44</v>
      </c>
      <c r="F108" s="128">
        <v>8.18</v>
      </c>
      <c r="G108" s="128">
        <v>7.63</v>
      </c>
      <c r="H108" s="129">
        <v>6.9</v>
      </c>
      <c r="I108" s="128">
        <v>9.99</v>
      </c>
      <c r="J108" s="129">
        <v>9.74</v>
      </c>
      <c r="K108" s="128">
        <v>21.42</v>
      </c>
      <c r="L108" s="128">
        <v>20.65</v>
      </c>
      <c r="M108" s="128">
        <v>80.79</v>
      </c>
      <c r="N108" s="129">
        <v>62.01</v>
      </c>
      <c r="O108" s="127">
        <v>0.09046454767726153</v>
      </c>
      <c r="P108" s="130">
        <v>-0.10579710144927529</v>
      </c>
      <c r="Q108" s="127">
        <v>-0.02566735112936345</v>
      </c>
      <c r="R108" s="127">
        <v>-0.037288135593220494</v>
      </c>
      <c r="S108" s="127">
        <v>-0.3028543783260766</v>
      </c>
      <c r="T108" s="110"/>
      <c r="U108" s="110"/>
      <c r="V108" s="131"/>
      <c r="W108" s="110"/>
      <c r="X108" s="110"/>
      <c r="Y108" s="110"/>
      <c r="Z108" s="110"/>
      <c r="AA108" s="131"/>
      <c r="AB108" s="132"/>
      <c r="AC108" s="110"/>
      <c r="AD108" s="110"/>
      <c r="AE108" s="110"/>
      <c r="AF108" s="110"/>
    </row>
    <row r="109">
      <c r="A109" s="125" t="s">
        <v>1363</v>
      </c>
      <c r="B109" s="125" t="s">
        <v>1364</v>
      </c>
      <c r="C109" s="126">
        <v>6.617146761E9</v>
      </c>
      <c r="D109" s="134">
        <v>-0.20720246835864714</v>
      </c>
      <c r="E109" s="128">
        <v>17.81</v>
      </c>
      <c r="F109" s="128">
        <v>17.34</v>
      </c>
      <c r="G109" s="128">
        <v>22.6</v>
      </c>
      <c r="H109" s="129">
        <v>20.54</v>
      </c>
      <c r="I109" s="128">
        <v>41.92</v>
      </c>
      <c r="J109" s="129">
        <v>39.98</v>
      </c>
      <c r="K109" s="128">
        <v>38.15</v>
      </c>
      <c r="L109" s="128">
        <v>37.92</v>
      </c>
      <c r="M109" s="128">
        <v>85.72</v>
      </c>
      <c r="N109" s="129">
        <v>71.92</v>
      </c>
      <c r="O109" s="127">
        <v>-0.027104959630911123</v>
      </c>
      <c r="P109" s="130">
        <v>-0.10029211295034092</v>
      </c>
      <c r="Q109" s="127">
        <v>-0.04852426213106566</v>
      </c>
      <c r="R109" s="127">
        <v>-0.006065400843881774</v>
      </c>
      <c r="S109" s="127">
        <v>-0.19187986651835368</v>
      </c>
      <c r="T109" s="110"/>
      <c r="U109" s="110"/>
      <c r="V109" s="131"/>
      <c r="W109" s="110"/>
      <c r="X109" s="110"/>
      <c r="Y109" s="110"/>
      <c r="Z109" s="110"/>
      <c r="AA109" s="131"/>
      <c r="AB109" s="132"/>
      <c r="AC109" s="110"/>
      <c r="AD109" s="110"/>
      <c r="AE109" s="110"/>
      <c r="AF109" s="110"/>
    </row>
    <row r="110">
      <c r="A110" s="125" t="s">
        <v>1365</v>
      </c>
      <c r="B110" s="125" t="s">
        <v>1366</v>
      </c>
      <c r="C110" s="126">
        <v>3.378686659E9</v>
      </c>
      <c r="D110" s="134">
        <v>-0.21095993145085132</v>
      </c>
      <c r="E110" s="128">
        <v>5.92</v>
      </c>
      <c r="F110" s="128">
        <v>5.52</v>
      </c>
      <c r="G110" s="128">
        <v>7.25</v>
      </c>
      <c r="H110" s="129">
        <v>6.38</v>
      </c>
      <c r="I110" s="128">
        <v>8.53</v>
      </c>
      <c r="J110" s="129">
        <v>8.51</v>
      </c>
      <c r="K110" s="128">
        <v>21.67</v>
      </c>
      <c r="L110" s="133">
        <v>20.4</v>
      </c>
      <c r="M110" s="128">
        <v>55.74</v>
      </c>
      <c r="N110" s="129">
        <v>51.29</v>
      </c>
      <c r="O110" s="127">
        <v>-0.0724637681159421</v>
      </c>
      <c r="P110" s="130">
        <v>-0.13636363636363638</v>
      </c>
      <c r="Q110" s="127">
        <v>-0.0023501762632196915</v>
      </c>
      <c r="R110" s="127">
        <v>-0.062254901960784474</v>
      </c>
      <c r="S110" s="127">
        <v>-0.08676155195944635</v>
      </c>
      <c r="T110" s="110"/>
      <c r="U110" s="110"/>
      <c r="V110" s="131"/>
      <c r="W110" s="110"/>
      <c r="X110" s="110"/>
      <c r="Y110" s="110"/>
      <c r="Z110" s="110"/>
      <c r="AA110" s="131"/>
      <c r="AB110" s="132"/>
      <c r="AC110" s="110"/>
      <c r="AD110" s="110"/>
      <c r="AE110" s="110"/>
      <c r="AF110" s="110"/>
    </row>
    <row r="111">
      <c r="A111" s="125" t="s">
        <v>1367</v>
      </c>
      <c r="B111" s="125" t="s">
        <v>1368</v>
      </c>
      <c r="C111" s="126">
        <v>3.996160594E9</v>
      </c>
      <c r="D111" s="134">
        <v>-0.2123806705921477</v>
      </c>
      <c r="E111" s="128">
        <v>4.37</v>
      </c>
      <c r="F111" s="128">
        <v>4.37</v>
      </c>
      <c r="G111" s="128">
        <v>5.83</v>
      </c>
      <c r="H111" s="129">
        <v>5.54</v>
      </c>
      <c r="I111" s="128">
        <v>7.71</v>
      </c>
      <c r="J111" s="129">
        <v>7.34</v>
      </c>
      <c r="K111" s="128">
        <v>12.7</v>
      </c>
      <c r="L111" s="128">
        <v>12.5</v>
      </c>
      <c r="M111" s="128">
        <v>21.84</v>
      </c>
      <c r="N111" s="129">
        <v>19.85</v>
      </c>
      <c r="O111" s="127">
        <v>0.0</v>
      </c>
      <c r="P111" s="130">
        <v>-0.05234657039711192</v>
      </c>
      <c r="Q111" s="127">
        <v>-0.05040871934604906</v>
      </c>
      <c r="R111" s="127">
        <v>-0.015999999999999945</v>
      </c>
      <c r="S111" s="127">
        <v>-0.10025188916876565</v>
      </c>
      <c r="T111" s="110"/>
      <c r="U111" s="110"/>
      <c r="V111" s="131"/>
      <c r="W111" s="110"/>
      <c r="X111" s="110"/>
      <c r="Y111" s="110"/>
      <c r="Z111" s="110"/>
      <c r="AA111" s="131"/>
      <c r="AB111" s="132"/>
      <c r="AC111" s="110"/>
      <c r="AD111" s="110"/>
      <c r="AE111" s="110"/>
      <c r="AF111" s="110"/>
    </row>
    <row r="112">
      <c r="A112" s="125" t="s">
        <v>1369</v>
      </c>
      <c r="B112" s="125" t="s">
        <v>1370</v>
      </c>
      <c r="C112" s="126">
        <v>4.387674714E9</v>
      </c>
      <c r="D112" s="134">
        <v>-0.21260569634065468</v>
      </c>
      <c r="E112" s="128">
        <v>34.19</v>
      </c>
      <c r="F112" s="128">
        <v>35.34</v>
      </c>
      <c r="G112" s="128">
        <v>54.58</v>
      </c>
      <c r="H112" s="129">
        <v>52.76</v>
      </c>
      <c r="I112" s="128">
        <v>57.16</v>
      </c>
      <c r="J112" s="129">
        <v>54.11</v>
      </c>
      <c r="K112" s="128">
        <v>95.88</v>
      </c>
      <c r="L112" s="128">
        <v>93.63</v>
      </c>
      <c r="M112" s="128">
        <v>152.5</v>
      </c>
      <c r="N112" s="129">
        <v>135.1</v>
      </c>
      <c r="O112" s="127">
        <v>0.032541029994340845</v>
      </c>
      <c r="P112" s="130">
        <v>-0.034495830174374534</v>
      </c>
      <c r="Q112" s="127">
        <v>-0.05636666050637585</v>
      </c>
      <c r="R112" s="127">
        <v>-0.024030759371996155</v>
      </c>
      <c r="S112" s="127">
        <v>-0.12879348630643972</v>
      </c>
      <c r="T112" s="110"/>
      <c r="U112" s="110"/>
      <c r="V112" s="131"/>
      <c r="W112" s="110"/>
      <c r="X112" s="110"/>
      <c r="Y112" s="110"/>
      <c r="Z112" s="110"/>
      <c r="AA112" s="131"/>
      <c r="AB112" s="132"/>
      <c r="AC112" s="110"/>
      <c r="AD112" s="110"/>
      <c r="AE112" s="110"/>
      <c r="AF112" s="110"/>
    </row>
    <row r="113">
      <c r="A113" s="125" t="s">
        <v>1371</v>
      </c>
      <c r="B113" s="125" t="s">
        <v>1372</v>
      </c>
      <c r="C113" s="126">
        <v>4.332625886E9</v>
      </c>
      <c r="D113" s="134">
        <v>-0.2132625941473528</v>
      </c>
      <c r="E113" s="128" t="e">
        <v>#N/A</v>
      </c>
      <c r="F113" s="128" t="e">
        <v>#N/A</v>
      </c>
      <c r="G113" s="128" t="e">
        <v>#N/A</v>
      </c>
      <c r="H113" s="129" t="e">
        <v>#N/A</v>
      </c>
      <c r="I113" s="128" t="e">
        <v>#N/A</v>
      </c>
      <c r="J113" s="129" t="e">
        <v>#N/A</v>
      </c>
      <c r="K113" s="128">
        <v>44.22</v>
      </c>
      <c r="L113" s="128">
        <v>42.82</v>
      </c>
      <c r="M113" s="128">
        <v>96.69</v>
      </c>
      <c r="N113" s="129">
        <v>69.37</v>
      </c>
      <c r="O113" s="127" t="e">
        <v>#N/A</v>
      </c>
      <c r="P113" s="130" t="e">
        <v>#N/A</v>
      </c>
      <c r="Q113" s="127" t="e">
        <v>#N/A</v>
      </c>
      <c r="R113" s="127">
        <v>-0.03269500233535728</v>
      </c>
      <c r="S113" s="127">
        <v>-0.3938301859593483</v>
      </c>
      <c r="T113" s="110"/>
      <c r="U113" s="110"/>
      <c r="V113" s="131"/>
      <c r="W113" s="110"/>
      <c r="X113" s="110"/>
      <c r="Y113" s="110"/>
      <c r="Z113" s="110"/>
      <c r="AA113" s="131"/>
      <c r="AB113" s="132"/>
      <c r="AC113" s="110"/>
      <c r="AD113" s="110"/>
      <c r="AE113" s="110"/>
      <c r="AF113" s="110"/>
    </row>
    <row r="114">
      <c r="A114" s="125" t="s">
        <v>1373</v>
      </c>
      <c r="B114" s="125" t="s">
        <v>1374</v>
      </c>
      <c r="C114" s="126">
        <v>3.314500512E9</v>
      </c>
      <c r="D114" s="134">
        <v>-0.2151534437811994</v>
      </c>
      <c r="E114" s="128">
        <v>13.44</v>
      </c>
      <c r="F114" s="128">
        <v>12.06</v>
      </c>
      <c r="G114" s="128">
        <v>18.02</v>
      </c>
      <c r="H114" s="129">
        <v>15.27</v>
      </c>
      <c r="I114" s="128">
        <v>9.69</v>
      </c>
      <c r="J114" s="129">
        <v>8.49</v>
      </c>
      <c r="K114" s="128">
        <v>19.32</v>
      </c>
      <c r="L114" s="128">
        <v>18.48</v>
      </c>
      <c r="M114" s="128">
        <v>29.88</v>
      </c>
      <c r="N114" s="129">
        <v>18.74</v>
      </c>
      <c r="O114" s="127">
        <v>-0.11442786069651732</v>
      </c>
      <c r="P114" s="130">
        <v>-0.18009168303863785</v>
      </c>
      <c r="Q114" s="127">
        <v>-0.1413427561837455</v>
      </c>
      <c r="R114" s="127">
        <v>-0.04545454545454545</v>
      </c>
      <c r="S114" s="127">
        <v>-0.5944503735325508</v>
      </c>
      <c r="T114" s="110"/>
      <c r="U114" s="110"/>
      <c r="V114" s="131"/>
      <c r="W114" s="110"/>
      <c r="X114" s="110"/>
      <c r="Y114" s="110"/>
      <c r="Z114" s="110"/>
      <c r="AA114" s="131"/>
      <c r="AB114" s="132"/>
      <c r="AC114" s="110"/>
      <c r="AD114" s="110"/>
      <c r="AE114" s="110"/>
      <c r="AF114" s="110"/>
    </row>
    <row r="115">
      <c r="A115" s="125" t="s">
        <v>1375</v>
      </c>
      <c r="B115" s="125" t="s">
        <v>1376</v>
      </c>
      <c r="C115" s="126">
        <v>4.75551963E9</v>
      </c>
      <c r="D115" s="134">
        <v>-0.2195527925883649</v>
      </c>
      <c r="E115" s="128">
        <v>47.38</v>
      </c>
      <c r="F115" s="128">
        <v>51.14</v>
      </c>
      <c r="G115" s="128">
        <v>40.21</v>
      </c>
      <c r="H115" s="129">
        <v>38.44</v>
      </c>
      <c r="I115" s="128">
        <v>30.91</v>
      </c>
      <c r="J115" s="129">
        <v>27.86</v>
      </c>
      <c r="K115" s="128">
        <v>26.87</v>
      </c>
      <c r="L115" s="128">
        <v>25.38</v>
      </c>
      <c r="M115" s="128">
        <v>39.65</v>
      </c>
      <c r="N115" s="129">
        <v>20.26</v>
      </c>
      <c r="O115" s="127">
        <v>0.07352366053969492</v>
      </c>
      <c r="P115" s="130">
        <v>-0.04604578563995846</v>
      </c>
      <c r="Q115" s="127">
        <v>-0.10947595118449392</v>
      </c>
      <c r="R115" s="127">
        <v>-0.05870764381402687</v>
      </c>
      <c r="S115" s="127">
        <v>-0.9570582428430403</v>
      </c>
      <c r="T115" s="110"/>
      <c r="U115" s="110"/>
      <c r="V115" s="131"/>
      <c r="W115" s="110"/>
      <c r="X115" s="110"/>
      <c r="Y115" s="110"/>
      <c r="Z115" s="110"/>
      <c r="AA115" s="131"/>
      <c r="AB115" s="132"/>
      <c r="AC115" s="110"/>
      <c r="AD115" s="110"/>
      <c r="AE115" s="110"/>
      <c r="AF115" s="110"/>
    </row>
    <row r="116">
      <c r="A116" s="125" t="s">
        <v>1377</v>
      </c>
      <c r="B116" s="125" t="s">
        <v>1378</v>
      </c>
      <c r="C116" s="126">
        <v>3.628651673E9</v>
      </c>
      <c r="D116" s="134">
        <v>-0.21972272318482117</v>
      </c>
      <c r="E116" s="128">
        <v>16.16</v>
      </c>
      <c r="F116" s="128">
        <v>14.85</v>
      </c>
      <c r="G116" s="128">
        <v>24.71</v>
      </c>
      <c r="H116" s="129">
        <v>22.31</v>
      </c>
      <c r="I116" s="128">
        <v>11.58</v>
      </c>
      <c r="J116" s="129">
        <v>10.4</v>
      </c>
      <c r="K116" s="128">
        <v>12.84</v>
      </c>
      <c r="L116" s="128">
        <v>12.49</v>
      </c>
      <c r="M116" s="128">
        <v>16.31</v>
      </c>
      <c r="N116" s="129">
        <v>9.26</v>
      </c>
      <c r="O116" s="127">
        <v>-0.08821548821548825</v>
      </c>
      <c r="P116" s="130">
        <v>-0.10757507844016147</v>
      </c>
      <c r="Q116" s="127">
        <v>-0.11346153846153843</v>
      </c>
      <c r="R116" s="127">
        <v>-0.028022417934347447</v>
      </c>
      <c r="S116" s="127">
        <v>-0.7613390928725701</v>
      </c>
      <c r="T116" s="110"/>
      <c r="U116" s="110"/>
      <c r="V116" s="131"/>
      <c r="W116" s="110"/>
      <c r="X116" s="110"/>
      <c r="Y116" s="110"/>
      <c r="Z116" s="110"/>
      <c r="AA116" s="131"/>
      <c r="AB116" s="132"/>
      <c r="AC116" s="110"/>
      <c r="AD116" s="110"/>
      <c r="AE116" s="110"/>
      <c r="AF116" s="110"/>
    </row>
    <row r="117">
      <c r="A117" s="125" t="s">
        <v>1379</v>
      </c>
      <c r="B117" s="125" t="s">
        <v>1380</v>
      </c>
      <c r="C117" s="126">
        <v>3.378969634E9</v>
      </c>
      <c r="D117" s="134">
        <v>-0.22009389813261598</v>
      </c>
      <c r="E117" s="128" t="e">
        <v>#N/A</v>
      </c>
      <c r="F117" s="128" t="e">
        <v>#N/A</v>
      </c>
      <c r="G117" s="128" t="e">
        <v>#N/A</v>
      </c>
      <c r="H117" s="129" t="e">
        <v>#N/A</v>
      </c>
      <c r="I117" s="128" t="e">
        <v>#N/A</v>
      </c>
      <c r="J117" s="129" t="e">
        <v>#N/A</v>
      </c>
      <c r="K117" s="128">
        <v>15.58</v>
      </c>
      <c r="L117" s="128">
        <v>14.49</v>
      </c>
      <c r="M117" s="128">
        <v>20.57</v>
      </c>
      <c r="N117" s="129">
        <v>15.07</v>
      </c>
      <c r="O117" s="127" t="e">
        <v>#N/A</v>
      </c>
      <c r="P117" s="130" t="e">
        <v>#N/A</v>
      </c>
      <c r="Q117" s="127" t="e">
        <v>#N/A</v>
      </c>
      <c r="R117" s="127">
        <v>-0.07522429261559695</v>
      </c>
      <c r="S117" s="127">
        <v>-0.36496350364963503</v>
      </c>
      <c r="T117" s="110"/>
      <c r="U117" s="110"/>
      <c r="V117" s="131"/>
      <c r="W117" s="110"/>
      <c r="X117" s="110"/>
      <c r="Y117" s="110"/>
      <c r="Z117" s="110"/>
      <c r="AA117" s="131"/>
      <c r="AB117" s="132"/>
      <c r="AC117" s="110"/>
      <c r="AD117" s="110"/>
      <c r="AE117" s="110"/>
      <c r="AF117" s="110"/>
    </row>
    <row r="118">
      <c r="A118" s="125" t="s">
        <v>1381</v>
      </c>
      <c r="B118" s="125" t="s">
        <v>1382</v>
      </c>
      <c r="C118" s="126">
        <v>4.090843662E9</v>
      </c>
      <c r="D118" s="134">
        <v>-0.22111540931583745</v>
      </c>
      <c r="E118" s="128">
        <v>59.64</v>
      </c>
      <c r="F118" s="128">
        <v>57.51</v>
      </c>
      <c r="G118" s="128">
        <v>30.4</v>
      </c>
      <c r="H118" s="129">
        <v>24.75</v>
      </c>
      <c r="I118" s="128">
        <v>10.1</v>
      </c>
      <c r="J118" s="129">
        <v>9.05</v>
      </c>
      <c r="K118" s="128">
        <v>20.11</v>
      </c>
      <c r="L118" s="128">
        <v>19.04</v>
      </c>
      <c r="M118" s="128">
        <v>28.39</v>
      </c>
      <c r="N118" s="129">
        <v>17.02</v>
      </c>
      <c r="O118" s="127">
        <v>-0.037037037037037084</v>
      </c>
      <c r="P118" s="130">
        <v>-0.22828282828282823</v>
      </c>
      <c r="Q118" s="127">
        <v>-0.11602209944751368</v>
      </c>
      <c r="R118" s="127">
        <v>-0.056197478991596654</v>
      </c>
      <c r="S118" s="127">
        <v>-0.6680376028202116</v>
      </c>
      <c r="T118" s="110"/>
      <c r="U118" s="110"/>
      <c r="V118" s="131"/>
      <c r="W118" s="110"/>
      <c r="X118" s="110"/>
      <c r="Y118" s="110"/>
      <c r="Z118" s="110"/>
      <c r="AA118" s="131"/>
      <c r="AB118" s="132"/>
      <c r="AC118" s="110"/>
      <c r="AD118" s="110"/>
      <c r="AE118" s="110"/>
      <c r="AF118" s="110"/>
    </row>
    <row r="119">
      <c r="A119" s="125" t="s">
        <v>1383</v>
      </c>
      <c r="B119" s="125" t="s">
        <v>1384</v>
      </c>
      <c r="C119" s="126">
        <v>3.443273387E9</v>
      </c>
      <c r="D119" s="134">
        <v>-0.22580726452839936</v>
      </c>
      <c r="E119" s="128">
        <v>5.27</v>
      </c>
      <c r="F119" s="128" t="e">
        <v>#N/A</v>
      </c>
      <c r="G119" s="128">
        <v>5.13</v>
      </c>
      <c r="H119" s="129">
        <v>5.19</v>
      </c>
      <c r="I119" s="128">
        <v>6.55</v>
      </c>
      <c r="J119" s="129">
        <v>6.41</v>
      </c>
      <c r="K119" s="128">
        <v>19.71</v>
      </c>
      <c r="L119" s="128">
        <v>18.92</v>
      </c>
      <c r="M119" s="128">
        <v>30.23</v>
      </c>
      <c r="N119" s="129">
        <v>16.33</v>
      </c>
      <c r="O119" s="127" t="e">
        <v>#N/A</v>
      </c>
      <c r="P119" s="130">
        <v>0.011560693641618592</v>
      </c>
      <c r="Q119" s="127">
        <v>-0.021840873634945347</v>
      </c>
      <c r="R119" s="127">
        <v>-0.04175475687103589</v>
      </c>
      <c r="S119" s="127">
        <v>-0.8511941212492348</v>
      </c>
      <c r="T119" s="110"/>
      <c r="U119" s="110"/>
      <c r="V119" s="131"/>
      <c r="W119" s="110"/>
      <c r="X119" s="110"/>
      <c r="Y119" s="110"/>
      <c r="Z119" s="110"/>
      <c r="AA119" s="131"/>
      <c r="AB119" s="132"/>
      <c r="AC119" s="110"/>
      <c r="AD119" s="110"/>
      <c r="AE119" s="110"/>
      <c r="AF119" s="110"/>
    </row>
    <row r="120">
      <c r="A120" s="125" t="s">
        <v>1385</v>
      </c>
      <c r="B120" s="125" t="s">
        <v>1386</v>
      </c>
      <c r="C120" s="126">
        <v>3.503877015E9</v>
      </c>
      <c r="D120" s="134">
        <v>-0.22947761194029842</v>
      </c>
      <c r="E120" s="128" t="e">
        <v>#N/A</v>
      </c>
      <c r="F120" s="128" t="e">
        <v>#N/A</v>
      </c>
      <c r="G120" s="128" t="e">
        <v>#N/A</v>
      </c>
      <c r="H120" s="129" t="e">
        <v>#N/A</v>
      </c>
      <c r="I120" s="128" t="e">
        <v>#N/A</v>
      </c>
      <c r="J120" s="129" t="e">
        <v>#N/A</v>
      </c>
      <c r="K120" s="128" t="e">
        <v>#N/A</v>
      </c>
      <c r="L120" s="128" t="e">
        <v>#N/A</v>
      </c>
      <c r="M120" s="128">
        <v>13.18</v>
      </c>
      <c r="N120" s="129">
        <v>10.72</v>
      </c>
      <c r="O120" s="127" t="e">
        <v>#N/A</v>
      </c>
      <c r="P120" s="130" t="e">
        <v>#N/A</v>
      </c>
      <c r="Q120" s="127" t="e">
        <v>#N/A</v>
      </c>
      <c r="R120" s="127" t="e">
        <v>#N/A</v>
      </c>
      <c r="S120" s="127">
        <v>-0.22947761194029842</v>
      </c>
      <c r="T120" s="110"/>
      <c r="U120" s="110"/>
      <c r="V120" s="131"/>
      <c r="W120" s="110"/>
      <c r="X120" s="110"/>
      <c r="Y120" s="110"/>
      <c r="Z120" s="110"/>
      <c r="AA120" s="131"/>
      <c r="AB120" s="132"/>
      <c r="AC120" s="110"/>
      <c r="AD120" s="110"/>
      <c r="AE120" s="110"/>
      <c r="AF120" s="110"/>
    </row>
    <row r="121">
      <c r="A121" s="125" t="s">
        <v>1387</v>
      </c>
      <c r="B121" s="125" t="s">
        <v>1388</v>
      </c>
      <c r="C121" s="126">
        <v>3.29018704E9</v>
      </c>
      <c r="D121" s="134">
        <v>-0.22974704448157787</v>
      </c>
      <c r="E121" s="128" t="e">
        <v>#N/A</v>
      </c>
      <c r="F121" s="128" t="e">
        <v>#N/A</v>
      </c>
      <c r="G121" s="128">
        <v>8.83</v>
      </c>
      <c r="H121" s="129">
        <v>8.25</v>
      </c>
      <c r="I121" s="128">
        <v>6.36</v>
      </c>
      <c r="J121" s="129">
        <v>5.63</v>
      </c>
      <c r="K121" s="128">
        <v>13.34</v>
      </c>
      <c r="L121" s="128">
        <v>12.44</v>
      </c>
      <c r="M121" s="128">
        <v>25.26</v>
      </c>
      <c r="N121" s="129">
        <v>15.34</v>
      </c>
      <c r="O121" s="127" t="e">
        <v>#N/A</v>
      </c>
      <c r="P121" s="130">
        <v>-0.07030303030303031</v>
      </c>
      <c r="Q121" s="127">
        <v>-0.12966252220248675</v>
      </c>
      <c r="R121" s="127">
        <v>-0.07234726688102897</v>
      </c>
      <c r="S121" s="127">
        <v>-0.6466753585397654</v>
      </c>
      <c r="T121" s="110"/>
      <c r="U121" s="110"/>
      <c r="V121" s="131"/>
      <c r="W121" s="110"/>
      <c r="X121" s="110"/>
      <c r="Y121" s="110"/>
      <c r="Z121" s="110"/>
      <c r="AA121" s="131"/>
      <c r="AB121" s="132"/>
      <c r="AC121" s="110"/>
      <c r="AD121" s="110"/>
      <c r="AE121" s="110"/>
      <c r="AF121" s="110"/>
    </row>
    <row r="122">
      <c r="A122" s="125" t="s">
        <v>1389</v>
      </c>
      <c r="B122" s="125" t="s">
        <v>1390</v>
      </c>
      <c r="C122" s="126">
        <v>3.745767375E9</v>
      </c>
      <c r="D122" s="134">
        <v>-0.2326291453498727</v>
      </c>
      <c r="E122" s="128">
        <v>26.01</v>
      </c>
      <c r="F122" s="128">
        <v>21.13</v>
      </c>
      <c r="G122" s="128">
        <v>24.0</v>
      </c>
      <c r="H122" s="129">
        <v>21.06</v>
      </c>
      <c r="I122" s="128">
        <v>21.05</v>
      </c>
      <c r="J122" s="129">
        <v>19.43</v>
      </c>
      <c r="K122" s="128">
        <v>36.54</v>
      </c>
      <c r="L122" s="128">
        <v>35.52</v>
      </c>
      <c r="M122" s="128">
        <v>46.97</v>
      </c>
      <c r="N122" s="129">
        <v>27.95</v>
      </c>
      <c r="O122" s="127">
        <v>-0.23095125414103185</v>
      </c>
      <c r="P122" s="130">
        <v>-0.13960113960113968</v>
      </c>
      <c r="Q122" s="127">
        <v>-0.08337622233659295</v>
      </c>
      <c r="R122" s="127">
        <v>-0.028716216216216103</v>
      </c>
      <c r="S122" s="127">
        <v>-0.6805008944543828</v>
      </c>
      <c r="T122" s="110"/>
      <c r="U122" s="110"/>
      <c r="V122" s="131"/>
      <c r="W122" s="110"/>
      <c r="X122" s="110"/>
      <c r="Y122" s="110"/>
      <c r="Z122" s="110"/>
      <c r="AA122" s="131"/>
      <c r="AB122" s="132"/>
      <c r="AC122" s="110"/>
      <c r="AD122" s="110"/>
      <c r="AE122" s="110"/>
      <c r="AF122" s="110"/>
    </row>
    <row r="123">
      <c r="A123" s="125" t="s">
        <v>1391</v>
      </c>
      <c r="B123" s="125" t="s">
        <v>1392</v>
      </c>
      <c r="C123" s="126">
        <v>4.813206732E9</v>
      </c>
      <c r="D123" s="134">
        <v>-0.23265176334718463</v>
      </c>
      <c r="E123" s="128" t="e">
        <v>#N/A</v>
      </c>
      <c r="F123" s="128" t="e">
        <v>#N/A</v>
      </c>
      <c r="G123" s="128">
        <v>12.04</v>
      </c>
      <c r="H123" s="129">
        <v>10.4</v>
      </c>
      <c r="I123" s="128">
        <v>14.97</v>
      </c>
      <c r="J123" s="129">
        <v>13.63</v>
      </c>
      <c r="K123" s="128">
        <v>7.33</v>
      </c>
      <c r="L123" s="128">
        <v>7.08</v>
      </c>
      <c r="M123" s="128">
        <v>10.18</v>
      </c>
      <c r="N123" s="129">
        <v>6.21</v>
      </c>
      <c r="O123" s="127" t="e">
        <v>#N/A</v>
      </c>
      <c r="P123" s="130">
        <v>-0.15769230769230758</v>
      </c>
      <c r="Q123" s="127">
        <v>-0.09831254585473219</v>
      </c>
      <c r="R123" s="127">
        <v>-0.03531073446327684</v>
      </c>
      <c r="S123" s="127">
        <v>-0.6392914653784219</v>
      </c>
      <c r="T123" s="110"/>
      <c r="U123" s="110"/>
      <c r="V123" s="131"/>
      <c r="W123" s="110"/>
      <c r="X123" s="110"/>
      <c r="Y123" s="110"/>
      <c r="Z123" s="110"/>
      <c r="AA123" s="131"/>
      <c r="AB123" s="132"/>
      <c r="AC123" s="110"/>
      <c r="AD123" s="110"/>
      <c r="AE123" s="110"/>
      <c r="AF123" s="110"/>
    </row>
    <row r="124">
      <c r="A124" s="125" t="s">
        <v>1393</v>
      </c>
      <c r="B124" s="125" t="s">
        <v>1394</v>
      </c>
      <c r="C124" s="126">
        <v>7.288257213E9</v>
      </c>
      <c r="D124" s="134">
        <v>-0.23580435331480604</v>
      </c>
      <c r="E124" s="128">
        <v>37.49</v>
      </c>
      <c r="F124" s="128">
        <v>34.28</v>
      </c>
      <c r="G124" s="128">
        <v>32.23</v>
      </c>
      <c r="H124" s="129">
        <v>28.54</v>
      </c>
      <c r="I124" s="128">
        <v>32.53</v>
      </c>
      <c r="J124" s="129">
        <v>29.39</v>
      </c>
      <c r="K124" s="128">
        <v>64.16</v>
      </c>
      <c r="L124" s="128">
        <v>62.38</v>
      </c>
      <c r="M124" s="128">
        <v>177.72</v>
      </c>
      <c r="N124" s="129">
        <v>97.61</v>
      </c>
      <c r="O124" s="127">
        <v>-0.09364060676779465</v>
      </c>
      <c r="P124" s="130">
        <v>-0.12929222144358787</v>
      </c>
      <c r="Q124" s="127">
        <v>-0.10683906090506977</v>
      </c>
      <c r="R124" s="127">
        <v>-0.02853478679063793</v>
      </c>
      <c r="S124" s="127">
        <v>-0.8207150906669398</v>
      </c>
      <c r="T124" s="110"/>
      <c r="U124" s="110"/>
      <c r="V124" s="131"/>
      <c r="W124" s="110"/>
      <c r="X124" s="110"/>
      <c r="Y124" s="110"/>
      <c r="Z124" s="110"/>
      <c r="AA124" s="131"/>
      <c r="AB124" s="132"/>
      <c r="AC124" s="110"/>
      <c r="AD124" s="110"/>
      <c r="AE124" s="110"/>
      <c r="AF124" s="110"/>
    </row>
    <row r="125">
      <c r="A125" s="125" t="s">
        <v>1395</v>
      </c>
      <c r="B125" s="125" t="s">
        <v>1396</v>
      </c>
      <c r="C125" s="126">
        <v>4.035624125E9</v>
      </c>
      <c r="D125" s="134">
        <v>-0.2420054076315128</v>
      </c>
      <c r="E125" s="128" t="e">
        <v>#N/A</v>
      </c>
      <c r="F125" s="128" t="e">
        <v>#N/A</v>
      </c>
      <c r="G125" s="128" t="e">
        <v>#N/A</v>
      </c>
      <c r="H125" s="129" t="e">
        <v>#N/A</v>
      </c>
      <c r="I125" s="128" t="e">
        <v>#N/A</v>
      </c>
      <c r="J125" s="129" t="e">
        <v>#N/A</v>
      </c>
      <c r="K125" s="128">
        <v>17.71</v>
      </c>
      <c r="L125" s="128">
        <v>16.74</v>
      </c>
      <c r="M125" s="128">
        <v>58.54</v>
      </c>
      <c r="N125" s="129">
        <v>41.05</v>
      </c>
      <c r="O125" s="127" t="e">
        <v>#N/A</v>
      </c>
      <c r="P125" s="130" t="e">
        <v>#N/A</v>
      </c>
      <c r="Q125" s="127" t="e">
        <v>#N/A</v>
      </c>
      <c r="R125" s="127">
        <v>-0.05794504181600971</v>
      </c>
      <c r="S125" s="127">
        <v>-0.4260657734470159</v>
      </c>
      <c r="T125" s="110"/>
      <c r="U125" s="110"/>
      <c r="V125" s="131"/>
      <c r="W125" s="110"/>
      <c r="X125" s="110"/>
      <c r="Y125" s="110"/>
      <c r="Z125" s="110"/>
      <c r="AA125" s="131"/>
      <c r="AB125" s="132"/>
      <c r="AC125" s="110"/>
      <c r="AD125" s="110"/>
      <c r="AE125" s="110"/>
      <c r="AF125" s="110"/>
    </row>
    <row r="126">
      <c r="A126" s="125" t="s">
        <v>1397</v>
      </c>
      <c r="B126" s="125" t="s">
        <v>1398</v>
      </c>
      <c r="C126" s="126">
        <v>5.087351983E9</v>
      </c>
      <c r="D126" s="134">
        <v>-0.24226621490580555</v>
      </c>
      <c r="E126" s="128">
        <v>4.26</v>
      </c>
      <c r="F126" s="128">
        <v>4.18</v>
      </c>
      <c r="G126" s="128">
        <v>4.52</v>
      </c>
      <c r="H126" s="129">
        <v>4.44</v>
      </c>
      <c r="I126" s="128">
        <v>5.4</v>
      </c>
      <c r="J126" s="129">
        <v>5.16</v>
      </c>
      <c r="K126" s="128">
        <v>22.44</v>
      </c>
      <c r="L126" s="128">
        <v>21.71</v>
      </c>
      <c r="M126" s="128">
        <v>52.33</v>
      </c>
      <c r="N126" s="129">
        <v>24.99</v>
      </c>
      <c r="O126" s="127">
        <v>-0.01913875598086126</v>
      </c>
      <c r="P126" s="130">
        <v>-0.018018018018017834</v>
      </c>
      <c r="Q126" s="127">
        <v>-0.046511627906976785</v>
      </c>
      <c r="R126" s="127">
        <v>-0.0336250575771534</v>
      </c>
      <c r="S126" s="127">
        <v>-1.0940376150460185</v>
      </c>
      <c r="T126" s="110"/>
      <c r="U126" s="110"/>
      <c r="V126" s="131"/>
      <c r="W126" s="110"/>
      <c r="X126" s="110"/>
      <c r="Y126" s="110"/>
      <c r="Z126" s="110"/>
      <c r="AA126" s="131"/>
      <c r="AB126" s="132"/>
      <c r="AC126" s="110"/>
      <c r="AD126" s="110"/>
      <c r="AE126" s="110"/>
      <c r="AF126" s="110"/>
    </row>
    <row r="127">
      <c r="A127" s="125" t="s">
        <v>1399</v>
      </c>
      <c r="B127" s="125" t="s">
        <v>1400</v>
      </c>
      <c r="C127" s="126">
        <v>4.250817444E9</v>
      </c>
      <c r="D127" s="134">
        <v>-0.2445885204737969</v>
      </c>
      <c r="E127" s="128" t="e">
        <v>#N/A</v>
      </c>
      <c r="F127" s="128" t="e">
        <v>#N/A</v>
      </c>
      <c r="G127" s="128" t="e">
        <v>#N/A</v>
      </c>
      <c r="H127" s="129" t="e">
        <v>#N/A</v>
      </c>
      <c r="I127" s="128" t="e">
        <v>#N/A</v>
      </c>
      <c r="J127" s="129" t="e">
        <v>#N/A</v>
      </c>
      <c r="K127" s="128">
        <v>27.19</v>
      </c>
      <c r="L127" s="128">
        <v>26.34</v>
      </c>
      <c r="M127" s="128">
        <v>49.36</v>
      </c>
      <c r="N127" s="129">
        <v>33.88</v>
      </c>
      <c r="O127" s="127" t="e">
        <v>#N/A</v>
      </c>
      <c r="P127" s="130" t="e">
        <v>#N/A</v>
      </c>
      <c r="Q127" s="127" t="e">
        <v>#N/A</v>
      </c>
      <c r="R127" s="127">
        <v>-0.03227031131359155</v>
      </c>
      <c r="S127" s="127">
        <v>-0.45690672963400225</v>
      </c>
      <c r="T127" s="110"/>
      <c r="U127" s="110"/>
      <c r="V127" s="131"/>
      <c r="W127" s="110"/>
      <c r="X127" s="110"/>
      <c r="Y127" s="110"/>
      <c r="Z127" s="110"/>
      <c r="AA127" s="131"/>
      <c r="AB127" s="132"/>
      <c r="AC127" s="110"/>
      <c r="AD127" s="110"/>
      <c r="AE127" s="110"/>
      <c r="AF127" s="110"/>
    </row>
    <row r="128">
      <c r="A128" s="125" t="s">
        <v>1401</v>
      </c>
      <c r="B128" s="125" t="s">
        <v>1402</v>
      </c>
      <c r="C128" s="126">
        <v>4.953487E9</v>
      </c>
      <c r="D128" s="134">
        <v>-0.24747596247590006</v>
      </c>
      <c r="E128" s="128" t="e">
        <v>#N/A</v>
      </c>
      <c r="F128" s="128" t="e">
        <v>#N/A</v>
      </c>
      <c r="G128" s="128" t="e">
        <v>#N/A</v>
      </c>
      <c r="H128" s="129" t="e">
        <v>#N/A</v>
      </c>
      <c r="I128" s="128">
        <v>29.11</v>
      </c>
      <c r="J128" s="129">
        <v>27.65</v>
      </c>
      <c r="K128" s="128">
        <v>2.68</v>
      </c>
      <c r="L128" s="128">
        <v>2.65</v>
      </c>
      <c r="M128" s="128">
        <v>13.46</v>
      </c>
      <c r="N128" s="129">
        <v>8.02</v>
      </c>
      <c r="O128" s="127" t="e">
        <v>#N/A</v>
      </c>
      <c r="P128" s="130" t="e">
        <v>#N/A</v>
      </c>
      <c r="Q128" s="127">
        <v>-0.05280289330922246</v>
      </c>
      <c r="R128" s="127">
        <v>-0.011320754716981227</v>
      </c>
      <c r="S128" s="127">
        <v>-0.6783042394014964</v>
      </c>
      <c r="T128" s="110"/>
      <c r="U128" s="110"/>
      <c r="V128" s="131"/>
      <c r="W128" s="110"/>
      <c r="X128" s="110"/>
      <c r="Y128" s="110"/>
      <c r="Z128" s="110"/>
      <c r="AA128" s="131"/>
      <c r="AB128" s="132"/>
      <c r="AC128" s="110"/>
      <c r="AD128" s="110"/>
      <c r="AE128" s="110"/>
      <c r="AF128" s="110"/>
    </row>
    <row r="129">
      <c r="A129" s="125" t="s">
        <v>1403</v>
      </c>
      <c r="B129" s="125" t="s">
        <v>1404</v>
      </c>
      <c r="C129" s="126">
        <v>4.344011E9</v>
      </c>
      <c r="D129" s="134">
        <v>-0.25632553698387944</v>
      </c>
      <c r="E129" s="128">
        <v>9.14</v>
      </c>
      <c r="F129" s="128">
        <v>9.41</v>
      </c>
      <c r="G129" s="128">
        <v>7.06</v>
      </c>
      <c r="H129" s="129">
        <v>5.95</v>
      </c>
      <c r="I129" s="128">
        <v>9.77</v>
      </c>
      <c r="J129" s="129">
        <v>8.46</v>
      </c>
      <c r="K129" s="128">
        <v>37.59</v>
      </c>
      <c r="L129" s="128">
        <v>35.5</v>
      </c>
      <c r="M129" s="128">
        <v>61.79</v>
      </c>
      <c r="N129" s="129">
        <v>32.35</v>
      </c>
      <c r="O129" s="127">
        <v>0.028692879914984013</v>
      </c>
      <c r="P129" s="130">
        <v>-0.1865546218487394</v>
      </c>
      <c r="Q129" s="127">
        <v>-0.15484633569739936</v>
      </c>
      <c r="R129" s="127">
        <v>-0.05887323943661982</v>
      </c>
      <c r="S129" s="127">
        <v>-0.9100463678516227</v>
      </c>
      <c r="T129" s="110"/>
      <c r="U129" s="110"/>
      <c r="V129" s="131"/>
      <c r="W129" s="110"/>
      <c r="X129" s="110"/>
      <c r="Y129" s="110"/>
      <c r="Z129" s="110"/>
      <c r="AA129" s="131"/>
      <c r="AB129" s="132"/>
      <c r="AC129" s="110"/>
      <c r="AD129" s="110"/>
      <c r="AE129" s="110"/>
      <c r="AF129" s="110"/>
    </row>
    <row r="130">
      <c r="A130" s="125" t="s">
        <v>1405</v>
      </c>
      <c r="B130" s="125" t="s">
        <v>1406</v>
      </c>
      <c r="C130" s="126">
        <v>3.759755166E9</v>
      </c>
      <c r="D130" s="134">
        <v>-0.25742272169593106</v>
      </c>
      <c r="E130" s="128">
        <v>16.5</v>
      </c>
      <c r="F130" s="128">
        <v>15.1</v>
      </c>
      <c r="G130" s="128">
        <v>15.2</v>
      </c>
      <c r="H130" s="129">
        <v>12.9</v>
      </c>
      <c r="I130" s="128">
        <v>5.1</v>
      </c>
      <c r="J130" s="129">
        <v>4.9</v>
      </c>
      <c r="K130" s="128">
        <v>5.57</v>
      </c>
      <c r="L130" s="128">
        <v>5.01</v>
      </c>
      <c r="M130" s="128">
        <v>40.55</v>
      </c>
      <c r="N130" s="129">
        <v>21.76</v>
      </c>
      <c r="O130" s="127">
        <v>-0.0927152317880795</v>
      </c>
      <c r="P130" s="130">
        <v>-0.17829457364341075</v>
      </c>
      <c r="Q130" s="127">
        <v>-0.040816326530612096</v>
      </c>
      <c r="R130" s="127">
        <v>-0.11177644710578853</v>
      </c>
      <c r="S130" s="127">
        <v>-0.8635110294117645</v>
      </c>
      <c r="T130" s="110"/>
      <c r="U130" s="110"/>
      <c r="V130" s="131"/>
      <c r="W130" s="110"/>
      <c r="X130" s="110"/>
      <c r="Y130" s="110"/>
      <c r="Z130" s="110"/>
      <c r="AA130" s="131"/>
      <c r="AB130" s="132"/>
      <c r="AC130" s="110"/>
      <c r="AD130" s="110"/>
      <c r="AE130" s="110"/>
      <c r="AF130" s="110"/>
    </row>
    <row r="131">
      <c r="A131" s="125" t="s">
        <v>1407</v>
      </c>
      <c r="B131" s="125" t="s">
        <v>1408</v>
      </c>
      <c r="C131" s="126">
        <v>3.676513177E9</v>
      </c>
      <c r="D131" s="134">
        <v>-0.27532852214083897</v>
      </c>
      <c r="E131" s="128">
        <v>15.69</v>
      </c>
      <c r="F131" s="128">
        <v>16.29</v>
      </c>
      <c r="G131" s="128">
        <v>22.49</v>
      </c>
      <c r="H131" s="129">
        <v>19.92</v>
      </c>
      <c r="I131" s="128">
        <v>17.93</v>
      </c>
      <c r="J131" s="129">
        <v>17.22</v>
      </c>
      <c r="K131" s="128">
        <v>35.48</v>
      </c>
      <c r="L131" s="128">
        <v>34.05</v>
      </c>
      <c r="M131" s="128">
        <v>35.77</v>
      </c>
      <c r="N131" s="129">
        <v>16.25</v>
      </c>
      <c r="O131" s="127">
        <v>0.03683241252302024</v>
      </c>
      <c r="P131" s="130">
        <v>-0.12901606425702794</v>
      </c>
      <c r="Q131" s="127">
        <v>-0.041231126596980305</v>
      </c>
      <c r="R131" s="127">
        <v>-0.041997063142437584</v>
      </c>
      <c r="S131" s="127">
        <v>-1.2012307692307693</v>
      </c>
      <c r="T131" s="110"/>
      <c r="U131" s="110"/>
      <c r="V131" s="131"/>
      <c r="W131" s="110"/>
      <c r="X131" s="110"/>
      <c r="Y131" s="110"/>
      <c r="Z131" s="110"/>
      <c r="AA131" s="131"/>
      <c r="AB131" s="132"/>
      <c r="AC131" s="110"/>
      <c r="AD131" s="110"/>
      <c r="AE131" s="110"/>
      <c r="AF131" s="110"/>
    </row>
    <row r="132">
      <c r="A132" s="125" t="s">
        <v>1409</v>
      </c>
      <c r="B132" s="125" t="s">
        <v>1410</v>
      </c>
      <c r="C132" s="126">
        <v>4.361619349E9</v>
      </c>
      <c r="D132" s="134">
        <v>-0.2776492941094415</v>
      </c>
      <c r="E132" s="128">
        <v>13.21</v>
      </c>
      <c r="F132" s="128">
        <v>11.53</v>
      </c>
      <c r="G132" s="128">
        <v>29.72</v>
      </c>
      <c r="H132" s="129">
        <v>23.19</v>
      </c>
      <c r="I132" s="128">
        <v>52.39</v>
      </c>
      <c r="J132" s="129">
        <v>46.22</v>
      </c>
      <c r="K132" s="128">
        <v>92.5</v>
      </c>
      <c r="L132" s="128">
        <v>91.23</v>
      </c>
      <c r="M132" s="128">
        <v>63.22</v>
      </c>
      <c r="N132" s="129">
        <v>34.86</v>
      </c>
      <c r="O132" s="127">
        <v>-0.14570685169124037</v>
      </c>
      <c r="P132" s="130">
        <v>-0.28158689090125044</v>
      </c>
      <c r="Q132" s="127">
        <v>-0.1334919948074427</v>
      </c>
      <c r="R132" s="127">
        <v>-0.013920859366436436</v>
      </c>
      <c r="S132" s="127">
        <v>-0.8135398737808376</v>
      </c>
      <c r="T132" s="110"/>
      <c r="U132" s="110"/>
      <c r="V132" s="131"/>
      <c r="W132" s="110"/>
      <c r="X132" s="110"/>
      <c r="Y132" s="110"/>
      <c r="Z132" s="110"/>
      <c r="AA132" s="131"/>
      <c r="AB132" s="132"/>
      <c r="AC132" s="110"/>
      <c r="AD132" s="110"/>
      <c r="AE132" s="110"/>
      <c r="AF132" s="110"/>
    </row>
    <row r="133">
      <c r="A133" s="125" t="s">
        <v>1411</v>
      </c>
      <c r="B133" s="125" t="s">
        <v>1412</v>
      </c>
      <c r="C133" s="126">
        <v>3.712820312E9</v>
      </c>
      <c r="D133" s="134">
        <v>-0.28021924002403137</v>
      </c>
      <c r="E133" s="128">
        <v>12.97</v>
      </c>
      <c r="F133" s="128">
        <v>12.92</v>
      </c>
      <c r="G133" s="128">
        <v>15.93</v>
      </c>
      <c r="H133" s="129">
        <v>13.31</v>
      </c>
      <c r="I133" s="128">
        <v>19.68</v>
      </c>
      <c r="J133" s="129">
        <v>18.03</v>
      </c>
      <c r="K133" s="128">
        <v>78.9</v>
      </c>
      <c r="L133" s="128">
        <v>76.54</v>
      </c>
      <c r="M133" s="128">
        <v>96.4</v>
      </c>
      <c r="N133" s="129">
        <v>46.39</v>
      </c>
      <c r="O133" s="127">
        <v>-0.003869969040247733</v>
      </c>
      <c r="P133" s="130">
        <v>-0.1968444778362133</v>
      </c>
      <c r="Q133" s="127">
        <v>-0.09151414309484185</v>
      </c>
      <c r="R133" s="127">
        <v>-0.030833551084400303</v>
      </c>
      <c r="S133" s="127">
        <v>-1.0780340590644537</v>
      </c>
      <c r="T133" s="110"/>
      <c r="U133" s="110"/>
      <c r="V133" s="131"/>
      <c r="W133" s="110"/>
      <c r="X133" s="110"/>
      <c r="Y133" s="110"/>
      <c r="Z133" s="110"/>
      <c r="AA133" s="131"/>
      <c r="AB133" s="132"/>
      <c r="AC133" s="110"/>
      <c r="AD133" s="110"/>
      <c r="AE133" s="110"/>
      <c r="AF133" s="110"/>
    </row>
    <row r="134">
      <c r="A134" s="125" t="s">
        <v>1413</v>
      </c>
      <c r="B134" s="125" t="s">
        <v>1414</v>
      </c>
      <c r="C134" s="126">
        <v>3.820162762E9</v>
      </c>
      <c r="D134" s="134">
        <v>-0.29530569098844817</v>
      </c>
      <c r="E134" s="128">
        <v>12.2</v>
      </c>
      <c r="F134" s="128">
        <v>9.4</v>
      </c>
      <c r="G134" s="128">
        <v>7.57</v>
      </c>
      <c r="H134" s="129">
        <v>6.7</v>
      </c>
      <c r="I134" s="128">
        <v>20.51</v>
      </c>
      <c r="J134" s="129">
        <v>18.0</v>
      </c>
      <c r="K134" s="128">
        <v>35.18</v>
      </c>
      <c r="L134" s="128">
        <v>33.24</v>
      </c>
      <c r="M134" s="128">
        <v>29.69</v>
      </c>
      <c r="N134" s="129">
        <v>16.04</v>
      </c>
      <c r="O134" s="127">
        <v>-0.2978723404255318</v>
      </c>
      <c r="P134" s="130">
        <v>-0.12985074626865672</v>
      </c>
      <c r="Q134" s="127">
        <v>-0.13944444444444454</v>
      </c>
      <c r="R134" s="127">
        <v>-0.05836341756919367</v>
      </c>
      <c r="S134" s="127">
        <v>-0.8509975062344142</v>
      </c>
      <c r="T134" s="110"/>
      <c r="U134" s="110"/>
      <c r="V134" s="131"/>
      <c r="W134" s="110"/>
      <c r="X134" s="110"/>
      <c r="Y134" s="110"/>
      <c r="Z134" s="110"/>
      <c r="AA134" s="131"/>
      <c r="AB134" s="132"/>
      <c r="AC134" s="110"/>
      <c r="AD134" s="110"/>
      <c r="AE134" s="110"/>
      <c r="AF134" s="110"/>
    </row>
    <row r="135">
      <c r="A135" s="125" t="s">
        <v>1415</v>
      </c>
      <c r="B135" s="125" t="s">
        <v>1416</v>
      </c>
      <c r="C135" s="126">
        <v>3.390200889E9</v>
      </c>
      <c r="D135" s="134">
        <v>-0.2968548039638087</v>
      </c>
      <c r="E135" s="128" t="e">
        <v>#N/A</v>
      </c>
      <c r="F135" s="128" t="e">
        <v>#N/A</v>
      </c>
      <c r="G135" s="128" t="e">
        <v>#N/A</v>
      </c>
      <c r="H135" s="129" t="e">
        <v>#N/A</v>
      </c>
      <c r="I135" s="128" t="e">
        <v>#N/A</v>
      </c>
      <c r="J135" s="129" t="e">
        <v>#N/A</v>
      </c>
      <c r="K135" s="128" t="e">
        <v>#N/A</v>
      </c>
      <c r="L135" s="128" t="e">
        <v>#N/A</v>
      </c>
      <c r="M135" s="128">
        <v>30.1</v>
      </c>
      <c r="N135" s="129">
        <v>23.21</v>
      </c>
      <c r="O135" s="127" t="e">
        <v>#N/A</v>
      </c>
      <c r="P135" s="130" t="e">
        <v>#N/A</v>
      </c>
      <c r="Q135" s="127" t="e">
        <v>#N/A</v>
      </c>
      <c r="R135" s="127" t="e">
        <v>#N/A</v>
      </c>
      <c r="S135" s="127">
        <v>-0.2968548039638087</v>
      </c>
      <c r="T135" s="110"/>
      <c r="U135" s="110"/>
      <c r="V135" s="131"/>
      <c r="W135" s="110"/>
      <c r="X135" s="110"/>
      <c r="Y135" s="110"/>
      <c r="Z135" s="110"/>
      <c r="AA135" s="131"/>
      <c r="AB135" s="132"/>
      <c r="AC135" s="110"/>
      <c r="AD135" s="110"/>
      <c r="AE135" s="110"/>
      <c r="AF135" s="110"/>
    </row>
    <row r="136">
      <c r="A136" s="125" t="s">
        <v>1417</v>
      </c>
      <c r="B136" s="125" t="s">
        <v>1418</v>
      </c>
      <c r="C136" s="126">
        <v>4.267350277E9</v>
      </c>
      <c r="D136" s="134">
        <v>-0.3009632646641873</v>
      </c>
      <c r="E136" s="128">
        <v>127.3</v>
      </c>
      <c r="F136" s="128">
        <v>110.6</v>
      </c>
      <c r="G136" s="128">
        <v>23.0</v>
      </c>
      <c r="H136" s="129">
        <v>19.5</v>
      </c>
      <c r="I136" s="128">
        <v>31.1</v>
      </c>
      <c r="J136" s="129">
        <v>22.5</v>
      </c>
      <c r="K136" s="128">
        <v>28.95</v>
      </c>
      <c r="L136" s="128">
        <v>27.9</v>
      </c>
      <c r="M136" s="128">
        <v>40.16</v>
      </c>
      <c r="N136" s="129">
        <v>22.89</v>
      </c>
      <c r="O136" s="127">
        <v>-0.150994575045208</v>
      </c>
      <c r="P136" s="130">
        <v>-0.1794871794871795</v>
      </c>
      <c r="Q136" s="127">
        <v>-0.3822222222222223</v>
      </c>
      <c r="R136" s="127">
        <v>-0.03763440860215057</v>
      </c>
      <c r="S136" s="127">
        <v>-0.7544779379641763</v>
      </c>
      <c r="T136" s="110"/>
      <c r="U136" s="110"/>
      <c r="V136" s="131"/>
      <c r="W136" s="110"/>
      <c r="X136" s="110"/>
      <c r="Y136" s="110"/>
      <c r="Z136" s="110"/>
      <c r="AA136" s="131"/>
      <c r="AB136" s="132"/>
      <c r="AC136" s="110"/>
      <c r="AD136" s="110"/>
      <c r="AE136" s="110"/>
      <c r="AF136" s="110"/>
    </row>
    <row r="137">
      <c r="A137" s="125" t="s">
        <v>1419</v>
      </c>
      <c r="B137" s="125" t="s">
        <v>1420</v>
      </c>
      <c r="C137" s="126">
        <v>5.702666994E9</v>
      </c>
      <c r="D137" s="134">
        <v>-0.3026903503614855</v>
      </c>
      <c r="E137" s="128" t="e">
        <v>#N/A</v>
      </c>
      <c r="F137" s="128" t="e">
        <v>#N/A</v>
      </c>
      <c r="G137" s="128" t="e">
        <v>#N/A</v>
      </c>
      <c r="H137" s="129" t="e">
        <v>#N/A</v>
      </c>
      <c r="I137" s="128">
        <v>10.96</v>
      </c>
      <c r="J137" s="129">
        <v>9.72</v>
      </c>
      <c r="K137" s="128">
        <v>18.61</v>
      </c>
      <c r="L137" s="128">
        <v>17.38</v>
      </c>
      <c r="M137" s="128">
        <v>32.69</v>
      </c>
      <c r="N137" s="129">
        <v>19.12</v>
      </c>
      <c r="O137" s="127" t="e">
        <v>#N/A</v>
      </c>
      <c r="P137" s="130" t="e">
        <v>#N/A</v>
      </c>
      <c r="Q137" s="127">
        <v>-0.12757201646090535</v>
      </c>
      <c r="R137" s="127">
        <v>-0.07077100115074801</v>
      </c>
      <c r="S137" s="127">
        <v>-0.7097280334728031</v>
      </c>
      <c r="T137" s="110"/>
      <c r="U137" s="110"/>
      <c r="V137" s="131"/>
      <c r="W137" s="110"/>
      <c r="X137" s="110"/>
      <c r="Y137" s="110"/>
      <c r="Z137" s="110"/>
      <c r="AA137" s="131"/>
      <c r="AB137" s="132"/>
      <c r="AC137" s="110"/>
      <c r="AD137" s="110"/>
      <c r="AE137" s="110"/>
      <c r="AF137" s="110"/>
    </row>
    <row r="138">
      <c r="A138" s="125" t="s">
        <v>1421</v>
      </c>
      <c r="B138" s="125" t="s">
        <v>1422</v>
      </c>
      <c r="C138" s="126">
        <v>3.770008014E9</v>
      </c>
      <c r="D138" s="134">
        <v>-0.3035593332879687</v>
      </c>
      <c r="E138" s="128" t="e">
        <v>#N/A</v>
      </c>
      <c r="F138" s="128" t="e">
        <v>#N/A</v>
      </c>
      <c r="G138" s="128" t="e">
        <v>#N/A</v>
      </c>
      <c r="H138" s="129" t="e">
        <v>#N/A</v>
      </c>
      <c r="I138" s="128">
        <v>53.44</v>
      </c>
      <c r="J138" s="129">
        <v>48.38</v>
      </c>
      <c r="K138" s="128">
        <v>99.25</v>
      </c>
      <c r="L138" s="128">
        <v>96.56</v>
      </c>
      <c r="M138" s="128">
        <v>82.83</v>
      </c>
      <c r="N138" s="129">
        <v>46.58</v>
      </c>
      <c r="O138" s="127" t="e">
        <v>#N/A</v>
      </c>
      <c r="P138" s="130" t="e">
        <v>#N/A</v>
      </c>
      <c r="Q138" s="127">
        <v>-0.10458867300537401</v>
      </c>
      <c r="R138" s="127">
        <v>-0.02785832642916319</v>
      </c>
      <c r="S138" s="127">
        <v>-0.7782310004293689</v>
      </c>
      <c r="T138" s="110"/>
      <c r="U138" s="110"/>
      <c r="V138" s="131"/>
      <c r="W138" s="110"/>
      <c r="X138" s="110"/>
      <c r="Y138" s="110"/>
      <c r="Z138" s="110"/>
      <c r="AA138" s="131"/>
      <c r="AB138" s="132"/>
      <c r="AC138" s="110"/>
      <c r="AD138" s="110"/>
      <c r="AE138" s="110"/>
      <c r="AF138" s="110"/>
    </row>
    <row r="139">
      <c r="A139" s="125" t="s">
        <v>1423</v>
      </c>
      <c r="B139" s="125" t="s">
        <v>1424</v>
      </c>
      <c r="C139" s="126">
        <v>3.732644402E9</v>
      </c>
      <c r="D139" s="134">
        <v>-0.3050342765146398</v>
      </c>
      <c r="E139" s="128" t="e">
        <v>#N/A</v>
      </c>
      <c r="F139" s="128" t="e">
        <v>#N/A</v>
      </c>
      <c r="G139" s="128" t="e">
        <v>#N/A</v>
      </c>
      <c r="H139" s="129" t="e">
        <v>#N/A</v>
      </c>
      <c r="I139" s="128" t="e">
        <v>#N/A</v>
      </c>
      <c r="J139" s="129" t="e">
        <v>#N/A</v>
      </c>
      <c r="K139" s="128">
        <v>15.28</v>
      </c>
      <c r="L139" s="128">
        <v>15.23</v>
      </c>
      <c r="M139" s="128">
        <v>73.88</v>
      </c>
      <c r="N139" s="129">
        <v>45.98</v>
      </c>
      <c r="O139" s="127" t="e">
        <v>#N/A</v>
      </c>
      <c r="P139" s="130" t="e">
        <v>#N/A</v>
      </c>
      <c r="Q139" s="127" t="e">
        <v>#N/A</v>
      </c>
      <c r="R139" s="127">
        <v>-0.003282994090610567</v>
      </c>
      <c r="S139" s="127">
        <v>-0.606785558938669</v>
      </c>
      <c r="T139" s="110"/>
      <c r="U139" s="110"/>
      <c r="V139" s="131"/>
      <c r="W139" s="110"/>
      <c r="X139" s="110"/>
      <c r="Y139" s="110"/>
      <c r="Z139" s="110"/>
      <c r="AA139" s="131"/>
      <c r="AB139" s="132"/>
      <c r="AC139" s="110"/>
      <c r="AD139" s="110"/>
      <c r="AE139" s="110"/>
      <c r="AF139" s="110"/>
    </row>
    <row r="140">
      <c r="A140" s="125" t="s">
        <v>1425</v>
      </c>
      <c r="B140" s="125" t="s">
        <v>1426</v>
      </c>
      <c r="C140" s="126">
        <v>4.10705526E9</v>
      </c>
      <c r="D140" s="134">
        <v>-0.30805562423876115</v>
      </c>
      <c r="E140" s="128" t="e">
        <v>#N/A</v>
      </c>
      <c r="F140" s="128" t="e">
        <v>#N/A</v>
      </c>
      <c r="G140" s="128" t="e">
        <v>#N/A</v>
      </c>
      <c r="H140" s="129" t="e">
        <v>#N/A</v>
      </c>
      <c r="I140" s="128" t="e">
        <v>#N/A</v>
      </c>
      <c r="J140" s="129" t="e">
        <v>#N/A</v>
      </c>
      <c r="K140" s="128">
        <v>9.95</v>
      </c>
      <c r="L140" s="128">
        <v>9.9</v>
      </c>
      <c r="M140" s="128">
        <v>17.77</v>
      </c>
      <c r="N140" s="129">
        <v>11.03</v>
      </c>
      <c r="O140" s="127" t="e">
        <v>#N/A</v>
      </c>
      <c r="P140" s="130" t="e">
        <v>#N/A</v>
      </c>
      <c r="Q140" s="127" t="e">
        <v>#N/A</v>
      </c>
      <c r="R140" s="127">
        <v>-0.0050505050505049425</v>
      </c>
      <c r="S140" s="127">
        <v>-0.6110607434270173</v>
      </c>
      <c r="T140" s="110"/>
      <c r="U140" s="110"/>
      <c r="V140" s="131"/>
      <c r="W140" s="110"/>
      <c r="X140" s="110"/>
      <c r="Y140" s="110"/>
      <c r="Z140" s="110"/>
      <c r="AA140" s="131"/>
      <c r="AB140" s="132"/>
      <c r="AC140" s="110"/>
      <c r="AD140" s="110"/>
      <c r="AE140" s="110"/>
      <c r="AF140" s="110"/>
    </row>
    <row r="141">
      <c r="A141" s="125" t="s">
        <v>1427</v>
      </c>
      <c r="B141" s="125" t="s">
        <v>1428</v>
      </c>
      <c r="C141" s="126">
        <v>3.725499499E9</v>
      </c>
      <c r="D141" s="134">
        <v>-0.31638038761373266</v>
      </c>
      <c r="E141" s="128">
        <v>9.58</v>
      </c>
      <c r="F141" s="128">
        <v>8.47</v>
      </c>
      <c r="G141" s="128">
        <v>10.65</v>
      </c>
      <c r="H141" s="129">
        <v>9.45</v>
      </c>
      <c r="I141" s="128">
        <v>10.55</v>
      </c>
      <c r="J141" s="129">
        <v>9.5</v>
      </c>
      <c r="K141" s="128">
        <v>25.45</v>
      </c>
      <c r="L141" s="128">
        <v>24.3</v>
      </c>
      <c r="M141" s="128">
        <v>33.27</v>
      </c>
      <c r="N141" s="129">
        <v>15.36</v>
      </c>
      <c r="O141" s="127">
        <v>-0.1310507674144037</v>
      </c>
      <c r="P141" s="130">
        <v>-0.12698412698412712</v>
      </c>
      <c r="Q141" s="127">
        <v>-0.11052631578947376</v>
      </c>
      <c r="R141" s="127">
        <v>-0.04732510288065837</v>
      </c>
      <c r="S141" s="127">
        <v>-1.1660156250000002</v>
      </c>
      <c r="T141" s="110"/>
      <c r="U141" s="110"/>
      <c r="V141" s="131"/>
      <c r="W141" s="110"/>
      <c r="X141" s="110"/>
      <c r="Y141" s="110"/>
      <c r="Z141" s="110"/>
      <c r="AA141" s="131"/>
      <c r="AB141" s="132"/>
      <c r="AC141" s="110"/>
      <c r="AD141" s="110"/>
      <c r="AE141" s="110"/>
      <c r="AF141" s="110"/>
    </row>
    <row r="142">
      <c r="A142" s="125" t="s">
        <v>1429</v>
      </c>
      <c r="B142" s="125" t="s">
        <v>1430</v>
      </c>
      <c r="C142" s="126">
        <v>3.802542619E9</v>
      </c>
      <c r="D142" s="134">
        <v>-0.3225477409459619</v>
      </c>
      <c r="E142" s="128" t="e">
        <v>#N/A</v>
      </c>
      <c r="F142" s="128" t="e">
        <v>#N/A</v>
      </c>
      <c r="G142" s="128" t="e">
        <v>#N/A</v>
      </c>
      <c r="H142" s="129" t="e">
        <v>#N/A</v>
      </c>
      <c r="I142" s="128" t="e">
        <v>#N/A</v>
      </c>
      <c r="J142" s="129" t="e">
        <v>#N/A</v>
      </c>
      <c r="K142" s="128">
        <v>7.58</v>
      </c>
      <c r="L142" s="128">
        <v>7.29</v>
      </c>
      <c r="M142" s="128">
        <v>16.31</v>
      </c>
      <c r="N142" s="129">
        <v>10.16</v>
      </c>
      <c r="O142" s="127" t="e">
        <v>#N/A</v>
      </c>
      <c r="P142" s="130" t="e">
        <v>#N/A</v>
      </c>
      <c r="Q142" s="127" t="e">
        <v>#N/A</v>
      </c>
      <c r="R142" s="127">
        <v>-0.039780521262002745</v>
      </c>
      <c r="S142" s="127">
        <v>-0.6053149606299211</v>
      </c>
      <c r="T142" s="110"/>
      <c r="U142" s="110"/>
      <c r="V142" s="131"/>
      <c r="W142" s="110"/>
      <c r="X142" s="110"/>
      <c r="Y142" s="110"/>
      <c r="Z142" s="110"/>
      <c r="AA142" s="131"/>
      <c r="AB142" s="132"/>
      <c r="AC142" s="110"/>
      <c r="AD142" s="110"/>
      <c r="AE142" s="110"/>
      <c r="AF142" s="110"/>
    </row>
    <row r="143">
      <c r="A143" s="125" t="s">
        <v>1431</v>
      </c>
      <c r="B143" s="125" t="s">
        <v>1432</v>
      </c>
      <c r="C143" s="126">
        <v>4.064549738E9</v>
      </c>
      <c r="D143" s="134">
        <v>-0.326910112767059</v>
      </c>
      <c r="E143" s="128" t="e">
        <v>#N/A</v>
      </c>
      <c r="F143" s="128" t="e">
        <v>#N/A</v>
      </c>
      <c r="G143" s="128" t="e">
        <v>#N/A</v>
      </c>
      <c r="H143" s="129" t="e">
        <v>#N/A</v>
      </c>
      <c r="I143" s="128" t="e">
        <v>#N/A</v>
      </c>
      <c r="J143" s="129" t="e">
        <v>#N/A</v>
      </c>
      <c r="K143" s="128">
        <v>18.9</v>
      </c>
      <c r="L143" s="128">
        <v>17.59</v>
      </c>
      <c r="M143" s="128">
        <v>39.61</v>
      </c>
      <c r="N143" s="129">
        <v>25.08</v>
      </c>
      <c r="O143" s="127" t="e">
        <v>#N/A</v>
      </c>
      <c r="P143" s="130" t="e">
        <v>#N/A</v>
      </c>
      <c r="Q143" s="127" t="e">
        <v>#N/A</v>
      </c>
      <c r="R143" s="127">
        <v>-0.07447413303013069</v>
      </c>
      <c r="S143" s="127">
        <v>-0.5793460925039873</v>
      </c>
      <c r="T143" s="110"/>
      <c r="U143" s="110"/>
      <c r="V143" s="131"/>
      <c r="W143" s="110"/>
      <c r="X143" s="110"/>
      <c r="Y143" s="110"/>
      <c r="Z143" s="110"/>
      <c r="AA143" s="131"/>
      <c r="AB143" s="132"/>
      <c r="AC143" s="110"/>
      <c r="AD143" s="110"/>
      <c r="AE143" s="110"/>
      <c r="AF143" s="110"/>
    </row>
    <row r="144">
      <c r="A144" s="125" t="s">
        <v>1433</v>
      </c>
      <c r="B144" s="125" t="s">
        <v>1434</v>
      </c>
      <c r="C144" s="126">
        <v>5.517055207E9</v>
      </c>
      <c r="D144" s="134">
        <v>-0.3325886211987948</v>
      </c>
      <c r="E144" s="128">
        <v>16.08</v>
      </c>
      <c r="F144" s="128">
        <v>10.4</v>
      </c>
      <c r="G144" s="128">
        <v>33.6</v>
      </c>
      <c r="H144" s="129">
        <v>29.28</v>
      </c>
      <c r="I144" s="128">
        <v>24.04</v>
      </c>
      <c r="J144" s="129">
        <v>21.76</v>
      </c>
      <c r="K144" s="128">
        <v>7.36</v>
      </c>
      <c r="L144" s="128">
        <v>7.8</v>
      </c>
      <c r="M144" s="128">
        <v>17.48</v>
      </c>
      <c r="N144" s="129">
        <v>9.1</v>
      </c>
      <c r="O144" s="127">
        <v>-0.546153846153846</v>
      </c>
      <c r="P144" s="130">
        <v>-0.14754098360655737</v>
      </c>
      <c r="Q144" s="127">
        <v>-0.10477941176470576</v>
      </c>
      <c r="R144" s="127">
        <v>0.05641025641025635</v>
      </c>
      <c r="S144" s="127">
        <v>-0.920879120879121</v>
      </c>
      <c r="T144" s="110"/>
      <c r="U144" s="110"/>
      <c r="V144" s="131"/>
      <c r="W144" s="110"/>
      <c r="X144" s="110"/>
      <c r="Y144" s="110"/>
      <c r="Z144" s="110"/>
      <c r="AA144" s="131"/>
      <c r="AB144" s="132"/>
      <c r="AC144" s="110"/>
      <c r="AD144" s="110"/>
      <c r="AE144" s="110"/>
      <c r="AF144" s="110"/>
    </row>
    <row r="145">
      <c r="A145" s="125" t="s">
        <v>1435</v>
      </c>
      <c r="B145" s="125" t="s">
        <v>1436</v>
      </c>
      <c r="C145" s="126">
        <v>4.419100242E9</v>
      </c>
      <c r="D145" s="134">
        <v>-0.3362676071592443</v>
      </c>
      <c r="E145" s="128">
        <v>4.48</v>
      </c>
      <c r="F145" s="128">
        <v>4.09</v>
      </c>
      <c r="G145" s="128">
        <v>10.36</v>
      </c>
      <c r="H145" s="129">
        <v>9.84</v>
      </c>
      <c r="I145" s="128">
        <v>28.64</v>
      </c>
      <c r="J145" s="129">
        <v>24.63</v>
      </c>
      <c r="K145" s="128">
        <v>14.19</v>
      </c>
      <c r="L145" s="128">
        <v>13.36</v>
      </c>
      <c r="M145" s="128">
        <v>38.27</v>
      </c>
      <c r="N145" s="129">
        <v>16.58</v>
      </c>
      <c r="O145" s="127">
        <v>-0.09535452322738401</v>
      </c>
      <c r="P145" s="130">
        <v>-0.05284552845528451</v>
      </c>
      <c r="Q145" s="127">
        <v>-0.1628095818107999</v>
      </c>
      <c r="R145" s="127">
        <v>-0.06212574850299402</v>
      </c>
      <c r="S145" s="127">
        <v>-1.308202653799759</v>
      </c>
      <c r="T145" s="110"/>
      <c r="U145" s="110"/>
      <c r="V145" s="131"/>
      <c r="W145" s="110"/>
      <c r="X145" s="110"/>
      <c r="Y145" s="110"/>
      <c r="Z145" s="110"/>
      <c r="AA145" s="131"/>
      <c r="AB145" s="132"/>
      <c r="AC145" s="110"/>
      <c r="AD145" s="110"/>
      <c r="AE145" s="110"/>
      <c r="AF145" s="110"/>
    </row>
    <row r="146">
      <c r="A146" s="125" t="s">
        <v>1437</v>
      </c>
      <c r="B146" s="125" t="s">
        <v>1438</v>
      </c>
      <c r="C146" s="126">
        <v>6.850042077E9</v>
      </c>
      <c r="D146" s="134">
        <v>-0.34095604395604384</v>
      </c>
      <c r="E146" s="128">
        <v>1.4</v>
      </c>
      <c r="F146" s="128">
        <v>1.3</v>
      </c>
      <c r="G146" s="128">
        <v>3.33</v>
      </c>
      <c r="H146" s="129">
        <v>3.0</v>
      </c>
      <c r="I146" s="128">
        <v>0.3</v>
      </c>
      <c r="J146" s="129">
        <v>0.2</v>
      </c>
      <c r="K146" s="128">
        <v>2.01</v>
      </c>
      <c r="L146" s="128">
        <v>1.84</v>
      </c>
      <c r="M146" s="128">
        <v>6.2</v>
      </c>
      <c r="N146" s="129">
        <v>3.22</v>
      </c>
      <c r="O146" s="127">
        <v>-0.07692307692307682</v>
      </c>
      <c r="P146" s="130">
        <v>-0.11000000000000003</v>
      </c>
      <c r="Q146" s="127">
        <v>-0.4999999999999999</v>
      </c>
      <c r="R146" s="127">
        <v>-0.09239130434782593</v>
      </c>
      <c r="S146" s="127">
        <v>-0.9254658385093167</v>
      </c>
      <c r="T146" s="110"/>
      <c r="U146" s="110"/>
      <c r="V146" s="131"/>
      <c r="W146" s="110"/>
      <c r="X146" s="110"/>
      <c r="Y146" s="110"/>
      <c r="Z146" s="110"/>
      <c r="AA146" s="131"/>
      <c r="AB146" s="132"/>
      <c r="AC146" s="110"/>
      <c r="AD146" s="110"/>
      <c r="AE146" s="110"/>
      <c r="AF146" s="110"/>
    </row>
    <row r="147">
      <c r="A147" s="125" t="s">
        <v>1439</v>
      </c>
      <c r="B147" s="125" t="s">
        <v>1440</v>
      </c>
      <c r="C147" s="126">
        <v>5.915200531E9</v>
      </c>
      <c r="D147" s="134">
        <v>-0.3433262431518489</v>
      </c>
      <c r="E147" s="128" t="e">
        <v>#N/A</v>
      </c>
      <c r="F147" s="128" t="e">
        <v>#N/A</v>
      </c>
      <c r="G147" s="128" t="e">
        <v>#N/A</v>
      </c>
      <c r="H147" s="129" t="e">
        <v>#N/A</v>
      </c>
      <c r="I147" s="128" t="e">
        <v>#N/A</v>
      </c>
      <c r="J147" s="129" t="e">
        <v>#N/A</v>
      </c>
      <c r="K147" s="128">
        <v>661.72</v>
      </c>
      <c r="L147" s="128">
        <v>599.23</v>
      </c>
      <c r="M147" s="128">
        <v>17.77</v>
      </c>
      <c r="N147" s="129">
        <v>11.23</v>
      </c>
      <c r="O147" s="127" t="e">
        <v>#N/A</v>
      </c>
      <c r="P147" s="130" t="e">
        <v>#N/A</v>
      </c>
      <c r="Q147" s="127" t="e">
        <v>#N/A</v>
      </c>
      <c r="R147" s="127">
        <v>-0.10428383091634265</v>
      </c>
      <c r="S147" s="127">
        <v>-0.5823686553873552</v>
      </c>
      <c r="T147" s="110"/>
      <c r="U147" s="110"/>
      <c r="V147" s="131"/>
      <c r="W147" s="110"/>
      <c r="X147" s="110"/>
      <c r="Y147" s="110"/>
      <c r="Z147" s="110"/>
      <c r="AA147" s="131"/>
      <c r="AB147" s="132"/>
      <c r="AC147" s="110"/>
      <c r="AD147" s="110"/>
      <c r="AE147" s="110"/>
      <c r="AF147" s="110"/>
    </row>
    <row r="148">
      <c r="A148" s="125" t="s">
        <v>1441</v>
      </c>
      <c r="B148" s="125" t="s">
        <v>1442</v>
      </c>
      <c r="C148" s="126">
        <v>3.3680035E9</v>
      </c>
      <c r="D148" s="134">
        <v>-0.3496860769273325</v>
      </c>
      <c r="E148" s="128">
        <v>4.73</v>
      </c>
      <c r="F148" s="128">
        <v>3.9</v>
      </c>
      <c r="G148" s="128">
        <v>14.63</v>
      </c>
      <c r="H148" s="129">
        <v>9.4</v>
      </c>
      <c r="I148" s="128">
        <v>2.76</v>
      </c>
      <c r="J148" s="129">
        <v>1.98</v>
      </c>
      <c r="K148" s="128">
        <v>17.49</v>
      </c>
      <c r="L148" s="128">
        <v>16.93</v>
      </c>
      <c r="M148" s="128">
        <v>24.23</v>
      </c>
      <c r="N148" s="129">
        <v>15.61</v>
      </c>
      <c r="O148" s="127">
        <v>-0.21282051282051295</v>
      </c>
      <c r="P148" s="130">
        <v>-0.5563829787234043</v>
      </c>
      <c r="Q148" s="127">
        <v>-0.39393939393939387</v>
      </c>
      <c r="R148" s="127">
        <v>-0.03307737743650317</v>
      </c>
      <c r="S148" s="127">
        <v>-0.5522101217168482</v>
      </c>
      <c r="T148" s="110"/>
      <c r="U148" s="110"/>
      <c r="V148" s="131"/>
      <c r="W148" s="110"/>
      <c r="X148" s="110"/>
      <c r="Y148" s="110"/>
      <c r="Z148" s="110"/>
      <c r="AA148" s="131"/>
      <c r="AB148" s="132"/>
      <c r="AC148" s="110"/>
      <c r="AD148" s="110"/>
      <c r="AE148" s="110"/>
      <c r="AF148" s="110"/>
    </row>
    <row r="149">
      <c r="A149" s="125" t="s">
        <v>1443</v>
      </c>
      <c r="B149" s="125" t="s">
        <v>1444</v>
      </c>
      <c r="C149" s="126">
        <v>3.466292985E9</v>
      </c>
      <c r="D149" s="134">
        <v>-0.35376305256919727</v>
      </c>
      <c r="E149" s="128">
        <v>13.7</v>
      </c>
      <c r="F149" s="128">
        <v>13.49</v>
      </c>
      <c r="G149" s="128">
        <v>9.59</v>
      </c>
      <c r="H149" s="129">
        <v>8.49</v>
      </c>
      <c r="I149" s="128">
        <v>6.28</v>
      </c>
      <c r="J149" s="129">
        <v>5.39</v>
      </c>
      <c r="K149" s="128">
        <v>8.76</v>
      </c>
      <c r="L149" s="128">
        <v>8.31</v>
      </c>
      <c r="M149" s="128">
        <v>19.62</v>
      </c>
      <c r="N149" s="129">
        <v>8.16</v>
      </c>
      <c r="O149" s="127">
        <v>-0.015567086730911717</v>
      </c>
      <c r="P149" s="130">
        <v>-0.1295641931684334</v>
      </c>
      <c r="Q149" s="127">
        <v>-0.16512059369202237</v>
      </c>
      <c r="R149" s="127">
        <v>-0.05415162454873637</v>
      </c>
      <c r="S149" s="127">
        <v>-1.4044117647058825</v>
      </c>
      <c r="T149" s="110"/>
      <c r="U149" s="110"/>
      <c r="V149" s="131"/>
      <c r="W149" s="110"/>
      <c r="X149" s="110"/>
      <c r="Y149" s="110"/>
      <c r="Z149" s="110"/>
      <c r="AA149" s="131"/>
      <c r="AB149" s="132"/>
      <c r="AC149" s="110"/>
      <c r="AD149" s="110"/>
      <c r="AE149" s="110"/>
      <c r="AF149" s="110"/>
    </row>
    <row r="150">
      <c r="A150" s="125" t="s">
        <v>1445</v>
      </c>
      <c r="B150" s="125" t="s">
        <v>1446</v>
      </c>
      <c r="C150" s="126">
        <v>4.99890995E9</v>
      </c>
      <c r="D150" s="134">
        <v>-0.36811542798937763</v>
      </c>
      <c r="E150" s="128" t="e">
        <v>#N/A</v>
      </c>
      <c r="F150" s="128" t="e">
        <v>#N/A</v>
      </c>
      <c r="G150" s="128" t="e">
        <v>#N/A</v>
      </c>
      <c r="H150" s="129" t="e">
        <v>#N/A</v>
      </c>
      <c r="I150" s="128" t="e">
        <v>#N/A</v>
      </c>
      <c r="J150" s="129" t="e">
        <v>#N/A</v>
      </c>
      <c r="K150" s="128">
        <v>7.35</v>
      </c>
      <c r="L150" s="128">
        <v>6.12</v>
      </c>
      <c r="M150" s="128">
        <v>16.55</v>
      </c>
      <c r="N150" s="129">
        <v>10.78</v>
      </c>
      <c r="O150" s="127" t="e">
        <v>#N/A</v>
      </c>
      <c r="P150" s="130" t="e">
        <v>#N/A</v>
      </c>
      <c r="Q150" s="127" t="e">
        <v>#N/A</v>
      </c>
      <c r="R150" s="127">
        <v>-0.20098039215686267</v>
      </c>
      <c r="S150" s="127">
        <v>-0.5352504638218926</v>
      </c>
      <c r="T150" s="110"/>
      <c r="U150" s="110"/>
      <c r="V150" s="131"/>
      <c r="W150" s="110"/>
      <c r="X150" s="110"/>
      <c r="Y150" s="110"/>
      <c r="Z150" s="110"/>
      <c r="AA150" s="131"/>
      <c r="AB150" s="132"/>
      <c r="AC150" s="110"/>
      <c r="AD150" s="110"/>
      <c r="AE150" s="110"/>
      <c r="AF150" s="110"/>
    </row>
    <row r="151">
      <c r="A151" s="125" t="s">
        <v>1447</v>
      </c>
      <c r="B151" s="125" t="s">
        <v>1448</v>
      </c>
      <c r="C151" s="126">
        <v>4.03865747E9</v>
      </c>
      <c r="D151" s="134">
        <v>-0.3717662578994503</v>
      </c>
      <c r="E151" s="128">
        <v>44.18</v>
      </c>
      <c r="F151" s="128">
        <v>37.84</v>
      </c>
      <c r="G151" s="128">
        <v>53.47</v>
      </c>
      <c r="H151" s="129">
        <v>50.8</v>
      </c>
      <c r="I151" s="128">
        <v>48.5</v>
      </c>
      <c r="J151" s="129">
        <v>42.56</v>
      </c>
      <c r="K151" s="128">
        <v>17.61</v>
      </c>
      <c r="L151" s="128">
        <v>17.29</v>
      </c>
      <c r="M151" s="128">
        <v>19.87</v>
      </c>
      <c r="N151" s="129">
        <v>8.01</v>
      </c>
      <c r="O151" s="127">
        <v>-0.1675475687103593</v>
      </c>
      <c r="P151" s="130">
        <v>-0.05255905511811027</v>
      </c>
      <c r="Q151" s="127">
        <v>-0.13956766917293226</v>
      </c>
      <c r="R151" s="127">
        <v>-0.018507807981492208</v>
      </c>
      <c r="S151" s="127">
        <v>-1.4806491885143573</v>
      </c>
      <c r="T151" s="110"/>
      <c r="U151" s="110"/>
      <c r="V151" s="131"/>
      <c r="W151" s="110"/>
      <c r="X151" s="110"/>
      <c r="Y151" s="110"/>
      <c r="Z151" s="110"/>
      <c r="AA151" s="131"/>
      <c r="AB151" s="132"/>
      <c r="AC151" s="110"/>
      <c r="AD151" s="110"/>
      <c r="AE151" s="110"/>
      <c r="AF151" s="110"/>
    </row>
    <row r="152">
      <c r="A152" s="125" t="s">
        <v>1449</v>
      </c>
      <c r="B152" s="125" t="s">
        <v>1450</v>
      </c>
      <c r="C152" s="126">
        <v>3.880563615E9</v>
      </c>
      <c r="D152" s="134">
        <v>-0.37462806881429145</v>
      </c>
      <c r="E152" s="128">
        <v>17.43</v>
      </c>
      <c r="F152" s="128">
        <v>15.94</v>
      </c>
      <c r="G152" s="128">
        <v>15.67</v>
      </c>
      <c r="H152" s="129">
        <v>14.1</v>
      </c>
      <c r="I152" s="128">
        <v>18.34</v>
      </c>
      <c r="J152" s="129">
        <v>13.31</v>
      </c>
      <c r="K152" s="128">
        <v>25.28</v>
      </c>
      <c r="L152" s="128">
        <v>24.56</v>
      </c>
      <c r="M152" s="128">
        <v>35.68</v>
      </c>
      <c r="N152" s="129">
        <v>15.78</v>
      </c>
      <c r="O152" s="127">
        <v>-0.09347553324968634</v>
      </c>
      <c r="P152" s="130">
        <v>-0.11134751773049648</v>
      </c>
      <c r="Q152" s="127">
        <v>-0.37791134485349354</v>
      </c>
      <c r="R152" s="127">
        <v>-0.029315960912052217</v>
      </c>
      <c r="S152" s="127">
        <v>-1.2610899873257286</v>
      </c>
      <c r="T152" s="110"/>
      <c r="U152" s="110"/>
      <c r="V152" s="131"/>
      <c r="W152" s="110"/>
      <c r="X152" s="110"/>
      <c r="Y152" s="110"/>
      <c r="Z152" s="110"/>
      <c r="AA152" s="131"/>
      <c r="AB152" s="132"/>
      <c r="AC152" s="110"/>
      <c r="AD152" s="110"/>
      <c r="AE152" s="110"/>
      <c r="AF152" s="110"/>
    </row>
    <row r="153">
      <c r="A153" s="125" t="s">
        <v>1451</v>
      </c>
      <c r="B153" s="125" t="s">
        <v>1452</v>
      </c>
      <c r="C153" s="126">
        <v>4.400300662E9</v>
      </c>
      <c r="D153" s="134">
        <v>-0.3855909664888869</v>
      </c>
      <c r="E153" s="128">
        <v>65.64</v>
      </c>
      <c r="F153" s="128">
        <v>57.99</v>
      </c>
      <c r="G153" s="128">
        <v>53.61</v>
      </c>
      <c r="H153" s="129">
        <v>45.95</v>
      </c>
      <c r="I153" s="128">
        <v>57.11</v>
      </c>
      <c r="J153" s="129">
        <v>50.12</v>
      </c>
      <c r="K153" s="128">
        <v>44.97</v>
      </c>
      <c r="L153" s="128">
        <v>43.36</v>
      </c>
      <c r="M153" s="128">
        <v>14.79</v>
      </c>
      <c r="N153" s="129">
        <v>6.03</v>
      </c>
      <c r="O153" s="127">
        <v>-0.131919296430419</v>
      </c>
      <c r="P153" s="130">
        <v>-0.16670293797606084</v>
      </c>
      <c r="Q153" s="127">
        <v>-0.13946528332003197</v>
      </c>
      <c r="R153" s="127">
        <v>-0.03713099630996309</v>
      </c>
      <c r="S153" s="127">
        <v>-1.4527363184079598</v>
      </c>
      <c r="T153" s="110"/>
      <c r="U153" s="110"/>
      <c r="V153" s="131"/>
      <c r="W153" s="110"/>
      <c r="X153" s="110"/>
      <c r="Y153" s="110"/>
      <c r="Z153" s="110"/>
      <c r="AA153" s="131"/>
      <c r="AB153" s="132"/>
      <c r="AC153" s="110"/>
      <c r="AD153" s="110"/>
      <c r="AE153" s="110"/>
      <c r="AF153" s="110"/>
    </row>
    <row r="154">
      <c r="A154" s="125" t="s">
        <v>1453</v>
      </c>
      <c r="B154" s="125" t="s">
        <v>1454</v>
      </c>
      <c r="C154" s="126">
        <v>4.127736594E9</v>
      </c>
      <c r="D154" s="134">
        <v>-0.38800677706727865</v>
      </c>
      <c r="E154" s="128" t="e">
        <v>#N/A</v>
      </c>
      <c r="F154" s="128" t="e">
        <v>#N/A</v>
      </c>
      <c r="G154" s="128" t="e">
        <v>#N/A</v>
      </c>
      <c r="H154" s="129" t="e">
        <v>#N/A</v>
      </c>
      <c r="I154" s="128" t="e">
        <v>#N/A</v>
      </c>
      <c r="J154" s="129" t="e">
        <v>#N/A</v>
      </c>
      <c r="K154" s="128">
        <v>28.58</v>
      </c>
      <c r="L154" s="128">
        <v>26.75</v>
      </c>
      <c r="M154" s="128">
        <v>29.2</v>
      </c>
      <c r="N154" s="129">
        <v>17.1</v>
      </c>
      <c r="O154" s="127" t="e">
        <v>#N/A</v>
      </c>
      <c r="P154" s="130" t="e">
        <v>#N/A</v>
      </c>
      <c r="Q154" s="127" t="e">
        <v>#N/A</v>
      </c>
      <c r="R154" s="127">
        <v>-0.06841121495327096</v>
      </c>
      <c r="S154" s="127">
        <v>-0.7076023391812863</v>
      </c>
      <c r="T154" s="110"/>
      <c r="U154" s="110"/>
      <c r="V154" s="131"/>
      <c r="W154" s="110"/>
      <c r="X154" s="110"/>
      <c r="Y154" s="110"/>
      <c r="Z154" s="110"/>
      <c r="AA154" s="131"/>
      <c r="AB154" s="132"/>
      <c r="AC154" s="110"/>
      <c r="AD154" s="110"/>
      <c r="AE154" s="110"/>
      <c r="AF154" s="110"/>
    </row>
    <row r="155">
      <c r="A155" s="125" t="s">
        <v>1455</v>
      </c>
      <c r="B155" s="125" t="s">
        <v>1456</v>
      </c>
      <c r="C155" s="126">
        <v>3.567643968E9</v>
      </c>
      <c r="D155" s="134">
        <v>-0.39020953437129713</v>
      </c>
      <c r="E155" s="128">
        <v>15.17</v>
      </c>
      <c r="F155" s="128">
        <v>13.73</v>
      </c>
      <c r="G155" s="128">
        <v>10.94</v>
      </c>
      <c r="H155" s="129">
        <v>9.3</v>
      </c>
      <c r="I155" s="128">
        <v>14.85</v>
      </c>
      <c r="J155" s="129">
        <v>13.09</v>
      </c>
      <c r="K155" s="128">
        <v>62.28</v>
      </c>
      <c r="L155" s="128">
        <v>59.38</v>
      </c>
      <c r="M155" s="128">
        <v>44.31</v>
      </c>
      <c r="N155" s="129">
        <v>17.82</v>
      </c>
      <c r="O155" s="127">
        <v>-0.1048798252002913</v>
      </c>
      <c r="P155" s="130">
        <v>-0.17634408602150523</v>
      </c>
      <c r="Q155" s="127">
        <v>-0.13445378151260504</v>
      </c>
      <c r="R155" s="127">
        <v>-0.04883799259009765</v>
      </c>
      <c r="S155" s="127">
        <v>-1.4865319865319866</v>
      </c>
      <c r="T155" s="110"/>
      <c r="U155" s="110"/>
      <c r="V155" s="131"/>
      <c r="W155" s="110"/>
      <c r="X155" s="110"/>
      <c r="Y155" s="110"/>
      <c r="Z155" s="110"/>
      <c r="AA155" s="131"/>
      <c r="AB155" s="132"/>
      <c r="AC155" s="110"/>
      <c r="AD155" s="110"/>
      <c r="AE155" s="110"/>
      <c r="AF155" s="110"/>
    </row>
    <row r="156">
      <c r="A156" s="125" t="s">
        <v>1457</v>
      </c>
      <c r="B156" s="125" t="s">
        <v>1458</v>
      </c>
      <c r="C156" s="126">
        <v>6.913818102E9</v>
      </c>
      <c r="D156" s="134">
        <v>-0.39070689899419175</v>
      </c>
      <c r="E156" s="128" t="e">
        <v>#N/A</v>
      </c>
      <c r="F156" s="128" t="e">
        <v>#N/A</v>
      </c>
      <c r="G156" s="128" t="e">
        <v>#N/A</v>
      </c>
      <c r="H156" s="129" t="e">
        <v>#N/A</v>
      </c>
      <c r="I156" s="128" t="e">
        <v>#N/A</v>
      </c>
      <c r="J156" s="129" t="e">
        <v>#N/A</v>
      </c>
      <c r="K156" s="128" t="e">
        <v>#N/A</v>
      </c>
      <c r="L156" s="128" t="e">
        <v>#N/A</v>
      </c>
      <c r="M156" s="128">
        <v>98.17</v>
      </c>
      <c r="N156" s="129">
        <v>70.59</v>
      </c>
      <c r="O156" s="127" t="e">
        <v>#N/A</v>
      </c>
      <c r="P156" s="130" t="e">
        <v>#N/A</v>
      </c>
      <c r="Q156" s="127" t="e">
        <v>#N/A</v>
      </c>
      <c r="R156" s="127" t="e">
        <v>#N/A</v>
      </c>
      <c r="S156" s="127">
        <v>-0.39070689899419175</v>
      </c>
      <c r="T156" s="110"/>
      <c r="U156" s="110"/>
      <c r="V156" s="131"/>
      <c r="W156" s="110"/>
      <c r="X156" s="110"/>
      <c r="Y156" s="110"/>
      <c r="Z156" s="110"/>
      <c r="AA156" s="131"/>
      <c r="AB156" s="132"/>
      <c r="AC156" s="110"/>
      <c r="AD156" s="110"/>
      <c r="AE156" s="110"/>
      <c r="AF156" s="110"/>
    </row>
    <row r="157">
      <c r="A157" s="125" t="s">
        <v>1459</v>
      </c>
      <c r="B157" s="125" t="s">
        <v>1460</v>
      </c>
      <c r="C157" s="126">
        <v>4.635530465E9</v>
      </c>
      <c r="D157" s="134">
        <v>-0.40082870034233514</v>
      </c>
      <c r="E157" s="128" t="e">
        <v>#N/A</v>
      </c>
      <c r="F157" s="128" t="e">
        <v>#N/A</v>
      </c>
      <c r="G157" s="128" t="e">
        <v>#N/A</v>
      </c>
      <c r="H157" s="129" t="e">
        <v>#N/A</v>
      </c>
      <c r="I157" s="128" t="e">
        <v>#N/A</v>
      </c>
      <c r="J157" s="129" t="e">
        <v>#N/A</v>
      </c>
      <c r="K157" s="128">
        <v>27.72</v>
      </c>
      <c r="L157" s="128">
        <v>26.78</v>
      </c>
      <c r="M157" s="128">
        <v>101.63</v>
      </c>
      <c r="N157" s="129">
        <v>57.53</v>
      </c>
      <c r="O157" s="127" t="e">
        <v>#N/A</v>
      </c>
      <c r="P157" s="130" t="e">
        <v>#N/A</v>
      </c>
      <c r="Q157" s="127" t="e">
        <v>#N/A</v>
      </c>
      <c r="R157" s="127">
        <v>-0.03510082150858841</v>
      </c>
      <c r="S157" s="127">
        <v>-0.7665565791760819</v>
      </c>
      <c r="T157" s="110"/>
      <c r="U157" s="110"/>
      <c r="V157" s="131"/>
      <c r="W157" s="110"/>
      <c r="X157" s="110"/>
      <c r="Y157" s="110"/>
      <c r="Z157" s="110"/>
      <c r="AA157" s="131"/>
      <c r="AB157" s="132"/>
      <c r="AC157" s="110"/>
      <c r="AD157" s="110"/>
      <c r="AE157" s="110"/>
      <c r="AF157" s="110"/>
    </row>
    <row r="158">
      <c r="A158" s="125" t="s">
        <v>1461</v>
      </c>
      <c r="B158" s="125" t="s">
        <v>1462</v>
      </c>
      <c r="C158" s="126">
        <v>6.63566207E9</v>
      </c>
      <c r="D158" s="134">
        <v>-0.40409655958699503</v>
      </c>
      <c r="E158" s="128" t="e">
        <v>#N/A</v>
      </c>
      <c r="F158" s="128" t="e">
        <v>#N/A</v>
      </c>
      <c r="G158" s="128" t="e">
        <v>#N/A</v>
      </c>
      <c r="H158" s="129" t="e">
        <v>#N/A</v>
      </c>
      <c r="I158" s="128" t="e">
        <v>#N/A</v>
      </c>
      <c r="J158" s="129" t="e">
        <v>#N/A</v>
      </c>
      <c r="K158" s="128">
        <v>29.27</v>
      </c>
      <c r="L158" s="128">
        <v>28.27</v>
      </c>
      <c r="M158" s="128">
        <v>78.27</v>
      </c>
      <c r="N158" s="129">
        <v>44.15</v>
      </c>
      <c r="O158" s="127" t="e">
        <v>#N/A</v>
      </c>
      <c r="P158" s="130" t="e">
        <v>#N/A</v>
      </c>
      <c r="Q158" s="127" t="e">
        <v>#N/A</v>
      </c>
      <c r="R158" s="127">
        <v>-0.035373187124159884</v>
      </c>
      <c r="S158" s="127">
        <v>-0.7728199320498301</v>
      </c>
      <c r="T158" s="110"/>
      <c r="U158" s="110"/>
      <c r="V158" s="131"/>
      <c r="W158" s="110"/>
      <c r="X158" s="110"/>
      <c r="Y158" s="110"/>
      <c r="Z158" s="110"/>
      <c r="AA158" s="131"/>
      <c r="AB158" s="132"/>
      <c r="AC158" s="110"/>
      <c r="AD158" s="110"/>
      <c r="AE158" s="110"/>
      <c r="AF158" s="110"/>
    </row>
    <row r="159">
      <c r="A159" s="125" t="s">
        <v>1463</v>
      </c>
      <c r="B159" s="125" t="s">
        <v>1464</v>
      </c>
      <c r="C159" s="126">
        <v>3.806467645E9</v>
      </c>
      <c r="D159" s="134">
        <v>-0.4129258198026107</v>
      </c>
      <c r="E159" s="128" t="e">
        <v>#N/A</v>
      </c>
      <c r="F159" s="128" t="e">
        <v>#N/A</v>
      </c>
      <c r="G159" s="128" t="e">
        <v>#N/A</v>
      </c>
      <c r="H159" s="129" t="e">
        <v>#N/A</v>
      </c>
      <c r="I159" s="128" t="e">
        <v>#N/A</v>
      </c>
      <c r="J159" s="129" t="e">
        <v>#N/A</v>
      </c>
      <c r="K159" s="128" t="e">
        <v>#N/A</v>
      </c>
      <c r="L159" s="128" t="e">
        <v>#N/A</v>
      </c>
      <c r="M159" s="128">
        <v>88.76</v>
      </c>
      <c r="N159" s="129">
        <v>62.82</v>
      </c>
      <c r="O159" s="127" t="e">
        <v>#N/A</v>
      </c>
      <c r="P159" s="130" t="e">
        <v>#N/A</v>
      </c>
      <c r="Q159" s="127" t="e">
        <v>#N/A</v>
      </c>
      <c r="R159" s="127" t="e">
        <v>#N/A</v>
      </c>
      <c r="S159" s="127">
        <v>-0.4129258198026107</v>
      </c>
      <c r="T159" s="110"/>
      <c r="U159" s="110"/>
      <c r="V159" s="131"/>
      <c r="W159" s="110"/>
      <c r="X159" s="110"/>
      <c r="Y159" s="110"/>
      <c r="Z159" s="110"/>
      <c r="AA159" s="131"/>
      <c r="AB159" s="132"/>
      <c r="AC159" s="110"/>
      <c r="AD159" s="110"/>
      <c r="AE159" s="110"/>
      <c r="AF159" s="110"/>
    </row>
    <row r="160">
      <c r="A160" s="125" t="s">
        <v>1465</v>
      </c>
      <c r="B160" s="125" t="s">
        <v>1466</v>
      </c>
      <c r="C160" s="126">
        <v>4.044587027E9</v>
      </c>
      <c r="D160" s="134">
        <v>-0.4247881355932203</v>
      </c>
      <c r="E160" s="128" t="e">
        <v>#N/A</v>
      </c>
      <c r="F160" s="128" t="e">
        <v>#N/A</v>
      </c>
      <c r="G160" s="128" t="e">
        <v>#N/A</v>
      </c>
      <c r="H160" s="129" t="e">
        <v>#N/A</v>
      </c>
      <c r="I160" s="128" t="e">
        <v>#N/A</v>
      </c>
      <c r="J160" s="129" t="e">
        <v>#N/A</v>
      </c>
      <c r="K160" s="128" t="e">
        <v>#N/A</v>
      </c>
      <c r="L160" s="128" t="e">
        <v>#N/A</v>
      </c>
      <c r="M160" s="128">
        <v>13.45</v>
      </c>
      <c r="N160" s="129">
        <v>9.44</v>
      </c>
      <c r="O160" s="127" t="e">
        <v>#N/A</v>
      </c>
      <c r="P160" s="130" t="e">
        <v>#N/A</v>
      </c>
      <c r="Q160" s="127" t="e">
        <v>#N/A</v>
      </c>
      <c r="R160" s="127" t="e">
        <v>#N/A</v>
      </c>
      <c r="S160" s="127">
        <v>-0.4247881355932203</v>
      </c>
      <c r="T160" s="110"/>
      <c r="U160" s="110"/>
      <c r="V160" s="131"/>
      <c r="W160" s="110"/>
      <c r="X160" s="110"/>
      <c r="Y160" s="110"/>
      <c r="Z160" s="110"/>
      <c r="AA160" s="131"/>
      <c r="AB160" s="132"/>
      <c r="AC160" s="110"/>
      <c r="AD160" s="110"/>
      <c r="AE160" s="110"/>
      <c r="AF160" s="110"/>
    </row>
    <row r="161">
      <c r="A161" s="125" t="s">
        <v>1467</v>
      </c>
      <c r="B161" s="125" t="s">
        <v>1468</v>
      </c>
      <c r="C161" s="126">
        <v>4.118573746E9</v>
      </c>
      <c r="D161" s="134">
        <v>-0.42736230587609</v>
      </c>
      <c r="E161" s="128">
        <v>20.11</v>
      </c>
      <c r="F161" s="128">
        <v>18.79</v>
      </c>
      <c r="G161" s="128">
        <v>21.72</v>
      </c>
      <c r="H161" s="129">
        <v>19.97</v>
      </c>
      <c r="I161" s="128">
        <v>16.19</v>
      </c>
      <c r="J161" s="129">
        <v>13.98</v>
      </c>
      <c r="K161" s="128">
        <v>17.22</v>
      </c>
      <c r="L161" s="128">
        <v>16.13</v>
      </c>
      <c r="M161" s="128">
        <v>14.73</v>
      </c>
      <c r="N161" s="135">
        <v>5.35</v>
      </c>
      <c r="O161" s="127">
        <v>-0.07025013304949443</v>
      </c>
      <c r="P161" s="130">
        <v>-0.08763144717075613</v>
      </c>
      <c r="Q161" s="127">
        <v>-0.15808297567954227</v>
      </c>
      <c r="R161" s="127">
        <v>-0.0675759454432734</v>
      </c>
      <c r="S161" s="127">
        <v>-1.7532710280373835</v>
      </c>
      <c r="T161" s="110"/>
      <c r="U161" s="110"/>
      <c r="V161" s="131"/>
      <c r="W161" s="110"/>
      <c r="X161" s="110"/>
      <c r="Y161" s="110"/>
      <c r="Z161" s="110"/>
      <c r="AA161" s="131"/>
      <c r="AB161" s="132"/>
      <c r="AC161" s="110"/>
      <c r="AD161" s="110"/>
      <c r="AE161" s="110"/>
      <c r="AF161" s="110"/>
    </row>
    <row r="162">
      <c r="A162" s="125" t="s">
        <v>1469</v>
      </c>
      <c r="B162" s="125" t="s">
        <v>1470</v>
      </c>
      <c r="C162" s="126">
        <v>3.607080645E9</v>
      </c>
      <c r="D162" s="134">
        <v>-0.43026013756501696</v>
      </c>
      <c r="E162" s="128" t="e">
        <v>#N/A</v>
      </c>
      <c r="F162" s="128" t="e">
        <v>#N/A</v>
      </c>
      <c r="G162" s="128" t="e">
        <v>#N/A</v>
      </c>
      <c r="H162" s="129" t="e">
        <v>#N/A</v>
      </c>
      <c r="I162" s="128" t="e">
        <v>#N/A</v>
      </c>
      <c r="J162" s="129" t="e">
        <v>#N/A</v>
      </c>
      <c r="K162" s="128">
        <v>13.46</v>
      </c>
      <c r="L162" s="128">
        <v>13.47</v>
      </c>
      <c r="M162" s="128">
        <v>47.76</v>
      </c>
      <c r="N162" s="129">
        <v>25.66</v>
      </c>
      <c r="O162" s="127" t="e">
        <v>#N/A</v>
      </c>
      <c r="P162" s="130" t="e">
        <v>#N/A</v>
      </c>
      <c r="Q162" s="127" t="e">
        <v>#N/A</v>
      </c>
      <c r="R162" s="127">
        <v>7.423904974016174E-4</v>
      </c>
      <c r="S162" s="127">
        <v>-0.8612626656274356</v>
      </c>
      <c r="T162" s="110"/>
      <c r="U162" s="110"/>
      <c r="V162" s="131"/>
      <c r="W162" s="110"/>
      <c r="X162" s="110"/>
      <c r="Y162" s="110"/>
      <c r="Z162" s="110"/>
      <c r="AA162" s="131"/>
      <c r="AB162" s="132"/>
      <c r="AC162" s="110"/>
      <c r="AD162" s="110"/>
      <c r="AE162" s="110"/>
      <c r="AF162" s="110"/>
    </row>
    <row r="163">
      <c r="A163" s="125" t="s">
        <v>1471</v>
      </c>
      <c r="B163" s="125" t="s">
        <v>1472</v>
      </c>
      <c r="C163" s="126">
        <v>4.091710954E9</v>
      </c>
      <c r="D163" s="134">
        <v>-0.43108877112073035</v>
      </c>
      <c r="E163" s="128" t="e">
        <v>#N/A</v>
      </c>
      <c r="F163" s="128" t="e">
        <v>#N/A</v>
      </c>
      <c r="G163" s="128" t="e">
        <v>#N/A</v>
      </c>
      <c r="H163" s="129" t="e">
        <v>#N/A</v>
      </c>
      <c r="I163" s="128" t="e">
        <v>#N/A</v>
      </c>
      <c r="J163" s="129" t="e">
        <v>#N/A</v>
      </c>
      <c r="K163" s="128">
        <v>14.07</v>
      </c>
      <c r="L163" s="128">
        <v>13.01</v>
      </c>
      <c r="M163" s="128">
        <v>16.24</v>
      </c>
      <c r="N163" s="129">
        <v>9.12</v>
      </c>
      <c r="O163" s="127" t="e">
        <v>#N/A</v>
      </c>
      <c r="P163" s="130" t="e">
        <v>#N/A</v>
      </c>
      <c r="Q163" s="127" t="e">
        <v>#N/A</v>
      </c>
      <c r="R163" s="127">
        <v>-0.08147578785549581</v>
      </c>
      <c r="S163" s="127">
        <v>-0.7807017543859649</v>
      </c>
      <c r="T163" s="110"/>
      <c r="U163" s="110"/>
      <c r="V163" s="131"/>
      <c r="W163" s="110"/>
      <c r="X163" s="110"/>
      <c r="Y163" s="110"/>
      <c r="Z163" s="110"/>
      <c r="AA163" s="131"/>
      <c r="AB163" s="132"/>
      <c r="AC163" s="110"/>
      <c r="AD163" s="110"/>
      <c r="AE163" s="110"/>
      <c r="AF163" s="110"/>
    </row>
    <row r="164">
      <c r="A164" s="125" t="s">
        <v>1473</v>
      </c>
      <c r="B164" s="125" t="s">
        <v>1474</v>
      </c>
      <c r="C164" s="126">
        <v>4.335872148E9</v>
      </c>
      <c r="D164" s="134">
        <v>-0.4777278416202071</v>
      </c>
      <c r="E164" s="128" t="e">
        <v>#N/A</v>
      </c>
      <c r="F164" s="128" t="e">
        <v>#N/A</v>
      </c>
      <c r="G164" s="128" t="e">
        <v>#N/A</v>
      </c>
      <c r="H164" s="129" t="e">
        <v>#N/A</v>
      </c>
      <c r="I164" s="128" t="e">
        <v>#N/A</v>
      </c>
      <c r="J164" s="129" t="e">
        <v>#N/A</v>
      </c>
      <c r="K164" s="128">
        <v>28.5</v>
      </c>
      <c r="L164" s="128">
        <v>25.85</v>
      </c>
      <c r="M164" s="128">
        <v>23.94</v>
      </c>
      <c r="N164" s="129">
        <v>12.92</v>
      </c>
      <c r="O164" s="127" t="e">
        <v>#N/A</v>
      </c>
      <c r="P164" s="130" t="e">
        <v>#N/A</v>
      </c>
      <c r="Q164" s="127" t="e">
        <v>#N/A</v>
      </c>
      <c r="R164" s="127">
        <v>-0.10251450676982586</v>
      </c>
      <c r="S164" s="127">
        <v>-0.8529411764705883</v>
      </c>
      <c r="T164" s="110"/>
      <c r="U164" s="110"/>
      <c r="V164" s="131"/>
      <c r="W164" s="110"/>
      <c r="X164" s="110"/>
      <c r="Y164" s="110"/>
      <c r="Z164" s="110"/>
      <c r="AA164" s="131"/>
      <c r="AB164" s="132"/>
      <c r="AC164" s="110"/>
      <c r="AD164" s="110"/>
      <c r="AE164" s="110"/>
      <c r="AF164" s="110"/>
    </row>
    <row r="165">
      <c r="A165" s="125" t="s">
        <v>1475</v>
      </c>
      <c r="B165" s="125" t="s">
        <v>1476</v>
      </c>
      <c r="C165" s="126">
        <v>8.39496158E9</v>
      </c>
      <c r="D165" s="134">
        <v>-0.5041931441273293</v>
      </c>
      <c r="E165" s="128">
        <v>39.09</v>
      </c>
      <c r="F165" s="128">
        <v>35.15</v>
      </c>
      <c r="G165" s="128">
        <v>23.34</v>
      </c>
      <c r="H165" s="129">
        <v>18.74</v>
      </c>
      <c r="I165" s="128">
        <v>44.31</v>
      </c>
      <c r="J165" s="129">
        <v>39.79</v>
      </c>
      <c r="K165" s="128">
        <v>22.4</v>
      </c>
      <c r="L165" s="128">
        <v>21.84</v>
      </c>
      <c r="M165" s="128">
        <v>71.31</v>
      </c>
      <c r="N165" s="129">
        <v>23.58</v>
      </c>
      <c r="O165" s="127">
        <v>-0.11209103840682802</v>
      </c>
      <c r="P165" s="130">
        <v>-0.2454642475987194</v>
      </c>
      <c r="Q165" s="127">
        <v>-0.1135963810002514</v>
      </c>
      <c r="R165" s="127">
        <v>-0.02564102564102558</v>
      </c>
      <c r="S165" s="127">
        <v>-2.0241730279898222</v>
      </c>
      <c r="T165" s="110"/>
      <c r="U165" s="110"/>
      <c r="V165" s="131"/>
      <c r="W165" s="110"/>
      <c r="X165" s="110"/>
      <c r="Y165" s="110"/>
      <c r="Z165" s="110"/>
      <c r="AA165" s="131"/>
      <c r="AB165" s="132"/>
      <c r="AC165" s="110"/>
      <c r="AD165" s="110"/>
      <c r="AE165" s="110"/>
      <c r="AF165" s="110"/>
    </row>
    <row r="166">
      <c r="A166" s="125" t="s">
        <v>1477</v>
      </c>
      <c r="B166" s="125" t="s">
        <v>1478</v>
      </c>
      <c r="C166" s="126">
        <v>5.171845635E9</v>
      </c>
      <c r="D166" s="134">
        <v>-0.5043456856973944</v>
      </c>
      <c r="E166" s="128">
        <v>50.24</v>
      </c>
      <c r="F166" s="128">
        <v>44.91</v>
      </c>
      <c r="G166" s="128">
        <v>40.45</v>
      </c>
      <c r="H166" s="129">
        <v>35.67</v>
      </c>
      <c r="I166" s="128">
        <v>56.84</v>
      </c>
      <c r="J166" s="129">
        <v>51.31</v>
      </c>
      <c r="K166" s="128">
        <v>54.75</v>
      </c>
      <c r="L166" s="128">
        <v>51.37</v>
      </c>
      <c r="M166" s="128">
        <v>45.07</v>
      </c>
      <c r="N166" s="129">
        <v>14.56</v>
      </c>
      <c r="O166" s="127">
        <v>-0.1186818080605657</v>
      </c>
      <c r="P166" s="130">
        <v>-0.1340061676478834</v>
      </c>
      <c r="Q166" s="127">
        <v>-0.10777626193724422</v>
      </c>
      <c r="R166" s="127">
        <v>-0.06579715787424573</v>
      </c>
      <c r="S166" s="127">
        <v>-2.095467032967033</v>
      </c>
      <c r="T166" s="110"/>
      <c r="U166" s="110"/>
      <c r="V166" s="131"/>
      <c r="W166" s="110"/>
      <c r="X166" s="110"/>
      <c r="Y166" s="110"/>
      <c r="Z166" s="110"/>
      <c r="AA166" s="131"/>
      <c r="AB166" s="132"/>
      <c r="AC166" s="110"/>
      <c r="AD166" s="110"/>
      <c r="AE166" s="110"/>
      <c r="AF166" s="110"/>
    </row>
    <row r="167">
      <c r="A167" s="125" t="s">
        <v>1479</v>
      </c>
      <c r="B167" s="125" t="s">
        <v>1480</v>
      </c>
      <c r="C167" s="126">
        <v>7.405538662E9</v>
      </c>
      <c r="D167" s="134">
        <v>-0.5056326337009368</v>
      </c>
      <c r="E167" s="128" t="e">
        <v>#N/A</v>
      </c>
      <c r="F167" s="128" t="e">
        <v>#N/A</v>
      </c>
      <c r="G167" s="128" t="e">
        <v>#N/A</v>
      </c>
      <c r="H167" s="129" t="e">
        <v>#N/A</v>
      </c>
      <c r="I167" s="128" t="e">
        <v>#N/A</v>
      </c>
      <c r="J167" s="129" t="e">
        <v>#N/A</v>
      </c>
      <c r="K167" s="128" t="e">
        <v>#N/A</v>
      </c>
      <c r="L167" s="128" t="e">
        <v>#N/A</v>
      </c>
      <c r="M167" s="128">
        <v>126.97</v>
      </c>
      <c r="N167" s="129">
        <v>84.33</v>
      </c>
      <c r="O167" s="127" t="e">
        <v>#N/A</v>
      </c>
      <c r="P167" s="130" t="e">
        <v>#N/A</v>
      </c>
      <c r="Q167" s="127" t="e">
        <v>#N/A</v>
      </c>
      <c r="R167" s="127" t="e">
        <v>#N/A</v>
      </c>
      <c r="S167" s="127">
        <v>-0.5056326337009368</v>
      </c>
      <c r="T167" s="110"/>
      <c r="U167" s="110"/>
      <c r="V167" s="131"/>
      <c r="W167" s="110"/>
      <c r="X167" s="110"/>
      <c r="Y167" s="110"/>
      <c r="Z167" s="110"/>
      <c r="AA167" s="131"/>
      <c r="AB167" s="132"/>
      <c r="AC167" s="110"/>
      <c r="AD167" s="110"/>
      <c r="AE167" s="110"/>
      <c r="AF167" s="110"/>
    </row>
    <row r="168">
      <c r="A168" s="125" t="s">
        <v>1481</v>
      </c>
      <c r="B168" s="125" t="s">
        <v>1482</v>
      </c>
      <c r="C168" s="126">
        <v>3.729092717E9</v>
      </c>
      <c r="D168" s="134">
        <v>-0.5157828282828284</v>
      </c>
      <c r="E168" s="128" t="e">
        <v>#N/A</v>
      </c>
      <c r="F168" s="128" t="e">
        <v>#N/A</v>
      </c>
      <c r="G168" s="128" t="e">
        <v>#N/A</v>
      </c>
      <c r="H168" s="129" t="e">
        <v>#N/A</v>
      </c>
      <c r="I168" s="128" t="e">
        <v>#N/A</v>
      </c>
      <c r="J168" s="129" t="e">
        <v>#N/A</v>
      </c>
      <c r="K168" s="128" t="e">
        <v>#N/A</v>
      </c>
      <c r="L168" s="128" t="e">
        <v>#N/A</v>
      </c>
      <c r="M168" s="128">
        <v>24.01</v>
      </c>
      <c r="N168" s="129">
        <v>15.84</v>
      </c>
      <c r="O168" s="127" t="e">
        <v>#N/A</v>
      </c>
      <c r="P168" s="130" t="e">
        <v>#N/A</v>
      </c>
      <c r="Q168" s="127" t="e">
        <v>#N/A</v>
      </c>
      <c r="R168" s="127" t="e">
        <v>#N/A</v>
      </c>
      <c r="S168" s="127">
        <v>-0.5157828282828284</v>
      </c>
      <c r="T168" s="110"/>
      <c r="U168" s="110"/>
      <c r="V168" s="131"/>
      <c r="W168" s="110"/>
      <c r="X168" s="110"/>
      <c r="Y168" s="110"/>
      <c r="Z168" s="110"/>
      <c r="AA168" s="131"/>
      <c r="AB168" s="132"/>
      <c r="AC168" s="110"/>
      <c r="AD168" s="110"/>
      <c r="AE168" s="110"/>
      <c r="AF168" s="110"/>
    </row>
    <row r="169">
      <c r="A169" s="125" t="s">
        <v>1483</v>
      </c>
      <c r="B169" s="125" t="s">
        <v>1484</v>
      </c>
      <c r="C169" s="126">
        <v>3.904959357E9</v>
      </c>
      <c r="D169" s="134">
        <v>-0.545207886776211</v>
      </c>
      <c r="E169" s="128">
        <v>23.55</v>
      </c>
      <c r="F169" s="128">
        <v>20.21</v>
      </c>
      <c r="G169" s="128">
        <v>15.05</v>
      </c>
      <c r="H169" s="129">
        <v>13.38</v>
      </c>
      <c r="I169" s="128">
        <v>26.8</v>
      </c>
      <c r="J169" s="129">
        <v>23.47</v>
      </c>
      <c r="K169" s="128">
        <v>14.66</v>
      </c>
      <c r="L169" s="128">
        <v>13.64</v>
      </c>
      <c r="M169" s="128">
        <v>7.34</v>
      </c>
      <c r="N169" s="129">
        <v>2.28</v>
      </c>
      <c r="O169" s="127">
        <v>-0.165264720435428</v>
      </c>
      <c r="P169" s="130">
        <v>-0.12481315396113601</v>
      </c>
      <c r="Q169" s="127">
        <v>-0.14188325521942916</v>
      </c>
      <c r="R169" s="127">
        <v>-0.07478005865102635</v>
      </c>
      <c r="S169" s="127">
        <v>-2.2192982456140355</v>
      </c>
      <c r="T169" s="110"/>
      <c r="U169" s="110"/>
      <c r="V169" s="131"/>
      <c r="W169" s="110"/>
      <c r="X169" s="110"/>
      <c r="Y169" s="110"/>
      <c r="Z169" s="110"/>
      <c r="AA169" s="131"/>
      <c r="AB169" s="132"/>
      <c r="AC169" s="110"/>
      <c r="AD169" s="110"/>
      <c r="AE169" s="110"/>
      <c r="AF169" s="110"/>
    </row>
    <row r="170">
      <c r="A170" s="125" t="s">
        <v>1485</v>
      </c>
      <c r="B170" s="125" t="s">
        <v>1486</v>
      </c>
      <c r="C170" s="126">
        <v>5.313791468E9</v>
      </c>
      <c r="D170" s="134">
        <v>-0.5641622985827994</v>
      </c>
      <c r="E170" s="128" t="e">
        <v>#N/A</v>
      </c>
      <c r="F170" s="128" t="e">
        <v>#N/A</v>
      </c>
      <c r="G170" s="128" t="e">
        <v>#N/A</v>
      </c>
      <c r="H170" s="129" t="e">
        <v>#N/A</v>
      </c>
      <c r="I170" s="128" t="e">
        <v>#N/A</v>
      </c>
      <c r="J170" s="129" t="e">
        <v>#N/A</v>
      </c>
      <c r="K170" s="128" t="e">
        <v>#N/A</v>
      </c>
      <c r="L170" s="128" t="e">
        <v>#N/A</v>
      </c>
      <c r="M170" s="128">
        <v>80.57</v>
      </c>
      <c r="N170" s="129">
        <v>51.51</v>
      </c>
      <c r="O170" s="127" t="e">
        <v>#N/A</v>
      </c>
      <c r="P170" s="130" t="e">
        <v>#N/A</v>
      </c>
      <c r="Q170" s="127" t="e">
        <v>#N/A</v>
      </c>
      <c r="R170" s="127" t="e">
        <v>#N/A</v>
      </c>
      <c r="S170" s="127">
        <v>-0.5641622985827994</v>
      </c>
      <c r="T170" s="110"/>
      <c r="U170" s="110"/>
      <c r="V170" s="131"/>
      <c r="W170" s="110"/>
      <c r="X170" s="110"/>
      <c r="Y170" s="110"/>
      <c r="Z170" s="110"/>
      <c r="AA170" s="131"/>
      <c r="AB170" s="132"/>
      <c r="AC170" s="110"/>
      <c r="AD170" s="110"/>
      <c r="AE170" s="110"/>
      <c r="AF170" s="110"/>
    </row>
    <row r="171">
      <c r="A171" s="125" t="s">
        <v>1487</v>
      </c>
      <c r="B171" s="125" t="s">
        <v>1488</v>
      </c>
      <c r="C171" s="126">
        <v>7.753987559E9</v>
      </c>
      <c r="D171" s="134">
        <v>-0.5663962467904801</v>
      </c>
      <c r="E171" s="128">
        <v>62.06</v>
      </c>
      <c r="F171" s="128">
        <v>55.41</v>
      </c>
      <c r="G171" s="128">
        <v>52.39</v>
      </c>
      <c r="H171" s="129">
        <v>45.48</v>
      </c>
      <c r="I171" s="128">
        <v>47.64</v>
      </c>
      <c r="J171" s="129">
        <v>43.56</v>
      </c>
      <c r="K171" s="128">
        <v>29.27</v>
      </c>
      <c r="L171" s="128">
        <v>27.63</v>
      </c>
      <c r="M171" s="128">
        <v>22.35</v>
      </c>
      <c r="N171" s="129">
        <v>6.56</v>
      </c>
      <c r="O171" s="127">
        <v>-0.12001443782710713</v>
      </c>
      <c r="P171" s="130">
        <v>-0.15193491644678989</v>
      </c>
      <c r="Q171" s="127">
        <v>-0.09366391184572999</v>
      </c>
      <c r="R171" s="127">
        <v>-0.05935577271082159</v>
      </c>
      <c r="S171" s="127">
        <v>-2.407012195121952</v>
      </c>
      <c r="T171" s="110"/>
      <c r="U171" s="110"/>
      <c r="V171" s="131"/>
      <c r="W171" s="110"/>
      <c r="X171" s="110"/>
      <c r="Y171" s="110"/>
      <c r="Z171" s="110"/>
      <c r="AA171" s="131"/>
      <c r="AB171" s="132"/>
      <c r="AC171" s="110"/>
      <c r="AD171" s="110"/>
      <c r="AE171" s="110"/>
      <c r="AF171" s="110"/>
    </row>
    <row r="172">
      <c r="A172" s="125" t="s">
        <v>1489</v>
      </c>
      <c r="B172" s="125" t="s">
        <v>1490</v>
      </c>
      <c r="C172" s="126">
        <v>3.900087476E9</v>
      </c>
      <c r="D172" s="134">
        <v>-0.6044692579771223</v>
      </c>
      <c r="E172" s="128" t="e">
        <v>#N/A</v>
      </c>
      <c r="F172" s="128" t="e">
        <v>#N/A</v>
      </c>
      <c r="G172" s="128" t="e">
        <v>#N/A</v>
      </c>
      <c r="H172" s="129" t="e">
        <v>#N/A</v>
      </c>
      <c r="I172" s="128" t="e">
        <v>#N/A</v>
      </c>
      <c r="J172" s="129" t="e">
        <v>#N/A</v>
      </c>
      <c r="K172" s="128">
        <v>17.32</v>
      </c>
      <c r="L172" s="133">
        <v>16.61</v>
      </c>
      <c r="M172" s="128">
        <v>15.25</v>
      </c>
      <c r="N172" s="129">
        <v>7.04</v>
      </c>
      <c r="O172" s="127" t="e">
        <v>#N/A</v>
      </c>
      <c r="P172" s="130" t="e">
        <v>#N/A</v>
      </c>
      <c r="Q172" s="127" t="e">
        <v>#N/A</v>
      </c>
      <c r="R172" s="127">
        <v>-0.042745334136062664</v>
      </c>
      <c r="S172" s="127">
        <v>-1.1661931818181819</v>
      </c>
      <c r="T172" s="110"/>
      <c r="U172" s="110"/>
      <c r="V172" s="131"/>
      <c r="W172" s="110"/>
      <c r="X172" s="110"/>
      <c r="Y172" s="110"/>
      <c r="Z172" s="110"/>
      <c r="AA172" s="131"/>
      <c r="AB172" s="132"/>
      <c r="AC172" s="110"/>
      <c r="AD172" s="110"/>
      <c r="AE172" s="110"/>
      <c r="AF172" s="110"/>
    </row>
    <row r="173">
      <c r="A173" s="125" t="s">
        <v>1491</v>
      </c>
      <c r="B173" s="125" t="s">
        <v>1492</v>
      </c>
      <c r="C173" s="126">
        <v>4.453484306E9</v>
      </c>
      <c r="D173" s="134">
        <v>-0.6145833333333331</v>
      </c>
      <c r="E173" s="128" t="e">
        <v>#N/A</v>
      </c>
      <c r="F173" s="128" t="e">
        <v>#N/A</v>
      </c>
      <c r="G173" s="128" t="e">
        <v>#N/A</v>
      </c>
      <c r="H173" s="129" t="e">
        <v>#N/A</v>
      </c>
      <c r="I173" s="128" t="e">
        <v>#N/A</v>
      </c>
      <c r="J173" s="129" t="e">
        <v>#N/A</v>
      </c>
      <c r="K173" s="128" t="e">
        <v>#N/A</v>
      </c>
      <c r="L173" s="128" t="e">
        <v>#N/A</v>
      </c>
      <c r="M173" s="128">
        <v>27.9</v>
      </c>
      <c r="N173" s="129">
        <v>17.28</v>
      </c>
      <c r="O173" s="127" t="e">
        <v>#N/A</v>
      </c>
      <c r="P173" s="130" t="e">
        <v>#N/A</v>
      </c>
      <c r="Q173" s="127" t="e">
        <v>#N/A</v>
      </c>
      <c r="R173" s="127" t="e">
        <v>#N/A</v>
      </c>
      <c r="S173" s="127">
        <v>-0.6145833333333331</v>
      </c>
      <c r="T173" s="110"/>
      <c r="U173" s="110"/>
      <c r="V173" s="131"/>
      <c r="W173" s="110"/>
      <c r="X173" s="110"/>
      <c r="Y173" s="110"/>
      <c r="Z173" s="110"/>
      <c r="AA173" s="131"/>
      <c r="AB173" s="132"/>
      <c r="AC173" s="110"/>
      <c r="AD173" s="110"/>
      <c r="AE173" s="110"/>
      <c r="AF173" s="110"/>
    </row>
    <row r="174">
      <c r="A174" s="125" t="s">
        <v>1493</v>
      </c>
      <c r="B174" s="125" t="s">
        <v>1494</v>
      </c>
      <c r="C174" s="126">
        <v>4.901915495E9</v>
      </c>
      <c r="D174" s="134">
        <v>-0.6231349455894548</v>
      </c>
      <c r="E174" s="128">
        <v>33.14</v>
      </c>
      <c r="F174" s="128">
        <v>31.34</v>
      </c>
      <c r="G174" s="128">
        <v>29.93</v>
      </c>
      <c r="H174" s="129">
        <v>25.73</v>
      </c>
      <c r="I174" s="128">
        <v>24.75</v>
      </c>
      <c r="J174" s="129">
        <v>22.18</v>
      </c>
      <c r="K174" s="128">
        <v>52.05</v>
      </c>
      <c r="L174" s="128">
        <v>50.5</v>
      </c>
      <c r="M174" s="128">
        <v>90.3</v>
      </c>
      <c r="N174" s="129">
        <v>24.09</v>
      </c>
      <c r="O174" s="127">
        <v>-0.05743458838544993</v>
      </c>
      <c r="P174" s="130">
        <v>-0.1632335794792071</v>
      </c>
      <c r="Q174" s="127">
        <v>-0.1158701532912534</v>
      </c>
      <c r="R174" s="127">
        <v>-0.030693069306930637</v>
      </c>
      <c r="S174" s="127">
        <v>-2.7484433374844333</v>
      </c>
      <c r="T174" s="110"/>
      <c r="U174" s="110"/>
      <c r="V174" s="131"/>
      <c r="W174" s="110"/>
      <c r="X174" s="110"/>
      <c r="Y174" s="110"/>
      <c r="Z174" s="110"/>
      <c r="AA174" s="131"/>
      <c r="AB174" s="132"/>
      <c r="AC174" s="110"/>
      <c r="AD174" s="110"/>
      <c r="AE174" s="110"/>
      <c r="AF174" s="110"/>
    </row>
    <row r="175">
      <c r="A175" s="125" t="s">
        <v>1495</v>
      </c>
      <c r="B175" s="125" t="s">
        <v>1496</v>
      </c>
      <c r="C175" s="126">
        <v>4.830127809E9</v>
      </c>
      <c r="D175" s="134">
        <v>-0.6265016381507099</v>
      </c>
      <c r="E175" s="128" t="e">
        <v>#N/A</v>
      </c>
      <c r="F175" s="128" t="e">
        <v>#N/A</v>
      </c>
      <c r="G175" s="128" t="e">
        <v>#N/A</v>
      </c>
      <c r="H175" s="129" t="e">
        <v>#N/A</v>
      </c>
      <c r="I175" s="128" t="e">
        <v>#N/A</v>
      </c>
      <c r="J175" s="129" t="e">
        <v>#N/A</v>
      </c>
      <c r="K175" s="128" t="e">
        <v>#N/A</v>
      </c>
      <c r="L175" s="128" t="e">
        <v>#N/A</v>
      </c>
      <c r="M175" s="128">
        <v>44.68</v>
      </c>
      <c r="N175" s="129">
        <v>27.47</v>
      </c>
      <c r="O175" s="127" t="e">
        <v>#N/A</v>
      </c>
      <c r="P175" s="130" t="e">
        <v>#N/A</v>
      </c>
      <c r="Q175" s="127" t="e">
        <v>#N/A</v>
      </c>
      <c r="R175" s="127" t="e">
        <v>#N/A</v>
      </c>
      <c r="S175" s="127">
        <v>-0.6265016381507099</v>
      </c>
      <c r="T175" s="110"/>
      <c r="U175" s="110"/>
      <c r="V175" s="131"/>
      <c r="W175" s="110"/>
      <c r="X175" s="110"/>
      <c r="Y175" s="110"/>
      <c r="Z175" s="110"/>
      <c r="AA175" s="131"/>
      <c r="AB175" s="132"/>
      <c r="AC175" s="110"/>
      <c r="AD175" s="110"/>
      <c r="AE175" s="110"/>
      <c r="AF175" s="110"/>
    </row>
    <row r="176">
      <c r="A176" s="125" t="s">
        <v>1497</v>
      </c>
      <c r="B176" s="125" t="s">
        <v>1498</v>
      </c>
      <c r="C176" s="126">
        <v>6.719750691E9</v>
      </c>
      <c r="D176" s="134">
        <v>-0.6276004446561855</v>
      </c>
      <c r="E176" s="128" t="e">
        <v>#N/A</v>
      </c>
      <c r="F176" s="128" t="e">
        <v>#N/A</v>
      </c>
      <c r="G176" s="128" t="e">
        <v>#N/A</v>
      </c>
      <c r="H176" s="129" t="e">
        <v>#N/A</v>
      </c>
      <c r="I176" s="128" t="e">
        <v>#N/A</v>
      </c>
      <c r="J176" s="129" t="e">
        <v>#N/A</v>
      </c>
      <c r="K176" s="128" t="e">
        <v>#N/A</v>
      </c>
      <c r="L176" s="128" t="e">
        <v>#N/A</v>
      </c>
      <c r="M176" s="128">
        <v>102.49</v>
      </c>
      <c r="N176" s="129">
        <v>62.97</v>
      </c>
      <c r="O176" s="127" t="e">
        <v>#N/A</v>
      </c>
      <c r="P176" s="130" t="e">
        <v>#N/A</v>
      </c>
      <c r="Q176" s="127" t="e">
        <v>#N/A</v>
      </c>
      <c r="R176" s="127" t="e">
        <v>#N/A</v>
      </c>
      <c r="S176" s="127">
        <v>-0.6276004446561855</v>
      </c>
      <c r="T176" s="110"/>
      <c r="U176" s="110"/>
      <c r="V176" s="131"/>
      <c r="W176" s="110"/>
      <c r="X176" s="110"/>
      <c r="Y176" s="110"/>
      <c r="Z176" s="110"/>
      <c r="AA176" s="131"/>
      <c r="AB176" s="132"/>
      <c r="AC176" s="110"/>
      <c r="AD176" s="110"/>
      <c r="AE176" s="110"/>
      <c r="AF176" s="110"/>
    </row>
    <row r="177">
      <c r="A177" s="125" t="s">
        <v>1499</v>
      </c>
      <c r="B177" s="125" t="s">
        <v>1500</v>
      </c>
      <c r="C177" s="126">
        <v>1.045302936E10</v>
      </c>
      <c r="D177" s="134">
        <v>-0.6419466975666279</v>
      </c>
      <c r="E177" s="128" t="e">
        <v>#N/A</v>
      </c>
      <c r="F177" s="128" t="e">
        <v>#N/A</v>
      </c>
      <c r="G177" s="128" t="e">
        <v>#N/A</v>
      </c>
      <c r="H177" s="129" t="e">
        <v>#N/A</v>
      </c>
      <c r="I177" s="128" t="e">
        <v>#N/A</v>
      </c>
      <c r="J177" s="129" t="e">
        <v>#N/A</v>
      </c>
      <c r="K177" s="128" t="e">
        <v>#N/A</v>
      </c>
      <c r="L177" s="128" t="e">
        <v>#N/A</v>
      </c>
      <c r="M177" s="128">
        <v>42.51</v>
      </c>
      <c r="N177" s="129">
        <v>25.89</v>
      </c>
      <c r="O177" s="127" t="e">
        <v>#N/A</v>
      </c>
      <c r="P177" s="130" t="e">
        <v>#N/A</v>
      </c>
      <c r="Q177" s="127" t="e">
        <v>#N/A</v>
      </c>
      <c r="R177" s="127" t="e">
        <v>#N/A</v>
      </c>
      <c r="S177" s="127">
        <v>-0.6419466975666279</v>
      </c>
      <c r="T177" s="110"/>
      <c r="U177" s="110"/>
      <c r="V177" s="131"/>
      <c r="W177" s="110"/>
      <c r="X177" s="110"/>
      <c r="Y177" s="110"/>
      <c r="Z177" s="110"/>
      <c r="AA177" s="131"/>
      <c r="AB177" s="132"/>
      <c r="AC177" s="110"/>
      <c r="AD177" s="110"/>
      <c r="AE177" s="110"/>
      <c r="AF177" s="110"/>
    </row>
    <row r="178">
      <c r="A178" s="125" t="s">
        <v>1501</v>
      </c>
      <c r="B178" s="125" t="s">
        <v>1502</v>
      </c>
      <c r="C178" s="126">
        <v>2.8444440707E10</v>
      </c>
      <c r="D178" s="134">
        <v>-0.6703424260011608</v>
      </c>
      <c r="E178" s="128" t="e">
        <v>#N/A</v>
      </c>
      <c r="F178" s="128" t="e">
        <v>#N/A</v>
      </c>
      <c r="G178" s="128" t="e">
        <v>#N/A</v>
      </c>
      <c r="H178" s="129" t="e">
        <v>#N/A</v>
      </c>
      <c r="I178" s="128" t="e">
        <v>#N/A</v>
      </c>
      <c r="J178" s="129" t="e">
        <v>#N/A</v>
      </c>
      <c r="K178" s="128" t="e">
        <v>#N/A</v>
      </c>
      <c r="L178" s="128" t="e">
        <v>#N/A</v>
      </c>
      <c r="M178" s="128">
        <v>28.78</v>
      </c>
      <c r="N178" s="129">
        <v>17.23</v>
      </c>
      <c r="O178" s="127" t="e">
        <v>#N/A</v>
      </c>
      <c r="P178" s="130" t="e">
        <v>#N/A</v>
      </c>
      <c r="Q178" s="127" t="e">
        <v>#N/A</v>
      </c>
      <c r="R178" s="127" t="e">
        <v>#N/A</v>
      </c>
      <c r="S178" s="127">
        <v>-0.6703424260011608</v>
      </c>
      <c r="T178" s="110"/>
      <c r="U178" s="110"/>
      <c r="V178" s="131"/>
      <c r="W178" s="110"/>
      <c r="X178" s="110"/>
      <c r="Y178" s="110"/>
      <c r="Z178" s="110"/>
      <c r="AA178" s="131"/>
      <c r="AB178" s="132"/>
      <c r="AC178" s="110"/>
      <c r="AD178" s="110"/>
      <c r="AE178" s="110"/>
      <c r="AF178" s="110"/>
    </row>
    <row r="179">
      <c r="A179" s="125" t="s">
        <v>1503</v>
      </c>
      <c r="B179" s="125" t="s">
        <v>1504</v>
      </c>
      <c r="C179" s="126">
        <v>3.847143773E9</v>
      </c>
      <c r="D179" s="134">
        <v>-0.717983651226158</v>
      </c>
      <c r="E179" s="128" t="e">
        <v>#N/A</v>
      </c>
      <c r="F179" s="128" t="e">
        <v>#N/A</v>
      </c>
      <c r="G179" s="128" t="e">
        <v>#N/A</v>
      </c>
      <c r="H179" s="129" t="e">
        <v>#N/A</v>
      </c>
      <c r="I179" s="128" t="e">
        <v>#N/A</v>
      </c>
      <c r="J179" s="129" t="e">
        <v>#N/A</v>
      </c>
      <c r="K179" s="128" t="e">
        <v>#N/A</v>
      </c>
      <c r="L179" s="128" t="e">
        <v>#N/A</v>
      </c>
      <c r="M179" s="128">
        <v>37.83</v>
      </c>
      <c r="N179" s="129">
        <v>22.02</v>
      </c>
      <c r="O179" s="127" t="e">
        <v>#N/A</v>
      </c>
      <c r="P179" s="130" t="e">
        <v>#N/A</v>
      </c>
      <c r="Q179" s="127" t="e">
        <v>#N/A</v>
      </c>
      <c r="R179" s="127" t="e">
        <v>#N/A</v>
      </c>
      <c r="S179" s="127">
        <v>-0.717983651226158</v>
      </c>
      <c r="T179" s="110"/>
      <c r="U179" s="110"/>
      <c r="V179" s="131"/>
      <c r="W179" s="110"/>
      <c r="X179" s="110"/>
      <c r="Y179" s="110"/>
      <c r="Z179" s="110"/>
      <c r="AA179" s="131"/>
      <c r="AB179" s="132"/>
      <c r="AC179" s="110"/>
      <c r="AD179" s="110"/>
      <c r="AE179" s="110"/>
      <c r="AF179" s="110"/>
    </row>
    <row r="180">
      <c r="A180" s="125" t="s">
        <v>1505</v>
      </c>
      <c r="B180" s="125" t="s">
        <v>1506</v>
      </c>
      <c r="C180" s="126">
        <v>2.8444440707E10</v>
      </c>
      <c r="D180" s="134">
        <v>-0.7325721153846152</v>
      </c>
      <c r="E180" s="128" t="e">
        <v>#N/A</v>
      </c>
      <c r="F180" s="128" t="e">
        <v>#N/A</v>
      </c>
      <c r="G180" s="128" t="e">
        <v>#N/A</v>
      </c>
      <c r="H180" s="129" t="e">
        <v>#N/A</v>
      </c>
      <c r="I180" s="128" t="e">
        <v>#N/A</v>
      </c>
      <c r="J180" s="129" t="e">
        <v>#N/A</v>
      </c>
      <c r="K180" s="128" t="e">
        <v>#N/A</v>
      </c>
      <c r="L180" s="128" t="e">
        <v>#N/A</v>
      </c>
      <c r="M180" s="128">
        <v>28.83</v>
      </c>
      <c r="N180" s="129">
        <v>16.64</v>
      </c>
      <c r="O180" s="127" t="e">
        <v>#N/A</v>
      </c>
      <c r="P180" s="130" t="e">
        <v>#N/A</v>
      </c>
      <c r="Q180" s="127" t="e">
        <v>#N/A</v>
      </c>
      <c r="R180" s="127" t="e">
        <v>#N/A</v>
      </c>
      <c r="S180" s="127">
        <v>-0.7325721153846152</v>
      </c>
      <c r="T180" s="110"/>
      <c r="U180" s="110"/>
      <c r="V180" s="131"/>
      <c r="W180" s="110"/>
      <c r="X180" s="110"/>
      <c r="Y180" s="110"/>
      <c r="Z180" s="110"/>
      <c r="AA180" s="131"/>
      <c r="AB180" s="132"/>
      <c r="AC180" s="110"/>
      <c r="AD180" s="110"/>
      <c r="AE180" s="110"/>
      <c r="AF180" s="110"/>
    </row>
    <row r="181">
      <c r="A181" s="125" t="s">
        <v>1507</v>
      </c>
      <c r="B181" s="125" t="s">
        <v>1508</v>
      </c>
      <c r="C181" s="126">
        <v>5.424227613E9</v>
      </c>
      <c r="D181" s="134">
        <v>-0.762613542469163</v>
      </c>
      <c r="E181" s="128">
        <v>28.77</v>
      </c>
      <c r="F181" s="128">
        <v>24.96</v>
      </c>
      <c r="G181" s="128">
        <v>14.72</v>
      </c>
      <c r="H181" s="129">
        <v>11.31</v>
      </c>
      <c r="I181" s="128">
        <v>7.78</v>
      </c>
      <c r="J181" s="129">
        <v>7.08</v>
      </c>
      <c r="K181" s="128">
        <v>10.67</v>
      </c>
      <c r="L181" s="128">
        <v>9.94</v>
      </c>
      <c r="M181" s="128">
        <v>29.39</v>
      </c>
      <c r="N181" s="129">
        <v>7.02</v>
      </c>
      <c r="O181" s="127">
        <v>-0.15264423076923073</v>
      </c>
      <c r="P181" s="130">
        <v>-0.3015030946065429</v>
      </c>
      <c r="Q181" s="127">
        <v>-0.09887005649717516</v>
      </c>
      <c r="R181" s="127">
        <v>-0.07344064386317913</v>
      </c>
      <c r="S181" s="127">
        <v>-3.186609686609687</v>
      </c>
      <c r="T181" s="110"/>
      <c r="U181" s="110"/>
      <c r="V181" s="131"/>
      <c r="W181" s="110"/>
      <c r="X181" s="110"/>
      <c r="Y181" s="110"/>
      <c r="Z181" s="110"/>
      <c r="AA181" s="131"/>
      <c r="AB181" s="132"/>
      <c r="AC181" s="110"/>
      <c r="AD181" s="110"/>
      <c r="AE181" s="110"/>
      <c r="AF181" s="110"/>
    </row>
    <row r="182">
      <c r="A182" s="125" t="s">
        <v>1509</v>
      </c>
      <c r="B182" s="125" t="s">
        <v>1510</v>
      </c>
      <c r="C182" s="126">
        <v>8.935743494E9</v>
      </c>
      <c r="D182" s="134">
        <v>-0.7747279146038312</v>
      </c>
      <c r="E182" s="128" t="e">
        <v>#N/A</v>
      </c>
      <c r="F182" s="128" t="e">
        <v>#N/A</v>
      </c>
      <c r="G182" s="128" t="e">
        <v>#N/A</v>
      </c>
      <c r="H182" s="129" t="e">
        <v>#N/A</v>
      </c>
      <c r="I182" s="128" t="e">
        <v>#N/A</v>
      </c>
      <c r="J182" s="129" t="e">
        <v>#N/A</v>
      </c>
      <c r="K182" s="128">
        <v>69.16</v>
      </c>
      <c r="L182" s="128">
        <v>68.04</v>
      </c>
      <c r="M182" s="128">
        <v>19.96</v>
      </c>
      <c r="N182" s="129">
        <v>7.88</v>
      </c>
      <c r="O182" s="127" t="e">
        <v>#N/A</v>
      </c>
      <c r="P182" s="130" t="e">
        <v>#N/A</v>
      </c>
      <c r="Q182" s="127" t="e">
        <v>#N/A</v>
      </c>
      <c r="R182" s="127">
        <v>-0.016460905349794094</v>
      </c>
      <c r="S182" s="127">
        <v>-1.5329949238578682</v>
      </c>
      <c r="T182" s="110"/>
      <c r="U182" s="110"/>
      <c r="V182" s="131"/>
      <c r="W182" s="110"/>
      <c r="X182" s="110"/>
      <c r="Y182" s="110"/>
      <c r="Z182" s="110"/>
      <c r="AA182" s="131"/>
      <c r="AB182" s="132"/>
      <c r="AC182" s="110"/>
      <c r="AD182" s="110"/>
      <c r="AE182" s="110"/>
      <c r="AF182" s="110"/>
    </row>
    <row r="183">
      <c r="A183" s="125" t="s">
        <v>1511</v>
      </c>
      <c r="B183" s="125" t="s">
        <v>1512</v>
      </c>
      <c r="C183" s="126">
        <v>3.42762552E9</v>
      </c>
      <c r="D183" s="134">
        <v>-0.7784313725490198</v>
      </c>
      <c r="E183" s="128" t="e">
        <v>#N/A</v>
      </c>
      <c r="F183" s="128" t="e">
        <v>#N/A</v>
      </c>
      <c r="G183" s="128" t="e">
        <v>#N/A</v>
      </c>
      <c r="H183" s="129" t="e">
        <v>#N/A</v>
      </c>
      <c r="I183" s="128" t="e">
        <v>#N/A</v>
      </c>
      <c r="J183" s="129" t="e">
        <v>#N/A</v>
      </c>
      <c r="K183" s="128" t="e">
        <v>#N/A</v>
      </c>
      <c r="L183" s="128" t="e">
        <v>#N/A</v>
      </c>
      <c r="M183" s="128">
        <v>9.07</v>
      </c>
      <c r="N183" s="129">
        <v>5.1</v>
      </c>
      <c r="O183" s="127" t="e">
        <v>#N/A</v>
      </c>
      <c r="P183" s="130" t="e">
        <v>#N/A</v>
      </c>
      <c r="Q183" s="127" t="e">
        <v>#N/A</v>
      </c>
      <c r="R183" s="127" t="e">
        <v>#N/A</v>
      </c>
      <c r="S183" s="127">
        <v>-0.7784313725490198</v>
      </c>
      <c r="T183" s="110"/>
      <c r="U183" s="110"/>
      <c r="V183" s="131"/>
      <c r="W183" s="110"/>
      <c r="X183" s="110"/>
      <c r="Y183" s="110"/>
      <c r="Z183" s="110"/>
      <c r="AA183" s="131"/>
      <c r="AB183" s="132"/>
      <c r="AC183" s="110"/>
      <c r="AD183" s="110"/>
      <c r="AE183" s="110"/>
      <c r="AF183" s="110"/>
    </row>
    <row r="184">
      <c r="A184" s="125" t="s">
        <v>1513</v>
      </c>
      <c r="B184" s="125" t="s">
        <v>1514</v>
      </c>
      <c r="C184" s="126">
        <v>3.403244582E9</v>
      </c>
      <c r="D184" s="134">
        <v>-0.8079710144927539</v>
      </c>
      <c r="E184" s="128" t="e">
        <v>#N/A</v>
      </c>
      <c r="F184" s="128" t="e">
        <v>#N/A</v>
      </c>
      <c r="G184" s="128" t="e">
        <v>#N/A</v>
      </c>
      <c r="H184" s="129" t="e">
        <v>#N/A</v>
      </c>
      <c r="I184" s="128" t="e">
        <v>#N/A</v>
      </c>
      <c r="J184" s="129" t="e">
        <v>#N/A</v>
      </c>
      <c r="K184" s="128" t="e">
        <v>#N/A</v>
      </c>
      <c r="L184" s="128" t="e">
        <v>#N/A</v>
      </c>
      <c r="M184" s="128">
        <v>9.98</v>
      </c>
      <c r="N184" s="129">
        <v>5.52</v>
      </c>
      <c r="O184" s="127" t="e">
        <v>#N/A</v>
      </c>
      <c r="P184" s="130" t="e">
        <v>#N/A</v>
      </c>
      <c r="Q184" s="127" t="e">
        <v>#N/A</v>
      </c>
      <c r="R184" s="127" t="e">
        <v>#N/A</v>
      </c>
      <c r="S184" s="127">
        <v>-0.8079710144927539</v>
      </c>
      <c r="T184" s="110"/>
      <c r="U184" s="110"/>
      <c r="V184" s="131"/>
      <c r="W184" s="110"/>
      <c r="X184" s="110"/>
      <c r="Y184" s="110"/>
      <c r="Z184" s="110"/>
      <c r="AA184" s="131"/>
      <c r="AB184" s="132"/>
      <c r="AC184" s="110"/>
      <c r="AD184" s="110"/>
      <c r="AE184" s="110"/>
      <c r="AF184" s="110"/>
    </row>
    <row r="185">
      <c r="A185" s="125" t="s">
        <v>1515</v>
      </c>
      <c r="B185" s="125" t="s">
        <v>1516</v>
      </c>
      <c r="C185" s="126">
        <v>4.038288234E9</v>
      </c>
      <c r="D185" s="134">
        <v>-0.8106125970664365</v>
      </c>
      <c r="E185" s="128" t="e">
        <v>#N/A</v>
      </c>
      <c r="F185" s="128" t="e">
        <v>#N/A</v>
      </c>
      <c r="G185" s="128" t="e">
        <v>#N/A</v>
      </c>
      <c r="H185" s="129" t="e">
        <v>#N/A</v>
      </c>
      <c r="I185" s="128" t="e">
        <v>#N/A</v>
      </c>
      <c r="J185" s="129" t="e">
        <v>#N/A</v>
      </c>
      <c r="K185" s="128" t="e">
        <v>#N/A</v>
      </c>
      <c r="L185" s="128" t="e">
        <v>#N/A</v>
      </c>
      <c r="M185" s="128">
        <v>41.97</v>
      </c>
      <c r="N185" s="129">
        <v>23.18</v>
      </c>
      <c r="O185" s="127" t="e">
        <v>#N/A</v>
      </c>
      <c r="P185" s="130" t="e">
        <v>#N/A</v>
      </c>
      <c r="Q185" s="127" t="e">
        <v>#N/A</v>
      </c>
      <c r="R185" s="127" t="e">
        <v>#N/A</v>
      </c>
      <c r="S185" s="127">
        <v>-0.8106125970664365</v>
      </c>
      <c r="T185" s="110"/>
      <c r="U185" s="110"/>
      <c r="V185" s="131"/>
      <c r="W185" s="110"/>
      <c r="X185" s="110"/>
      <c r="Y185" s="110"/>
      <c r="Z185" s="110"/>
      <c r="AA185" s="131"/>
      <c r="AB185" s="132"/>
      <c r="AC185" s="110"/>
      <c r="AD185" s="110"/>
      <c r="AE185" s="110"/>
      <c r="AF185" s="110"/>
    </row>
    <row r="186">
      <c r="A186" s="125" t="s">
        <v>1517</v>
      </c>
      <c r="B186" s="125" t="s">
        <v>1518</v>
      </c>
      <c r="C186" s="126">
        <v>4.041431842E9</v>
      </c>
      <c r="D186" s="134">
        <v>-0.8172537008677898</v>
      </c>
      <c r="E186" s="128" t="e">
        <v>#N/A</v>
      </c>
      <c r="F186" s="128" t="e">
        <v>#N/A</v>
      </c>
      <c r="G186" s="128" t="e">
        <v>#N/A</v>
      </c>
      <c r="H186" s="129" t="e">
        <v>#N/A</v>
      </c>
      <c r="I186" s="128" t="e">
        <v>#N/A</v>
      </c>
      <c r="J186" s="129" t="e">
        <v>#N/A</v>
      </c>
      <c r="K186" s="128" t="e">
        <v>#N/A</v>
      </c>
      <c r="L186" s="128" t="e">
        <v>#N/A</v>
      </c>
      <c r="M186" s="128">
        <v>35.6</v>
      </c>
      <c r="N186" s="129">
        <v>19.59</v>
      </c>
      <c r="O186" s="127" t="e">
        <v>#N/A</v>
      </c>
      <c r="P186" s="130" t="e">
        <v>#N/A</v>
      </c>
      <c r="Q186" s="127" t="e">
        <v>#N/A</v>
      </c>
      <c r="R186" s="127" t="e">
        <v>#N/A</v>
      </c>
      <c r="S186" s="127">
        <v>-0.8172537008677898</v>
      </c>
      <c r="T186" s="110"/>
      <c r="U186" s="110"/>
      <c r="V186" s="131"/>
      <c r="W186" s="110"/>
      <c r="X186" s="110"/>
      <c r="Y186" s="110"/>
      <c r="Z186" s="110"/>
      <c r="AA186" s="131"/>
      <c r="AB186" s="132"/>
      <c r="AC186" s="110"/>
      <c r="AD186" s="110"/>
      <c r="AE186" s="110"/>
      <c r="AF186" s="110"/>
    </row>
    <row r="187">
      <c r="A187" s="125" t="s">
        <v>1519</v>
      </c>
      <c r="B187" s="125" t="s">
        <v>1520</v>
      </c>
      <c r="C187" s="126">
        <v>5.704523145E9</v>
      </c>
      <c r="D187" s="134">
        <v>-0.8208698246148758</v>
      </c>
      <c r="E187" s="128" t="e">
        <v>#N/A</v>
      </c>
      <c r="F187" s="128" t="e">
        <v>#N/A</v>
      </c>
      <c r="G187" s="128" t="e">
        <v>#N/A</v>
      </c>
      <c r="H187" s="129" t="e">
        <v>#N/A</v>
      </c>
      <c r="I187" s="128" t="e">
        <v>#N/A</v>
      </c>
      <c r="J187" s="129" t="e">
        <v>#N/A</v>
      </c>
      <c r="K187" s="128">
        <v>31.05</v>
      </c>
      <c r="L187" s="128">
        <v>29.15</v>
      </c>
      <c r="M187" s="128">
        <v>27.26</v>
      </c>
      <c r="N187" s="129">
        <v>10.58</v>
      </c>
      <c r="O187" s="127" t="e">
        <v>#N/A</v>
      </c>
      <c r="P187" s="130" t="e">
        <v>#N/A</v>
      </c>
      <c r="Q187" s="127" t="e">
        <v>#N/A</v>
      </c>
      <c r="R187" s="127">
        <v>-0.06518010291595205</v>
      </c>
      <c r="S187" s="127">
        <v>-1.5765595463137996</v>
      </c>
      <c r="T187" s="110"/>
      <c r="U187" s="110"/>
      <c r="V187" s="131"/>
      <c r="W187" s="110"/>
      <c r="X187" s="110"/>
      <c r="Y187" s="110"/>
      <c r="Z187" s="110"/>
      <c r="AA187" s="131"/>
      <c r="AB187" s="132"/>
      <c r="AC187" s="110"/>
      <c r="AD187" s="110"/>
      <c r="AE187" s="110"/>
      <c r="AF187" s="110"/>
    </row>
    <row r="188">
      <c r="A188" s="125" t="s">
        <v>1521</v>
      </c>
      <c r="B188" s="125" t="s">
        <v>1522</v>
      </c>
      <c r="C188" s="126">
        <v>4.774427389E9</v>
      </c>
      <c r="D188" s="134">
        <v>-0.8383838383838385</v>
      </c>
      <c r="E188" s="128" t="e">
        <v>#N/A</v>
      </c>
      <c r="F188" s="128" t="e">
        <v>#N/A</v>
      </c>
      <c r="G188" s="128" t="e">
        <v>#N/A</v>
      </c>
      <c r="H188" s="129" t="e">
        <v>#N/A</v>
      </c>
      <c r="I188" s="128" t="e">
        <v>#N/A</v>
      </c>
      <c r="J188" s="129" t="e">
        <v>#N/A</v>
      </c>
      <c r="K188" s="128" t="e">
        <v>#N/A</v>
      </c>
      <c r="L188" s="128" t="e">
        <v>#N/A</v>
      </c>
      <c r="M188" s="128">
        <v>23.66</v>
      </c>
      <c r="N188" s="129">
        <v>12.87</v>
      </c>
      <c r="O188" s="127" t="e">
        <v>#N/A</v>
      </c>
      <c r="P188" s="130" t="e">
        <v>#N/A</v>
      </c>
      <c r="Q188" s="127" t="e">
        <v>#N/A</v>
      </c>
      <c r="R188" s="127" t="e">
        <v>#N/A</v>
      </c>
      <c r="S188" s="127">
        <v>-0.8383838383838385</v>
      </c>
      <c r="T188" s="110"/>
      <c r="U188" s="110"/>
      <c r="V188" s="131"/>
      <c r="W188" s="110"/>
      <c r="X188" s="110"/>
      <c r="Y188" s="110"/>
      <c r="Z188" s="110"/>
      <c r="AA188" s="131"/>
      <c r="AB188" s="132"/>
      <c r="AC188" s="110"/>
      <c r="AD188" s="110"/>
      <c r="AE188" s="110"/>
      <c r="AF188" s="110"/>
    </row>
    <row r="189">
      <c r="A189" s="125" t="s">
        <v>1523</v>
      </c>
      <c r="B189" s="125" t="s">
        <v>1524</v>
      </c>
      <c r="C189" s="126">
        <v>3.572162945E9</v>
      </c>
      <c r="D189" s="134">
        <v>-0.8457746478873241</v>
      </c>
      <c r="E189" s="128" t="e">
        <v>#N/A</v>
      </c>
      <c r="F189" s="128" t="e">
        <v>#N/A</v>
      </c>
      <c r="G189" s="128" t="e">
        <v>#N/A</v>
      </c>
      <c r="H189" s="129" t="e">
        <v>#N/A</v>
      </c>
      <c r="I189" s="128" t="e">
        <v>#N/A</v>
      </c>
      <c r="J189" s="129" t="e">
        <v>#N/A</v>
      </c>
      <c r="K189" s="128" t="e">
        <v>#N/A</v>
      </c>
      <c r="L189" s="128" t="e">
        <v>#N/A</v>
      </c>
      <c r="M189" s="128">
        <v>26.21</v>
      </c>
      <c r="N189" s="129">
        <v>14.2</v>
      </c>
      <c r="O189" s="127" t="e">
        <v>#N/A</v>
      </c>
      <c r="P189" s="130" t="e">
        <v>#N/A</v>
      </c>
      <c r="Q189" s="127" t="e">
        <v>#N/A</v>
      </c>
      <c r="R189" s="127" t="e">
        <v>#N/A</v>
      </c>
      <c r="S189" s="127">
        <v>-0.8457746478873241</v>
      </c>
      <c r="T189" s="110"/>
      <c r="U189" s="110"/>
      <c r="V189" s="131"/>
      <c r="W189" s="110"/>
      <c r="X189" s="110"/>
      <c r="Y189" s="110"/>
      <c r="Z189" s="110"/>
      <c r="AA189" s="131"/>
      <c r="AB189" s="132"/>
      <c r="AC189" s="110"/>
      <c r="AD189" s="110"/>
      <c r="AE189" s="110"/>
      <c r="AF189" s="110"/>
    </row>
    <row r="190">
      <c r="A190" s="125" t="s">
        <v>1525</v>
      </c>
      <c r="B190" s="125" t="s">
        <v>1526</v>
      </c>
      <c r="C190" s="126">
        <v>5.625832098E9</v>
      </c>
      <c r="D190" s="134">
        <v>-0.9590012690624112</v>
      </c>
      <c r="E190" s="128">
        <v>40.73</v>
      </c>
      <c r="F190" s="128">
        <v>34.86</v>
      </c>
      <c r="G190" s="128">
        <v>40.2</v>
      </c>
      <c r="H190" s="129">
        <v>38.77</v>
      </c>
      <c r="I190" s="128">
        <v>78.82</v>
      </c>
      <c r="J190" s="129">
        <v>69.67</v>
      </c>
      <c r="K190" s="128">
        <v>33.0</v>
      </c>
      <c r="L190" s="128">
        <v>29.93</v>
      </c>
      <c r="M190" s="128">
        <v>8.73</v>
      </c>
      <c r="N190" s="129">
        <v>1.63</v>
      </c>
      <c r="O190" s="127">
        <v>-0.1683878370625358</v>
      </c>
      <c r="P190" s="130">
        <v>-0.03688418880577765</v>
      </c>
      <c r="Q190" s="127">
        <v>-0.13133342902253467</v>
      </c>
      <c r="R190" s="127">
        <v>-0.10257266956231208</v>
      </c>
      <c r="S190" s="127">
        <v>-4.355828220858896</v>
      </c>
      <c r="T190" s="110"/>
      <c r="U190" s="110"/>
      <c r="V190" s="131"/>
      <c r="W190" s="110"/>
      <c r="X190" s="110"/>
      <c r="Y190" s="110"/>
      <c r="Z190" s="110"/>
      <c r="AA190" s="131"/>
      <c r="AB190" s="132"/>
      <c r="AC190" s="110"/>
      <c r="AD190" s="110"/>
      <c r="AE190" s="110"/>
      <c r="AF190" s="110"/>
    </row>
    <row r="191">
      <c r="A191" s="125" t="s">
        <v>1527</v>
      </c>
      <c r="B191" s="125" t="s">
        <v>1528</v>
      </c>
      <c r="C191" s="126">
        <v>3.849943984E9</v>
      </c>
      <c r="D191" s="134">
        <v>-0.9634340222575516</v>
      </c>
      <c r="E191" s="128" t="e">
        <v>#N/A</v>
      </c>
      <c r="F191" s="128" t="e">
        <v>#N/A</v>
      </c>
      <c r="G191" s="128" t="e">
        <v>#N/A</v>
      </c>
      <c r="H191" s="129" t="e">
        <v>#N/A</v>
      </c>
      <c r="I191" s="128" t="e">
        <v>#N/A</v>
      </c>
      <c r="J191" s="129" t="e">
        <v>#N/A</v>
      </c>
      <c r="K191" s="128" t="e">
        <v>#N/A</v>
      </c>
      <c r="L191" s="128" t="e">
        <v>#N/A</v>
      </c>
      <c r="M191" s="128">
        <v>12.35</v>
      </c>
      <c r="N191" s="129">
        <v>6.29</v>
      </c>
      <c r="O191" s="127" t="e">
        <v>#N/A</v>
      </c>
      <c r="P191" s="130" t="e">
        <v>#N/A</v>
      </c>
      <c r="Q191" s="127" t="e">
        <v>#N/A</v>
      </c>
      <c r="R191" s="127" t="e">
        <v>#N/A</v>
      </c>
      <c r="S191" s="127">
        <v>-0.9634340222575516</v>
      </c>
      <c r="T191" s="110"/>
      <c r="U191" s="110"/>
      <c r="V191" s="131"/>
      <c r="W191" s="110"/>
      <c r="X191" s="110"/>
      <c r="Y191" s="110"/>
      <c r="Z191" s="110"/>
      <c r="AA191" s="131"/>
      <c r="AB191" s="132"/>
      <c r="AC191" s="110"/>
      <c r="AD191" s="110"/>
      <c r="AE191" s="110"/>
      <c r="AF191" s="110"/>
    </row>
    <row r="192">
      <c r="A192" s="125" t="s">
        <v>1529</v>
      </c>
      <c r="B192" s="125" t="s">
        <v>1530</v>
      </c>
      <c r="C192" s="126">
        <v>6.664429401E9</v>
      </c>
      <c r="D192" s="134">
        <v>-1.011904761904762</v>
      </c>
      <c r="E192" s="128" t="e">
        <v>#N/A</v>
      </c>
      <c r="F192" s="128" t="e">
        <v>#N/A</v>
      </c>
      <c r="G192" s="128" t="e">
        <v>#N/A</v>
      </c>
      <c r="H192" s="129" t="e">
        <v>#N/A</v>
      </c>
      <c r="I192" s="128" t="e">
        <v>#N/A</v>
      </c>
      <c r="J192" s="129" t="e">
        <v>#N/A</v>
      </c>
      <c r="K192" s="128" t="e">
        <v>#N/A</v>
      </c>
      <c r="L192" s="128" t="e">
        <v>#N/A</v>
      </c>
      <c r="M192" s="128">
        <v>40.56</v>
      </c>
      <c r="N192" s="129">
        <v>20.16</v>
      </c>
      <c r="O192" s="127" t="e">
        <v>#N/A</v>
      </c>
      <c r="P192" s="130" t="e">
        <v>#N/A</v>
      </c>
      <c r="Q192" s="127" t="e">
        <v>#N/A</v>
      </c>
      <c r="R192" s="127" t="e">
        <v>#N/A</v>
      </c>
      <c r="S192" s="127">
        <v>-1.011904761904762</v>
      </c>
      <c r="T192" s="110"/>
      <c r="U192" s="110"/>
      <c r="V192" s="131"/>
      <c r="W192" s="110"/>
      <c r="X192" s="110"/>
      <c r="Y192" s="110"/>
      <c r="Z192" s="110"/>
      <c r="AA192" s="131"/>
      <c r="AB192" s="132"/>
      <c r="AC192" s="110"/>
      <c r="AD192" s="110"/>
      <c r="AE192" s="110"/>
      <c r="AF192" s="110"/>
    </row>
    <row r="193">
      <c r="A193" s="125" t="s">
        <v>1531</v>
      </c>
      <c r="B193" s="125" t="s">
        <v>1532</v>
      </c>
      <c r="C193" s="126">
        <v>5.616543199E9</v>
      </c>
      <c r="D193" s="134">
        <v>-1.0402930402930404</v>
      </c>
      <c r="E193" s="128" t="e">
        <v>#N/A</v>
      </c>
      <c r="F193" s="128" t="e">
        <v>#N/A</v>
      </c>
      <c r="G193" s="128" t="e">
        <v>#N/A</v>
      </c>
      <c r="H193" s="129" t="e">
        <v>#N/A</v>
      </c>
      <c r="I193" s="128" t="e">
        <v>#N/A</v>
      </c>
      <c r="J193" s="129" t="e">
        <v>#N/A</v>
      </c>
      <c r="K193" s="128" t="e">
        <v>#N/A</v>
      </c>
      <c r="L193" s="128" t="e">
        <v>#N/A</v>
      </c>
      <c r="M193" s="128">
        <v>11.14</v>
      </c>
      <c r="N193" s="129">
        <v>5.46</v>
      </c>
      <c r="O193" s="127" t="e">
        <v>#N/A</v>
      </c>
      <c r="P193" s="130" t="e">
        <v>#N/A</v>
      </c>
      <c r="Q193" s="127" t="e">
        <v>#N/A</v>
      </c>
      <c r="R193" s="127" t="e">
        <v>#N/A</v>
      </c>
      <c r="S193" s="127">
        <v>-1.0402930402930404</v>
      </c>
      <c r="T193" s="110"/>
      <c r="U193" s="110"/>
      <c r="V193" s="131"/>
      <c r="W193" s="110"/>
      <c r="X193" s="110"/>
      <c r="Y193" s="110"/>
      <c r="Z193" s="110"/>
      <c r="AA193" s="131"/>
      <c r="AB193" s="132"/>
      <c r="AC193" s="110"/>
      <c r="AD193" s="110"/>
      <c r="AE193" s="110"/>
      <c r="AF193" s="110"/>
    </row>
    <row r="194">
      <c r="A194" s="125" t="s">
        <v>1533</v>
      </c>
      <c r="B194" s="125" t="s">
        <v>1534</v>
      </c>
      <c r="C194" s="126">
        <v>3.4536E9</v>
      </c>
      <c r="D194" s="134">
        <v>-1.1391304347826086</v>
      </c>
      <c r="E194" s="128" t="e">
        <v>#N/A</v>
      </c>
      <c r="F194" s="128" t="e">
        <v>#N/A</v>
      </c>
      <c r="G194" s="128" t="e">
        <v>#N/A</v>
      </c>
      <c r="H194" s="129" t="e">
        <v>#N/A</v>
      </c>
      <c r="I194" s="128" t="e">
        <v>#N/A</v>
      </c>
      <c r="J194" s="129" t="e">
        <v>#N/A</v>
      </c>
      <c r="K194" s="128" t="e">
        <v>#N/A</v>
      </c>
      <c r="L194" s="128" t="e">
        <v>#N/A</v>
      </c>
      <c r="M194" s="128">
        <v>7.38</v>
      </c>
      <c r="N194" s="129">
        <v>3.45</v>
      </c>
      <c r="O194" s="127" t="e">
        <v>#N/A</v>
      </c>
      <c r="P194" s="130" t="e">
        <v>#N/A</v>
      </c>
      <c r="Q194" s="127" t="e">
        <v>#N/A</v>
      </c>
      <c r="R194" s="127" t="e">
        <v>#N/A</v>
      </c>
      <c r="S194" s="127">
        <v>-1.1391304347826086</v>
      </c>
      <c r="T194" s="110"/>
      <c r="U194" s="110"/>
      <c r="V194" s="131"/>
      <c r="W194" s="110"/>
      <c r="X194" s="110"/>
      <c r="Y194" s="110"/>
      <c r="Z194" s="110"/>
      <c r="AA194" s="131"/>
      <c r="AB194" s="132"/>
      <c r="AC194" s="110"/>
      <c r="AD194" s="110"/>
      <c r="AE194" s="110"/>
      <c r="AF194" s="110"/>
    </row>
    <row r="195">
      <c r="A195" s="125" t="s">
        <v>1535</v>
      </c>
      <c r="B195" s="125" t="s">
        <v>1536</v>
      </c>
      <c r="C195" s="126">
        <v>3.553993068E9</v>
      </c>
      <c r="D195" s="134">
        <v>-1.2154779969650986</v>
      </c>
      <c r="E195" s="128" t="e">
        <v>#N/A</v>
      </c>
      <c r="F195" s="128" t="e">
        <v>#N/A</v>
      </c>
      <c r="G195" s="128" t="e">
        <v>#N/A</v>
      </c>
      <c r="H195" s="129" t="e">
        <v>#N/A</v>
      </c>
      <c r="I195" s="128" t="e">
        <v>#N/A</v>
      </c>
      <c r="J195" s="129" t="e">
        <v>#N/A</v>
      </c>
      <c r="K195" s="128" t="e">
        <v>#N/A</v>
      </c>
      <c r="L195" s="128" t="e">
        <v>#N/A</v>
      </c>
      <c r="M195" s="128">
        <v>43.8</v>
      </c>
      <c r="N195" s="129">
        <v>19.77</v>
      </c>
      <c r="O195" s="127" t="e">
        <v>#N/A</v>
      </c>
      <c r="P195" s="130" t="e">
        <v>#N/A</v>
      </c>
      <c r="Q195" s="127" t="e">
        <v>#N/A</v>
      </c>
      <c r="R195" s="127" t="e">
        <v>#N/A</v>
      </c>
      <c r="S195" s="127">
        <v>-1.2154779969650986</v>
      </c>
      <c r="T195" s="110"/>
      <c r="U195" s="110"/>
      <c r="V195" s="131"/>
      <c r="W195" s="110"/>
      <c r="X195" s="110"/>
      <c r="Y195" s="110"/>
      <c r="Z195" s="110"/>
      <c r="AA195" s="131"/>
      <c r="AB195" s="132"/>
      <c r="AC195" s="110"/>
      <c r="AD195" s="110"/>
      <c r="AE195" s="110"/>
      <c r="AF195" s="110"/>
    </row>
    <row r="196">
      <c r="A196" s="125" t="s">
        <v>1537</v>
      </c>
      <c r="B196" s="125" t="s">
        <v>1538</v>
      </c>
      <c r="C196" s="126">
        <v>3.998224372E9</v>
      </c>
      <c r="D196" s="134">
        <v>-1.24500412667798</v>
      </c>
      <c r="E196" s="128" t="e">
        <v>#N/A</v>
      </c>
      <c r="F196" s="128" t="e">
        <v>#N/A</v>
      </c>
      <c r="G196" s="128" t="e">
        <v>#N/A</v>
      </c>
      <c r="H196" s="129" t="e">
        <v>#N/A</v>
      </c>
      <c r="I196" s="128" t="e">
        <v>#N/A</v>
      </c>
      <c r="J196" s="129" t="e">
        <v>#N/A</v>
      </c>
      <c r="K196" s="128">
        <v>18.45</v>
      </c>
      <c r="L196" s="128">
        <v>17.23</v>
      </c>
      <c r="M196" s="128">
        <v>35.97</v>
      </c>
      <c r="N196" s="129">
        <v>10.52</v>
      </c>
      <c r="O196" s="127" t="e">
        <v>#N/A</v>
      </c>
      <c r="P196" s="130" t="e">
        <v>#N/A</v>
      </c>
      <c r="Q196" s="127" t="e">
        <v>#N/A</v>
      </c>
      <c r="R196" s="127">
        <v>-0.07080673244341258</v>
      </c>
      <c r="S196" s="127">
        <v>-2.4192015209125475</v>
      </c>
      <c r="T196" s="110"/>
      <c r="U196" s="110"/>
      <c r="V196" s="131"/>
      <c r="W196" s="110"/>
      <c r="X196" s="110"/>
      <c r="Y196" s="110"/>
      <c r="Z196" s="110"/>
      <c r="AA196" s="131"/>
      <c r="AB196" s="132"/>
      <c r="AC196" s="110"/>
      <c r="AD196" s="110"/>
      <c r="AE196" s="110"/>
      <c r="AF196" s="110"/>
    </row>
    <row r="197">
      <c r="A197" s="125" t="s">
        <v>1539</v>
      </c>
      <c r="B197" s="125" t="s">
        <v>1540</v>
      </c>
      <c r="C197" s="126">
        <v>4.598265002E9</v>
      </c>
      <c r="D197" s="134">
        <v>-1.2664796633941096</v>
      </c>
      <c r="E197" s="128" t="e">
        <v>#N/A</v>
      </c>
      <c r="F197" s="128" t="e">
        <v>#N/A</v>
      </c>
      <c r="G197" s="128" t="e">
        <v>#N/A</v>
      </c>
      <c r="H197" s="129" t="e">
        <v>#N/A</v>
      </c>
      <c r="I197" s="128" t="e">
        <v>#N/A</v>
      </c>
      <c r="J197" s="129" t="e">
        <v>#N/A</v>
      </c>
      <c r="K197" s="128" t="e">
        <v>#N/A</v>
      </c>
      <c r="L197" s="128" t="e">
        <v>#N/A</v>
      </c>
      <c r="M197" s="133">
        <v>32.32</v>
      </c>
      <c r="N197" s="129">
        <v>14.26</v>
      </c>
      <c r="O197" s="127" t="e">
        <v>#N/A</v>
      </c>
      <c r="P197" s="130" t="e">
        <v>#N/A</v>
      </c>
      <c r="Q197" s="127" t="e">
        <v>#N/A</v>
      </c>
      <c r="R197" s="127" t="e">
        <v>#N/A</v>
      </c>
      <c r="S197" s="127">
        <v>-1.2664796633941096</v>
      </c>
      <c r="T197" s="110"/>
      <c r="U197" s="110"/>
      <c r="V197" s="131"/>
      <c r="W197" s="110"/>
      <c r="X197" s="110"/>
      <c r="Y197" s="110"/>
      <c r="Z197" s="110"/>
      <c r="AA197" s="131"/>
      <c r="AB197" s="132"/>
      <c r="AC197" s="110"/>
      <c r="AD197" s="110"/>
      <c r="AE197" s="110"/>
      <c r="AF197" s="110"/>
    </row>
    <row r="198">
      <c r="A198" s="125" t="s">
        <v>1541</v>
      </c>
      <c r="B198" s="125" t="s">
        <v>1542</v>
      </c>
      <c r="C198" s="126">
        <v>4.827102642E9</v>
      </c>
      <c r="D198" s="134">
        <v>-1.283582089552239</v>
      </c>
      <c r="E198" s="128" t="e">
        <v>#N/A</v>
      </c>
      <c r="F198" s="128" t="e">
        <v>#N/A</v>
      </c>
      <c r="G198" s="128" t="e">
        <v>#N/A</v>
      </c>
      <c r="H198" s="129" t="e">
        <v>#N/A</v>
      </c>
      <c r="I198" s="128" t="e">
        <v>#N/A</v>
      </c>
      <c r="J198" s="129" t="e">
        <v>#N/A</v>
      </c>
      <c r="K198" s="128" t="e">
        <v>#N/A</v>
      </c>
      <c r="L198" s="128" t="e">
        <v>#N/A</v>
      </c>
      <c r="M198" s="128">
        <v>9.18</v>
      </c>
      <c r="N198" s="129">
        <v>4.02</v>
      </c>
      <c r="O198" s="127" t="e">
        <v>#N/A</v>
      </c>
      <c r="P198" s="130" t="e">
        <v>#N/A</v>
      </c>
      <c r="Q198" s="127" t="e">
        <v>#N/A</v>
      </c>
      <c r="R198" s="127" t="e">
        <v>#N/A</v>
      </c>
      <c r="S198" s="127">
        <v>-1.283582089552239</v>
      </c>
      <c r="T198" s="110"/>
      <c r="U198" s="110"/>
      <c r="V198" s="131"/>
      <c r="W198" s="110"/>
      <c r="X198" s="110"/>
      <c r="Y198" s="110"/>
      <c r="Z198" s="110"/>
      <c r="AA198" s="131"/>
      <c r="AB198" s="132"/>
      <c r="AC198" s="110"/>
      <c r="AD198" s="110"/>
      <c r="AE198" s="110"/>
      <c r="AF198" s="110"/>
    </row>
    <row r="199">
      <c r="A199" s="125" t="s">
        <v>1543</v>
      </c>
      <c r="B199" s="125" t="s">
        <v>1544</v>
      </c>
      <c r="C199" s="126">
        <v>8.089337659E9</v>
      </c>
      <c r="D199" s="134">
        <v>-3.125734840698869</v>
      </c>
      <c r="E199" s="128" t="e">
        <v>#N/A</v>
      </c>
      <c r="F199" s="128" t="e">
        <v>#N/A</v>
      </c>
      <c r="G199" s="128" t="e">
        <v>#N/A</v>
      </c>
      <c r="H199" s="129" t="e">
        <v>#N/A</v>
      </c>
      <c r="I199" s="128" t="e">
        <v>#N/A</v>
      </c>
      <c r="J199" s="129" t="e">
        <v>#N/A</v>
      </c>
      <c r="K199" s="128">
        <v>21.24</v>
      </c>
      <c r="L199" s="128">
        <v>19.46</v>
      </c>
      <c r="M199" s="128">
        <v>12.53</v>
      </c>
      <c r="N199" s="129">
        <v>1.75</v>
      </c>
      <c r="O199" s="127" t="e">
        <v>#N/A</v>
      </c>
      <c r="P199" s="130" t="e">
        <v>#N/A</v>
      </c>
      <c r="Q199" s="127" t="e">
        <v>#N/A</v>
      </c>
      <c r="R199" s="127">
        <v>-0.09146968139773883</v>
      </c>
      <c r="S199" s="127">
        <v>-6.159999999999999</v>
      </c>
      <c r="T199" s="110"/>
      <c r="U199" s="110"/>
      <c r="V199" s="131"/>
      <c r="W199" s="110"/>
      <c r="X199" s="110"/>
      <c r="Y199" s="110"/>
      <c r="Z199" s="110"/>
      <c r="AA199" s="131"/>
      <c r="AB199" s="132"/>
      <c r="AC199" s="110"/>
      <c r="AD199" s="110"/>
      <c r="AE199" s="110"/>
      <c r="AF199" s="110"/>
    </row>
    <row r="200">
      <c r="A200" s="125" t="s">
        <v>1545</v>
      </c>
      <c r="B200" s="125" t="s">
        <v>1546</v>
      </c>
      <c r="C200" s="126">
        <v>5.907029511E9</v>
      </c>
      <c r="D200" s="134">
        <v>-4.798657718120806</v>
      </c>
      <c r="E200" s="128" t="e">
        <v>#N/A</v>
      </c>
      <c r="F200" s="128" t="e">
        <v>#N/A</v>
      </c>
      <c r="G200" s="128" t="e">
        <v>#N/A</v>
      </c>
      <c r="H200" s="129" t="e">
        <v>#N/A</v>
      </c>
      <c r="I200" s="128" t="e">
        <v>#N/A</v>
      </c>
      <c r="J200" s="129" t="e">
        <v>#N/A</v>
      </c>
      <c r="K200" s="128" t="e">
        <v>#N/A</v>
      </c>
      <c r="L200" s="128" t="e">
        <v>#N/A</v>
      </c>
      <c r="M200" s="128">
        <v>25.92</v>
      </c>
      <c r="N200" s="129">
        <v>4.47</v>
      </c>
      <c r="O200" s="127" t="e">
        <v>#N/A</v>
      </c>
      <c r="P200" s="130" t="e">
        <v>#N/A</v>
      </c>
      <c r="Q200" s="127" t="e">
        <v>#N/A</v>
      </c>
      <c r="R200" s="127" t="e">
        <v>#N/A</v>
      </c>
      <c r="S200" s="127">
        <v>-4.798657718120806</v>
      </c>
      <c r="T200" s="110"/>
      <c r="U200" s="110"/>
      <c r="V200" s="131"/>
      <c r="W200" s="110"/>
      <c r="X200" s="110"/>
      <c r="Y200" s="110"/>
      <c r="Z200" s="110"/>
      <c r="AA200" s="131"/>
      <c r="AB200" s="132"/>
      <c r="AC200" s="110"/>
      <c r="AD200" s="110"/>
      <c r="AE200" s="110"/>
      <c r="AF200" s="110"/>
    </row>
  </sheetData>
  <autoFilter ref="$A$3:$D$200">
    <filterColumn colId="3">
      <filters>
        <filter val="-22.58%"/>
        <filter val="-20.57%"/>
        <filter val="-11.09%"/>
        <filter val="-124.50%"/>
        <filter val="-18.12%"/>
        <filter val="-18.00%"/>
        <filter val="-29.69%"/>
        <filter val="-18.64%"/>
        <filter val="-21.26%"/>
        <filter val="-479.87%"/>
        <filter val="-23.26%"/>
        <filter val="-77.47%"/>
        <filter val="-12.57%"/>
        <filter val="-81.73%"/>
        <filter val="-42.48%"/>
        <filter val="-62.76%"/>
        <filter val="-11.40%"/>
        <filter val="-43.03%"/>
        <filter val="-81.06%"/>
        <filter val="-24.46%"/>
        <filter val="-54.52%"/>
        <filter val="-36.81%"/>
        <filter val="-19.85%"/>
        <filter val="-33.26%"/>
        <filter val="-7.87%"/>
        <filter val="-4.38%"/>
        <filter val="-12.60%"/>
        <filter val="-20.10%"/>
        <filter val="-22.97%"/>
        <filter val="-18.01%"/>
        <filter val="-18.77%"/>
        <filter val="-19.29%"/>
        <filter val="-10.45%"/>
        <filter val="-12.04%"/>
        <filter val="-14.23%"/>
        <filter val="-16.86%"/>
        <filter val="-56.64%"/>
        <filter val="-95.90%"/>
        <filter val="-15.27%"/>
        <filter val="-34.10%"/>
        <filter val="-13.48%"/>
        <filter val="-121.55%"/>
        <filter val="-7.48%"/>
        <filter val="-11.65%"/>
        <filter val="-15.83%"/>
        <filter val="-38.80%"/>
        <filter val="-13.76%"/>
        <filter val="-128.36%"/>
        <filter val="-7.62%"/>
        <filter val="-31.64%"/>
        <filter val="-12.95%"/>
        <filter val="-30.36%"/>
        <filter val="-126.65%"/>
        <filter val="-18.46%"/>
        <filter val="-51.58%"/>
        <filter val="-83.84%"/>
        <filter val="-11.90%"/>
        <filter val="-34.97%"/>
        <filter val="-34.33%"/>
        <filter val="-17.21%"/>
        <filter val="-37.46%"/>
        <filter val="-20.36%"/>
        <filter val="-39.07%"/>
        <filter val="-13.99%"/>
        <filter val="-37.18%"/>
        <filter val="-76.26%"/>
        <filter val="-101.19%"/>
        <filter val="-22.11%"/>
        <filter val="-80.80%"/>
        <filter val="-77.84%"/>
        <filter val="-12.78%"/>
        <filter val="-16.40%"/>
        <filter val="-12.54%"/>
        <filter val="-18.23%"/>
        <filter val="-12.42%"/>
        <filter val="-14.37%"/>
        <filter val="-82.09%"/>
        <filter val="-27.53%"/>
        <filter val="-14.01%"/>
        <filter val="-23.27%"/>
        <filter val="-8.53%"/>
        <filter val="-21.96%"/>
        <filter val="-24.75%"/>
        <filter val="-32.69%"/>
        <filter val="-24.23%"/>
        <filter val="-15.73%"/>
        <filter val="-312.57%"/>
        <filter val="-30.10%"/>
        <filter val="-11.47%"/>
        <filter val="-13.34%"/>
        <filter val="-30.50%"/>
        <filter val="-25.63%"/>
        <filter val="-50.43%"/>
        <filter val="-33.63%"/>
        <filter val="-7.20%"/>
        <filter val="-14.82%"/>
        <filter val="-20.01%"/>
        <filter val="-16.39%"/>
        <filter val="-73.26%"/>
        <filter val="-23.58%"/>
        <filter val="-27.76%"/>
        <filter val="-29.53%"/>
        <filter val="-21.33%"/>
        <filter val="-30.81%"/>
        <filter val="-11.60%"/>
        <filter val="-47.77%"/>
        <filter val="-21.97%"/>
        <filter val="-43.11%"/>
        <filter val="-11.68%"/>
        <filter val="-17.51%"/>
        <filter val="-13.21%"/>
        <filter val="-50.56%"/>
        <filter val="-71.80%"/>
        <filter val="-13.57%"/>
        <filter val="-4.22%"/>
        <filter val="-16.14%"/>
        <filter val="-38.56%"/>
        <filter val="-50.42%"/>
        <filter val="-9.58%"/>
        <filter val="-16.02%"/>
        <filter val="-22.01%"/>
        <filter val="-9.74%"/>
        <filter val="-60.45%"/>
        <filter val="-84.58%"/>
        <filter val="-12.00%"/>
        <filter val="-14.39%"/>
        <filter val="-8.48%"/>
        <filter val="-64.19%"/>
        <filter val="-14.15%"/>
        <filter val="-40.41%"/>
        <filter val="-12.36%"/>
        <filter val="-13.96%"/>
        <filter val="-10.65%"/>
        <filter val="-21.10%"/>
        <filter val="-62.31%"/>
        <filter val="-11.97%"/>
        <filter val="-104.03%"/>
        <filter val="-35.38%"/>
        <filter val="-19.22%"/>
        <filter val="-41.29%"/>
        <filter val="-12.87%"/>
        <filter val="-96.34%"/>
        <filter val="-113.91%"/>
        <filter val="-12.35%"/>
        <filter val="-18.70%"/>
        <filter val="-10.98%"/>
        <filter val="-24.20%"/>
        <filter val="-17.65%"/>
        <filter val="-13.39%"/>
        <filter val="-17.13%"/>
        <filter val="-28.02%"/>
        <filter val="-16.04%"/>
        <filter val="-25.74%"/>
        <filter val="-14.73%"/>
        <filter val="-20.72%"/>
        <filter val="-30.27%"/>
        <filter val="-12.34%"/>
        <filter val="-22.95%"/>
        <filter val="-12.98%"/>
        <filter val="-18.31%"/>
        <filter val="-8.18%"/>
        <filter val="-42.74%"/>
        <filter val="-18.83%"/>
        <filter val="-39.02%"/>
        <filter val="-56.42%"/>
        <filter val="-15.37%"/>
        <filter val="-21.24%"/>
        <filter val="-21.52%"/>
        <filter val="-32.25%"/>
        <filter val="-62.65%"/>
        <filter val="-40.08%"/>
        <filter val="-67.03%"/>
        <filter val="-61.46%"/>
      </filters>
    </filterColumn>
    <sortState ref="A3:D200">
      <sortCondition descending="1" ref="D3:D200"/>
    </sortState>
  </autoFilter>
  <customSheetViews>
    <customSheetView guid="{079970AE-96C8-4881-A886-EC4406253171}" filter="1" showAutoFilter="1">
      <autoFilter ref="$A$3:$D$200"/>
    </customSheetView>
  </customSheetViews>
  <mergeCells count="15">
    <mergeCell ref="Q1:Q3"/>
    <mergeCell ref="R1:R3"/>
    <mergeCell ref="S1:S3"/>
    <mergeCell ref="E2:F2"/>
    <mergeCell ref="G2:H2"/>
    <mergeCell ref="I2:J2"/>
    <mergeCell ref="K2:L2"/>
    <mergeCell ref="E1:F1"/>
    <mergeCell ref="G1:H1"/>
    <mergeCell ref="I1:J1"/>
    <mergeCell ref="K1:L1"/>
    <mergeCell ref="M1:N1"/>
    <mergeCell ref="O1:O3"/>
    <mergeCell ref="P1:P3"/>
    <mergeCell ref="M2:N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25"/>
    <col customWidth="1" min="3" max="3" width="18.88"/>
    <col customWidth="1" min="5" max="5" width="20.13"/>
    <col customWidth="1" min="6" max="6" width="18.38"/>
    <col customWidth="1" min="7" max="8" width="19.0"/>
    <col customWidth="1" min="9" max="9" width="20.0"/>
    <col customWidth="1" min="10" max="10" width="18.63"/>
    <col customWidth="1" min="11" max="11" width="19.5"/>
    <col customWidth="1" min="12" max="12" width="18.63"/>
    <col customWidth="1" min="13" max="13" width="19.38"/>
    <col customWidth="1" min="14" max="14" width="18.38"/>
  </cols>
  <sheetData>
    <row r="1">
      <c r="D1" s="59"/>
      <c r="E1" s="60" t="s">
        <v>71</v>
      </c>
      <c r="F1" s="12"/>
      <c r="G1" s="61" t="s">
        <v>72</v>
      </c>
      <c r="H1" s="12"/>
      <c r="I1" s="62" t="s">
        <v>73</v>
      </c>
      <c r="J1" s="12"/>
      <c r="K1" s="63" t="s">
        <v>74</v>
      </c>
      <c r="L1" s="12"/>
      <c r="M1" s="64" t="s">
        <v>75</v>
      </c>
      <c r="N1" s="12"/>
      <c r="O1" s="65" t="s">
        <v>76</v>
      </c>
      <c r="P1" s="66" t="s">
        <v>77</v>
      </c>
      <c r="Q1" s="67" t="s">
        <v>78</v>
      </c>
      <c r="R1" s="68" t="s">
        <v>79</v>
      </c>
      <c r="S1" s="69" t="s">
        <v>80</v>
      </c>
      <c r="T1" s="59"/>
      <c r="U1" s="59"/>
      <c r="V1" s="59"/>
      <c r="W1" s="59"/>
      <c r="X1" s="59"/>
    </row>
    <row r="2">
      <c r="A2" s="59"/>
      <c r="B2" s="59"/>
      <c r="C2" s="70"/>
      <c r="D2" s="59"/>
      <c r="E2" s="71">
        <v>39706.0</v>
      </c>
      <c r="F2" s="12"/>
      <c r="G2" s="72">
        <v>40304.0</v>
      </c>
      <c r="H2" s="12"/>
      <c r="I2" s="73">
        <v>40763.0</v>
      </c>
      <c r="J2" s="12"/>
      <c r="K2" s="74">
        <v>42240.0</v>
      </c>
      <c r="L2" s="12"/>
      <c r="M2" s="75">
        <v>43881.0</v>
      </c>
      <c r="N2" s="12"/>
      <c r="T2" s="59"/>
      <c r="U2" s="59"/>
      <c r="V2" s="59"/>
      <c r="W2" s="59"/>
      <c r="X2" s="59"/>
    </row>
    <row r="3">
      <c r="A3" s="136" t="s">
        <v>4</v>
      </c>
      <c r="B3" s="136" t="s">
        <v>280</v>
      </c>
      <c r="C3" s="136" t="s">
        <v>281</v>
      </c>
      <c r="D3" s="78" t="s">
        <v>7</v>
      </c>
      <c r="E3" s="79" t="s">
        <v>81</v>
      </c>
      <c r="F3" s="79" t="s">
        <v>82</v>
      </c>
      <c r="G3" s="80" t="s">
        <v>83</v>
      </c>
      <c r="H3" s="80" t="s">
        <v>84</v>
      </c>
      <c r="I3" s="81" t="s">
        <v>85</v>
      </c>
      <c r="J3" s="81" t="s">
        <v>86</v>
      </c>
      <c r="K3" s="82" t="s">
        <v>87</v>
      </c>
      <c r="L3" s="82" t="s">
        <v>88</v>
      </c>
      <c r="M3" s="83" t="s">
        <v>89</v>
      </c>
      <c r="N3" s="83" t="s">
        <v>90</v>
      </c>
      <c r="T3" s="59"/>
      <c r="U3" s="59"/>
      <c r="V3" s="59"/>
      <c r="W3" s="59"/>
      <c r="X3" s="59"/>
    </row>
    <row r="4">
      <c r="A4" s="91" t="s">
        <v>33</v>
      </c>
      <c r="B4" s="91" t="s">
        <v>34</v>
      </c>
      <c r="C4" s="96">
        <v>3.84580373294E11</v>
      </c>
      <c r="D4" s="86">
        <f t="shared" ref="D4:D33" si="1">AVERAGEIF(O4:S4,"&lt;&gt;#N/A")</f>
        <v>-0.03921159929</v>
      </c>
      <c r="E4" s="94">
        <f>IFERROR(__xludf.DUMMYFUNCTION("INDEX(GOOGLEFINANCE($A4,""price"",DATE(2008,9,4)),2,2)"),59.78)</f>
        <v>59.78</v>
      </c>
      <c r="F4" s="94">
        <f>IFERROR(__xludf.DUMMYFUNCTION("INDEX(GOOGLEFINANCE($A4,""close"",DATE(2008,9,14)),2,2)"),61.63)</f>
        <v>61.63</v>
      </c>
      <c r="G4" s="94">
        <f>IFERROR(__xludf.DUMMYFUNCTION("INDEX(GOOGLEFINANCE($A4,""price"",DATE(2010,5,1)),2,2)"),53.74)</f>
        <v>53.74</v>
      </c>
      <c r="H4" s="59">
        <f>IFERROR(__xludf.DUMMYFUNCTION("INDEX(GOOGLEFINANCE($A4,""price"",DATE(2010,5,7)),2,2)"),52.4)</f>
        <v>52.4</v>
      </c>
      <c r="I4" s="94">
        <f>IFERROR(__xludf.DUMMYFUNCTION("INDEX(GOOGLEFINANCE($A4,""price"",DATE(2011,8,5)),2,2)"),50.85)</f>
        <v>50.85</v>
      </c>
      <c r="J4" s="59">
        <f>IFERROR(__xludf.DUMMYFUNCTION("INDEX(GOOGLEFINANCE($A4,""price"",DATE(2011,8,8)),2,2)"),48.92)</f>
        <v>48.92</v>
      </c>
      <c r="K4" s="94">
        <f>IFERROR(__xludf.DUMMYFUNCTION("INDEX(GOOGLEFINANCE($A4,""price"",DATE(2015,8,21)),2,2)"),66.54)</f>
        <v>66.54</v>
      </c>
      <c r="L4" s="94">
        <f>IFERROR(__xludf.DUMMYFUNCTION("INDEX(GOOGLEFINANCE($A4,""price"",DATE(2015,8,24)),2,2)"),63.95)</f>
        <v>63.95</v>
      </c>
      <c r="M4" s="94">
        <f>IFERROR(__xludf.DUMMYFUNCTION("INDEX(GOOGLEFINANCE($A4,""price"",DATE(2020,2,15)),2,2)"),119.63)</f>
        <v>119.63</v>
      </c>
      <c r="N4" s="59">
        <f>IFERROR(__xludf.DUMMYFUNCTION("INDEX(GOOGLEFINANCE($A4,""price"",DATE(2020,3,16)),2,2)"),106.76)</f>
        <v>106.76</v>
      </c>
      <c r="O4" s="88">
        <f t="shared" ref="O4:O33" si="2">(F4-E4)/F4</f>
        <v>0.03001784845</v>
      </c>
      <c r="P4" s="95">
        <f t="shared" ref="P4:P33" si="3">(H4-G4)/H4</f>
        <v>-0.02557251908</v>
      </c>
      <c r="Q4" s="88">
        <f t="shared" ref="Q4:Q33" si="4">(J4-I4)/J4</f>
        <v>-0.0394521668</v>
      </c>
      <c r="R4" s="88">
        <f t="shared" ref="R4:R33" si="5">(L4-K4)/L4</f>
        <v>-0.04050039093</v>
      </c>
      <c r="S4" s="88">
        <f t="shared" ref="S4:S33" si="6">(N4-M4)/N4</f>
        <v>-0.1205507681</v>
      </c>
      <c r="T4" s="59"/>
      <c r="U4" s="59"/>
      <c r="V4" s="91" t="s">
        <v>1547</v>
      </c>
      <c r="W4" s="59"/>
      <c r="X4" s="59"/>
    </row>
    <row r="5">
      <c r="A5" s="91" t="s">
        <v>37</v>
      </c>
      <c r="B5" s="91" t="s">
        <v>38</v>
      </c>
      <c r="C5" s="96">
        <v>3.21756168244E11</v>
      </c>
      <c r="D5" s="86">
        <f t="shared" si="1"/>
        <v>-0.04551691566</v>
      </c>
      <c r="E5" s="94">
        <f>IFERROR(__xludf.DUMMYFUNCTION("INDEX(GOOGLEFINANCE($A5,""price"",DATE(2008,9,4)),2,2)"),70.44)</f>
        <v>70.44</v>
      </c>
      <c r="F5" s="94">
        <f>IFERROR(__xludf.DUMMYFUNCTION("INDEX(GOOGLEFINANCE($A5,""close"",DATE(2008,9,14)),2,2)"),72.14)</f>
        <v>72.14</v>
      </c>
      <c r="G5" s="94">
        <f>IFERROR(__xludf.DUMMYFUNCTION("INDEX(GOOGLEFINANCE($A5,""price"",DATE(2010,5,1)),2,2)"),62.68)</f>
        <v>62.68</v>
      </c>
      <c r="H5" s="59">
        <f>IFERROR(__xludf.DUMMYFUNCTION("INDEX(GOOGLEFINANCE($A5,""price"",DATE(2010,5,7)),2,2)"),60.31)</f>
        <v>60.31</v>
      </c>
      <c r="I5" s="94">
        <f>IFERROR(__xludf.DUMMYFUNCTION("INDEX(GOOGLEFINANCE($A5,""price"",DATE(2011,8,5)),2,2)"),60.59)</f>
        <v>60.59</v>
      </c>
      <c r="J5" s="59">
        <f>IFERROR(__xludf.DUMMYFUNCTION("INDEX(GOOGLEFINANCE($A5,""price"",DATE(2011,8,8)),2,2)"),59.29)</f>
        <v>59.29</v>
      </c>
      <c r="K5" s="94">
        <f>IFERROR(__xludf.DUMMYFUNCTION("INDEX(GOOGLEFINANCE($A5,""price"",DATE(2015,8,21)),2,2)"),71.84)</f>
        <v>71.84</v>
      </c>
      <c r="L5" s="94">
        <f>IFERROR(__xludf.DUMMYFUNCTION("INDEX(GOOGLEFINANCE($A5,""price"",DATE(2015,8,24)),2,2)"),69.14)</f>
        <v>69.14</v>
      </c>
      <c r="M5" s="94">
        <f>IFERROR(__xludf.DUMMYFUNCTION("INDEX(GOOGLEFINANCE($A5,""price"",DATE(2020,2,15)),2,2)"),124.87)</f>
        <v>124.87</v>
      </c>
      <c r="N5" s="59">
        <f>IFERROR(__xludf.DUMMYFUNCTION("INDEX(GOOGLEFINANCE($A5,""price"",DATE(2020,3,16)),2,2)"),108.5)</f>
        <v>108.5</v>
      </c>
      <c r="O5" s="88">
        <f t="shared" si="2"/>
        <v>0.02356528971</v>
      </c>
      <c r="P5" s="95">
        <f t="shared" si="3"/>
        <v>-0.03929696568</v>
      </c>
      <c r="Q5" s="88">
        <f t="shared" si="4"/>
        <v>-0.02192612582</v>
      </c>
      <c r="R5" s="88">
        <f t="shared" si="5"/>
        <v>-0.03905120046</v>
      </c>
      <c r="S5" s="88">
        <f t="shared" si="6"/>
        <v>-0.150875576</v>
      </c>
      <c r="T5" s="59"/>
      <c r="U5" s="59"/>
      <c r="V5" s="59"/>
      <c r="W5" s="59"/>
      <c r="X5" s="59"/>
    </row>
    <row r="6">
      <c r="A6" s="91" t="s">
        <v>41</v>
      </c>
      <c r="B6" s="91" t="s">
        <v>42</v>
      </c>
      <c r="C6" s="96">
        <v>4.52540967536E11</v>
      </c>
      <c r="D6" s="86">
        <f t="shared" si="1"/>
        <v>-0.05452749773</v>
      </c>
      <c r="E6" s="94">
        <f>IFERROR(__xludf.DUMMYFUNCTION("INDEX(GOOGLEFINANCE($A6,""price"",DATE(2008,9,4)),2,2)"),70.45)</f>
        <v>70.45</v>
      </c>
      <c r="F6" s="94">
        <f>IFERROR(__xludf.DUMMYFUNCTION("INDEX(GOOGLEFINANCE($A6,""close"",DATE(2008,9,14)),2,2)"),69.61)</f>
        <v>69.61</v>
      </c>
      <c r="G6" s="94">
        <f>IFERROR(__xludf.DUMMYFUNCTION("INDEX(GOOGLEFINANCE($A6,""price"",DATE(2010,5,1)),2,2)"),65.33)</f>
        <v>65.33</v>
      </c>
      <c r="H6" s="59">
        <f>IFERROR(__xludf.DUMMYFUNCTION("INDEX(GOOGLEFINANCE($A6,""price"",DATE(2010,5,7)),2,2)"),63.31)</f>
        <v>63.31</v>
      </c>
      <c r="I6" s="94">
        <f>IFERROR(__xludf.DUMMYFUNCTION("INDEX(GOOGLEFINANCE($A6,""price"",DATE(2011,8,5)),2,2)"),62.71)</f>
        <v>62.71</v>
      </c>
      <c r="J6" s="59">
        <f>IFERROR(__xludf.DUMMYFUNCTION("INDEX(GOOGLEFINANCE($A6,""price"",DATE(2011,8,8)),2,2)"),61.12)</f>
        <v>61.12</v>
      </c>
      <c r="K6" s="94">
        <f>IFERROR(__xludf.DUMMYFUNCTION("INDEX(GOOGLEFINANCE($A6,""price"",DATE(2015,8,21)),2,2)"),95.56)</f>
        <v>95.56</v>
      </c>
      <c r="L6" s="94">
        <f>IFERROR(__xludf.DUMMYFUNCTION("INDEX(GOOGLEFINANCE($A6,""price"",DATE(2015,8,24)),2,2)"),92.82)</f>
        <v>92.82</v>
      </c>
      <c r="M6" s="94">
        <f>IFERROR(__xludf.DUMMYFUNCTION("INDEX(GOOGLEFINANCE($A6,""price"",DATE(2020,2,15)),2,2)"),149.14)</f>
        <v>149.14</v>
      </c>
      <c r="N6" s="59">
        <f>IFERROR(__xludf.DUMMYFUNCTION("INDEX(GOOGLEFINANCE($A6,""price"",DATE(2020,3,16)),2,2)"),127.13)</f>
        <v>127.13</v>
      </c>
      <c r="O6" s="88">
        <f t="shared" si="2"/>
        <v>-0.01206723172</v>
      </c>
      <c r="P6" s="95">
        <f t="shared" si="3"/>
        <v>-0.03190649187</v>
      </c>
      <c r="Q6" s="88">
        <f t="shared" si="4"/>
        <v>-0.02601439791</v>
      </c>
      <c r="R6" s="88">
        <f t="shared" si="5"/>
        <v>-0.02951950011</v>
      </c>
      <c r="S6" s="88">
        <f t="shared" si="6"/>
        <v>-0.1731298671</v>
      </c>
      <c r="T6" s="59"/>
      <c r="U6" s="59"/>
    </row>
    <row r="7">
      <c r="A7" s="91" t="s">
        <v>45</v>
      </c>
      <c r="B7" s="91" t="s">
        <v>46</v>
      </c>
      <c r="C7" s="96">
        <v>3.135812268E10</v>
      </c>
      <c r="D7" s="86">
        <f t="shared" si="1"/>
        <v>-0.05668953267</v>
      </c>
      <c r="E7" s="94">
        <f>IFERROR(__xludf.DUMMYFUNCTION("INDEX(GOOGLEFINANCE($A7,""price"",DATE(2008,9,4)),2,2)"),34.94)</f>
        <v>34.94</v>
      </c>
      <c r="F7" s="94">
        <f>IFERROR(__xludf.DUMMYFUNCTION("INDEX(GOOGLEFINANCE($A7,""close"",DATE(2008,9,14)),2,2)"),34.27)</f>
        <v>34.27</v>
      </c>
      <c r="G7" s="94">
        <f>IFERROR(__xludf.DUMMYFUNCTION("INDEX(GOOGLEFINANCE($A7,""price"",DATE(2010,5,1)),2,2)"),35.62)</f>
        <v>35.62</v>
      </c>
      <c r="H7" s="59">
        <f>IFERROR(__xludf.DUMMYFUNCTION("INDEX(GOOGLEFINANCE($A7,""price"",DATE(2010,5,7)),2,2)"),34.87)</f>
        <v>34.87</v>
      </c>
      <c r="I7" s="94">
        <f>IFERROR(__xludf.DUMMYFUNCTION("INDEX(GOOGLEFINANCE($A7,""price"",DATE(2011,8,5)),2,2)"),37.03)</f>
        <v>37.03</v>
      </c>
      <c r="J7" s="59">
        <f>IFERROR(__xludf.DUMMYFUNCTION("INDEX(GOOGLEFINANCE($A7,""price"",DATE(2011,8,8)),2,2)"),35.22)</f>
        <v>35.22</v>
      </c>
      <c r="K7" s="94">
        <f>IFERROR(__xludf.DUMMYFUNCTION("INDEX(GOOGLEFINANCE($A7,""price"",DATE(2015,8,21)),2,2)"),85.61)</f>
        <v>85.61</v>
      </c>
      <c r="L7" s="94">
        <f>IFERROR(__xludf.DUMMYFUNCTION("INDEX(GOOGLEFINANCE($A7,""price"",DATE(2015,8,24)),2,2)"),82.27)</f>
        <v>82.27</v>
      </c>
      <c r="M7" s="94">
        <f>IFERROR(__xludf.DUMMYFUNCTION("INDEX(GOOGLEFINANCE($A7,""price"",DATE(2020,2,15)),2,2)"),51.86)</f>
        <v>51.86</v>
      </c>
      <c r="N7" s="59">
        <f>IFERROR(__xludf.DUMMYFUNCTION("INDEX(GOOGLEFINANCE($A7,""price"",DATE(2020,3,16)),2,2)"),45.08)</f>
        <v>45.08</v>
      </c>
      <c r="O7" s="88">
        <f t="shared" si="2"/>
        <v>-0.01955062737</v>
      </c>
      <c r="P7" s="95">
        <f t="shared" si="3"/>
        <v>-0.02150845999</v>
      </c>
      <c r="Q7" s="88">
        <f t="shared" si="4"/>
        <v>-0.05139125497</v>
      </c>
      <c r="R7" s="88">
        <f t="shared" si="5"/>
        <v>-0.04059803087</v>
      </c>
      <c r="S7" s="88">
        <f t="shared" si="6"/>
        <v>-0.1503992902</v>
      </c>
      <c r="T7" s="59"/>
      <c r="U7" s="59"/>
    </row>
    <row r="8">
      <c r="A8" s="91" t="s">
        <v>49</v>
      </c>
      <c r="B8" s="91" t="s">
        <v>50</v>
      </c>
      <c r="C8" s="96">
        <v>1.56947177994E11</v>
      </c>
      <c r="D8" s="86">
        <f t="shared" si="1"/>
        <v>-0.05840724148</v>
      </c>
      <c r="E8" s="94">
        <f>IFERROR(__xludf.DUMMYFUNCTION("INDEX(GOOGLEFINANCE($A8,""price"",DATE(2008,9,4)),2,2)"),31.98)</f>
        <v>31.98</v>
      </c>
      <c r="F8" s="94">
        <f>IFERROR(__xludf.DUMMYFUNCTION("INDEX(GOOGLEFINANCE($A8,""close"",DATE(2008,9,14)),2,2)"),31.08)</f>
        <v>31.08</v>
      </c>
      <c r="G8" s="94">
        <f>IFERROR(__xludf.DUMMYFUNCTION("INDEX(GOOGLEFINANCE($A8,""price"",DATE(2010,5,1)),2,2)"),27.38)</f>
        <v>27.38</v>
      </c>
      <c r="H8" s="59">
        <f>IFERROR(__xludf.DUMMYFUNCTION("INDEX(GOOGLEFINANCE($A8,""price"",DATE(2010,5,7)),2,2)"),26.36)</f>
        <v>26.36</v>
      </c>
      <c r="I8" s="94">
        <f>IFERROR(__xludf.DUMMYFUNCTION("INDEX(GOOGLEFINANCE($A8,""price"",DATE(2011,8,5)),2,2)"),35.05)</f>
        <v>35.05</v>
      </c>
      <c r="J8" s="59">
        <f>IFERROR(__xludf.DUMMYFUNCTION("INDEX(GOOGLEFINANCE($A8,""price"",DATE(2011,8,8)),2,2)"),33.12)</f>
        <v>33.12</v>
      </c>
      <c r="K8" s="94">
        <f>IFERROR(__xludf.DUMMYFUNCTION("INDEX(GOOGLEFINANCE($A8,""price"",DATE(2015,8,21)),2,2)"),46.1)</f>
        <v>46.1</v>
      </c>
      <c r="L8" s="94">
        <f>IFERROR(__xludf.DUMMYFUNCTION("INDEX(GOOGLEFINANCE($A8,""price"",DATE(2015,8,24)),2,2)"),44.74)</f>
        <v>44.74</v>
      </c>
      <c r="M8" s="94">
        <f>IFERROR(__xludf.DUMMYFUNCTION("INDEX(GOOGLEFINANCE($A8,""price"",DATE(2020,2,15)),2,2)"),57.91)</f>
        <v>57.91</v>
      </c>
      <c r="N8" s="59">
        <f>IFERROR(__xludf.DUMMYFUNCTION("INDEX(GOOGLEFINANCE($A8,""price"",DATE(2020,3,16)),2,2)"),50.99)</f>
        <v>50.99</v>
      </c>
      <c r="O8" s="88">
        <f t="shared" si="2"/>
        <v>-0.02895752896</v>
      </c>
      <c r="P8" s="95">
        <f t="shared" si="3"/>
        <v>-0.03869499241</v>
      </c>
      <c r="Q8" s="88">
        <f t="shared" si="4"/>
        <v>-0.05827294686</v>
      </c>
      <c r="R8" s="88">
        <f t="shared" si="5"/>
        <v>-0.03039785427</v>
      </c>
      <c r="S8" s="88">
        <f t="shared" si="6"/>
        <v>-0.1357128849</v>
      </c>
      <c r="T8" s="59"/>
      <c r="U8" s="59"/>
    </row>
    <row r="9">
      <c r="A9" s="91" t="s">
        <v>53</v>
      </c>
      <c r="B9" s="91" t="s">
        <v>54</v>
      </c>
      <c r="C9" s="96">
        <v>1.45533287051E11</v>
      </c>
      <c r="D9" s="86">
        <f t="shared" si="1"/>
        <v>-0.0614813754</v>
      </c>
      <c r="E9" s="94">
        <f>IFERROR(__xludf.DUMMYFUNCTION("INDEX(GOOGLEFINANCE($A9,""price"",DATE(2008,9,4)),2,2)"),60.88)</f>
        <v>60.88</v>
      </c>
      <c r="F9" s="94">
        <f>IFERROR(__xludf.DUMMYFUNCTION("INDEX(GOOGLEFINANCE($A9,""close"",DATE(2008,9,14)),2,2)"),62.19)</f>
        <v>62.19</v>
      </c>
      <c r="G9" s="94">
        <f>IFERROR(__xludf.DUMMYFUNCTION("INDEX(GOOGLEFINANCE($A9,""price"",DATE(2010,5,1)),2,2)"),57.59)</f>
        <v>57.59</v>
      </c>
      <c r="H9" s="59">
        <f>IFERROR(__xludf.DUMMYFUNCTION("INDEX(GOOGLEFINANCE($A9,""price"",DATE(2010,5,7)),2,2)"),54.46)</f>
        <v>54.46</v>
      </c>
      <c r="I9" s="94">
        <f>IFERROR(__xludf.DUMMYFUNCTION("INDEX(GOOGLEFINANCE($A9,""price"",DATE(2011,8,5)),2,2)"),52.12)</f>
        <v>52.12</v>
      </c>
      <c r="J9" s="59">
        <f>IFERROR(__xludf.DUMMYFUNCTION("INDEX(GOOGLEFINANCE($A9,""price"",DATE(2011,8,8)),2,2)"),49.88)</f>
        <v>49.88</v>
      </c>
      <c r="K9" s="94">
        <f>IFERROR(__xludf.DUMMYFUNCTION("INDEX(GOOGLEFINANCE($A9,""price"",DATE(2015,8,21)),2,2)"),155.19)</f>
        <v>155.19</v>
      </c>
      <c r="L9" s="94">
        <f>IFERROR(__xludf.DUMMYFUNCTION("INDEX(GOOGLEFINANCE($A9,""price"",DATE(2015,8,24)),2,2)"),147.64)</f>
        <v>147.64</v>
      </c>
      <c r="M9" s="94">
        <f>IFERROR(__xludf.DUMMYFUNCTION("INDEX(GOOGLEFINANCE($A9,""price"",DATE(2020,2,15)),2,2)"),221.69)</f>
        <v>221.69</v>
      </c>
      <c r="N9" s="59">
        <f>IFERROR(__xludf.DUMMYFUNCTION("INDEX(GOOGLEFINANCE($A9,""price"",DATE(2020,3,16)),2,2)"),188.68)</f>
        <v>188.68</v>
      </c>
      <c r="O9" s="88">
        <f t="shared" si="2"/>
        <v>0.02106447982</v>
      </c>
      <c r="P9" s="95">
        <f t="shared" si="3"/>
        <v>-0.05747337495</v>
      </c>
      <c r="Q9" s="88">
        <f t="shared" si="4"/>
        <v>-0.04490777867</v>
      </c>
      <c r="R9" s="88">
        <f t="shared" si="5"/>
        <v>-0.05113790301</v>
      </c>
      <c r="S9" s="88">
        <f t="shared" si="6"/>
        <v>-0.1749523002</v>
      </c>
      <c r="T9" s="59"/>
      <c r="U9" s="59"/>
    </row>
    <row r="10">
      <c r="A10" s="91" t="s">
        <v>57</v>
      </c>
      <c r="B10" s="91" t="s">
        <v>58</v>
      </c>
      <c r="C10" s="96">
        <v>2.57913971065E11</v>
      </c>
      <c r="D10" s="86">
        <f t="shared" si="1"/>
        <v>-0.0671461053</v>
      </c>
      <c r="E10" s="94">
        <f>IFERROR(__xludf.DUMMYFUNCTION("INDEX(GOOGLEFINANCE($A10,""price"",DATE(2008,9,4)),2,2)"),25.86)</f>
        <v>25.86</v>
      </c>
      <c r="F10" s="94">
        <f>IFERROR(__xludf.DUMMYFUNCTION("INDEX(GOOGLEFINANCE($A10,""close"",DATE(2008,9,14)),2,2)"),27.38)</f>
        <v>27.38</v>
      </c>
      <c r="G10" s="94">
        <f>IFERROR(__xludf.DUMMYFUNCTION("INDEX(GOOGLEFINANCE($A10,""price"",DATE(2010,5,1)),2,2)"),26.88)</f>
        <v>26.88</v>
      </c>
      <c r="H10" s="59">
        <f>IFERROR(__xludf.DUMMYFUNCTION("INDEX(GOOGLEFINANCE($A10,""price"",DATE(2010,5,7)),2,2)"),26.34)</f>
        <v>26.34</v>
      </c>
      <c r="I10" s="94">
        <f>IFERROR(__xludf.DUMMYFUNCTION("INDEX(GOOGLEFINANCE($A10,""price"",DATE(2011,8,5)),2,2)"),33.39)</f>
        <v>33.39</v>
      </c>
      <c r="J10" s="59">
        <f>IFERROR(__xludf.DUMMYFUNCTION("INDEX(GOOGLEFINANCE($A10,""price"",DATE(2011,8,8)),2,2)"),32.56)</f>
        <v>32.56</v>
      </c>
      <c r="K10" s="94">
        <f>IFERROR(__xludf.DUMMYFUNCTION("INDEX(GOOGLEFINANCE($A10,""price"",DATE(2015,8,21)),2,2)"),39.53)</f>
        <v>39.53</v>
      </c>
      <c r="L10" s="94">
        <f>IFERROR(__xludf.DUMMYFUNCTION("INDEX(GOOGLEFINANCE($A10,""price"",DATE(2015,8,24)),2,2)"),38.38)</f>
        <v>38.38</v>
      </c>
      <c r="M10" s="94">
        <f>IFERROR(__xludf.DUMMYFUNCTION("INDEX(GOOGLEFINANCE($A10,""price"",DATE(2020,2,15)),2,2)"),59.53)</f>
        <v>59.53</v>
      </c>
      <c r="N10" s="59">
        <f>IFERROR(__xludf.DUMMYFUNCTION("INDEX(GOOGLEFINANCE($A10,""price"",DATE(2020,3,16)),2,2)"),45.26)</f>
        <v>45.26</v>
      </c>
      <c r="O10" s="88">
        <f t="shared" si="2"/>
        <v>0.05551497443</v>
      </c>
      <c r="P10" s="95">
        <f t="shared" si="3"/>
        <v>-0.02050113895</v>
      </c>
      <c r="Q10" s="88">
        <f t="shared" si="4"/>
        <v>-0.02549140049</v>
      </c>
      <c r="R10" s="88">
        <f t="shared" si="5"/>
        <v>-0.02996352267</v>
      </c>
      <c r="S10" s="88">
        <f t="shared" si="6"/>
        <v>-0.3152894388</v>
      </c>
      <c r="T10" s="59"/>
      <c r="U10" s="59"/>
    </row>
    <row r="11">
      <c r="A11" s="91" t="s">
        <v>61</v>
      </c>
      <c r="B11" s="91" t="s">
        <v>62</v>
      </c>
      <c r="C11" s="96">
        <v>2.52719997337E11</v>
      </c>
      <c r="D11" s="86">
        <f t="shared" si="1"/>
        <v>-0.07381603884</v>
      </c>
      <c r="E11" s="94">
        <f>IFERROR(__xludf.DUMMYFUNCTION("INDEX(GOOGLEFINANCE($A11,""price"",DATE(2008,9,4)),2,2)"),32.58)</f>
        <v>32.58</v>
      </c>
      <c r="F11" s="94">
        <f>IFERROR(__xludf.DUMMYFUNCTION("INDEX(GOOGLEFINANCE($A11,""close"",DATE(2008,9,14)),2,2)"),31.2)</f>
        <v>31.2</v>
      </c>
      <c r="G11" s="94">
        <f>IFERROR(__xludf.DUMMYFUNCTION("INDEX(GOOGLEFINANCE($A11,""price"",DATE(2010,5,1)),2,2)"),33.63)</f>
        <v>33.63</v>
      </c>
      <c r="H11" s="59">
        <f>IFERROR(__xludf.DUMMYFUNCTION("INDEX(GOOGLEFINANCE($A11,""price"",DATE(2010,5,7)),2,2)"),31.93)</f>
        <v>31.93</v>
      </c>
      <c r="I11" s="94">
        <f>IFERROR(__xludf.DUMMYFUNCTION("INDEX(GOOGLEFINANCE($A11,""price"",DATE(2011,8,5)),2,2)"),30.24)</f>
        <v>30.24</v>
      </c>
      <c r="J11" s="59">
        <f>IFERROR(__xludf.DUMMYFUNCTION("INDEX(GOOGLEFINANCE($A11,""price"",DATE(2011,8,8)),2,2)"),28.55)</f>
        <v>28.55</v>
      </c>
      <c r="K11" s="94">
        <f>IFERROR(__xludf.DUMMYFUNCTION("INDEX(GOOGLEFINANCE($A11,""price"",DATE(2015,8,21)),2,2)"),53.18)</f>
        <v>53.18</v>
      </c>
      <c r="L11" s="94">
        <f>IFERROR(__xludf.DUMMYFUNCTION("INDEX(GOOGLEFINANCE($A11,""price"",DATE(2015,8,24)),2,2)"),51.48)</f>
        <v>51.48</v>
      </c>
      <c r="M11" s="94">
        <f>IFERROR(__xludf.DUMMYFUNCTION("INDEX(GOOGLEFINANCE($A11,""price"",DATE(2020,2,15)),2,2)"),78.63)</f>
        <v>78.63</v>
      </c>
      <c r="N11" s="59">
        <f>IFERROR(__xludf.DUMMYFUNCTION("INDEX(GOOGLEFINANCE($A11,""price"",DATE(2020,3,16)),2,2)"),66.67)</f>
        <v>66.67</v>
      </c>
      <c r="O11" s="88">
        <f t="shared" si="2"/>
        <v>-0.04423076923</v>
      </c>
      <c r="P11" s="95">
        <f t="shared" si="3"/>
        <v>-0.05324146571</v>
      </c>
      <c r="Q11" s="88">
        <f t="shared" si="4"/>
        <v>-0.0591943958</v>
      </c>
      <c r="R11" s="88">
        <f t="shared" si="5"/>
        <v>-0.03302253302</v>
      </c>
      <c r="S11" s="88">
        <f t="shared" si="6"/>
        <v>-0.1793910304</v>
      </c>
      <c r="T11" s="59"/>
      <c r="U11" s="59"/>
    </row>
    <row r="12">
      <c r="A12" s="91" t="s">
        <v>65</v>
      </c>
      <c r="B12" s="91" t="s">
        <v>66</v>
      </c>
      <c r="C12" s="96">
        <v>6.925868725E10</v>
      </c>
      <c r="D12" s="86">
        <f t="shared" si="1"/>
        <v>-0.07825967479</v>
      </c>
      <c r="E12" s="94">
        <f>IFERROR(__xludf.DUMMYFUNCTION("INDEX(GOOGLEFINANCE($A12,""price"",DATE(2008,9,4)),2,2)"),69.74)</f>
        <v>69.74</v>
      </c>
      <c r="F12" s="94">
        <f>IFERROR(__xludf.DUMMYFUNCTION("INDEX(GOOGLEFINANCE($A12,""close"",DATE(2008,9,14)),2,2)"),68.88)</f>
        <v>68.88</v>
      </c>
      <c r="G12" s="94">
        <f>IFERROR(__xludf.DUMMYFUNCTION("INDEX(GOOGLEFINANCE($A12,""price"",DATE(2010,5,1)),2,2)"),89.81)</f>
        <v>89.81</v>
      </c>
      <c r="H12" s="59">
        <f>IFERROR(__xludf.DUMMYFUNCTION("INDEX(GOOGLEFINANCE($A12,""price"",DATE(2010,5,7)),2,2)"),82.63)</f>
        <v>82.63</v>
      </c>
      <c r="I12" s="94">
        <f>IFERROR(__xludf.DUMMYFUNCTION("INDEX(GOOGLEFINANCE($A12,""price"",DATE(2011,8,5)),2,2)"),82.75)</f>
        <v>82.75</v>
      </c>
      <c r="J12" s="59">
        <f>IFERROR(__xludf.DUMMYFUNCTION("INDEX(GOOGLEFINANCE($A12,""price"",DATE(2011,8,8)),2,2)"),78.59)</f>
        <v>78.59</v>
      </c>
      <c r="K12" s="94">
        <f>IFERROR(__xludf.DUMMYFUNCTION("INDEX(GOOGLEFINANCE($A12,""price"",DATE(2015,8,21)),2,2)"),142.09)</f>
        <v>142.09</v>
      </c>
      <c r="L12" s="94">
        <f>IFERROR(__xludf.DUMMYFUNCTION("INDEX(GOOGLEFINANCE($A12,""price"",DATE(2015,8,24)),2,2)"),138.58)</f>
        <v>138.58</v>
      </c>
      <c r="M12" s="94">
        <f>IFERROR(__xludf.DUMMYFUNCTION("INDEX(GOOGLEFINANCE($A12,""price"",DATE(2020,2,15)),2,2)"),158.88)</f>
        <v>158.88</v>
      </c>
      <c r="N12" s="59">
        <f>IFERROR(__xludf.DUMMYFUNCTION("INDEX(GOOGLEFINANCE($A12,""price"",DATE(2020,3,16)),2,2)"),130.91)</f>
        <v>130.91</v>
      </c>
      <c r="O12" s="88">
        <f t="shared" si="2"/>
        <v>-0.012485482</v>
      </c>
      <c r="P12" s="95">
        <f t="shared" si="3"/>
        <v>-0.08689338013</v>
      </c>
      <c r="Q12" s="88">
        <f t="shared" si="4"/>
        <v>-0.05293294312</v>
      </c>
      <c r="R12" s="88">
        <f t="shared" si="5"/>
        <v>-0.02532833021</v>
      </c>
      <c r="S12" s="88">
        <f t="shared" si="6"/>
        <v>-0.2136582385</v>
      </c>
      <c r="T12" s="59"/>
      <c r="U12" s="59"/>
    </row>
    <row r="13">
      <c r="A13" s="91" t="s">
        <v>69</v>
      </c>
      <c r="B13" s="91" t="s">
        <v>70</v>
      </c>
      <c r="C13" s="96">
        <v>2.00814029119E11</v>
      </c>
      <c r="D13" s="86">
        <f t="shared" si="1"/>
        <v>-0.1049376986</v>
      </c>
      <c r="E13" s="94">
        <f>IFERROR(__xludf.DUMMYFUNCTION("INDEX(GOOGLEFINANCE($A13,""price"",DATE(2008,9,4)),2,2)"),60.02)</f>
        <v>60.02</v>
      </c>
      <c r="F13" s="94">
        <f>IFERROR(__xludf.DUMMYFUNCTION("INDEX(GOOGLEFINANCE($A13,""close"",DATE(2008,9,14)),2,2)"),63.72)</f>
        <v>63.72</v>
      </c>
      <c r="G13" s="94">
        <f>IFERROR(__xludf.DUMMYFUNCTION("INDEX(GOOGLEFINANCE($A13,""price"",DATE(2010,5,1)),2,2)"),71.42)</f>
        <v>71.42</v>
      </c>
      <c r="H13" s="59">
        <f>IFERROR(__xludf.DUMMYFUNCTION("INDEX(GOOGLEFINANCE($A13,""price"",DATE(2010,5,7)),2,2)"),68.01)</f>
        <v>68.01</v>
      </c>
      <c r="I13" s="94">
        <f>IFERROR(__xludf.DUMMYFUNCTION("INDEX(GOOGLEFINANCE($A13,""price"",DATE(2011,8,5)),2,2)"),85.08)</f>
        <v>85.08</v>
      </c>
      <c r="J13" s="59">
        <f>IFERROR(__xludf.DUMMYFUNCTION("INDEX(GOOGLEFINANCE($A13,""price"",DATE(2011,8,8)),2,2)"),82.11)</f>
        <v>82.11</v>
      </c>
      <c r="K13" s="94">
        <f>IFERROR(__xludf.DUMMYFUNCTION("INDEX(GOOGLEFINANCE($A13,""price"",DATE(2015,8,21)),2,2)"),97.13)</f>
        <v>97.13</v>
      </c>
      <c r="L13" s="94">
        <f>IFERROR(__xludf.DUMMYFUNCTION("INDEX(GOOGLEFINANCE($A13,""price"",DATE(2015,8,24)),2,2)"),92.87)</f>
        <v>92.87</v>
      </c>
      <c r="M13" s="94">
        <f>IFERROR(__xludf.DUMMYFUNCTION("INDEX(GOOGLEFINANCE($A13,""price"",DATE(2020,2,15)),2,2)"),216.15)</f>
        <v>216.15</v>
      </c>
      <c r="N13" s="59">
        <f>IFERROR(__xludf.DUMMYFUNCTION("INDEX(GOOGLEFINANCE($A13,""price"",DATE(2020,3,16)),2,2)"),149.01)</f>
        <v>149.01</v>
      </c>
      <c r="O13" s="88">
        <f t="shared" si="2"/>
        <v>0.05806654112</v>
      </c>
      <c r="P13" s="95">
        <f t="shared" si="3"/>
        <v>-0.05013968534</v>
      </c>
      <c r="Q13" s="88">
        <f t="shared" si="4"/>
        <v>-0.03617099014</v>
      </c>
      <c r="R13" s="88">
        <f t="shared" si="5"/>
        <v>-0.04587057177</v>
      </c>
      <c r="S13" s="88">
        <f t="shared" si="6"/>
        <v>-0.450573787</v>
      </c>
      <c r="T13" s="59"/>
      <c r="U13" s="59"/>
    </row>
    <row r="14">
      <c r="A14" s="91" t="s">
        <v>471</v>
      </c>
      <c r="B14" s="91" t="s">
        <v>472</v>
      </c>
      <c r="C14" s="96">
        <v>5.1194431101E11</v>
      </c>
      <c r="D14" s="86">
        <f t="shared" si="1"/>
        <v>-0.1053335165</v>
      </c>
      <c r="E14" s="94">
        <f>IFERROR(__xludf.DUMMYFUNCTION("INDEX(GOOGLEFINANCE($A14,""price"",DATE(2008,9,4)),2,2)"),28.06)</f>
        <v>28.06</v>
      </c>
      <c r="F14" s="94">
        <f>IFERROR(__xludf.DUMMYFUNCTION("INDEX(GOOGLEFINANCE($A14,""close"",DATE(2008,9,14)),2,2)"),28.01)</f>
        <v>28.01</v>
      </c>
      <c r="G14" s="94">
        <f>IFERROR(__xludf.DUMMYFUNCTION("INDEX(GOOGLEFINANCE($A14,""price"",DATE(2010,5,1)),2,2)"),30.26)</f>
        <v>30.26</v>
      </c>
      <c r="H14" s="59">
        <f>IFERROR(__xludf.DUMMYFUNCTION("INDEX(GOOGLEFINANCE($A14,""price"",DATE(2010,5,7)),2,2)"),29.02)</f>
        <v>29.02</v>
      </c>
      <c r="I14" s="94">
        <f>IFERROR(__xludf.DUMMYFUNCTION("INDEX(GOOGLEFINANCE($A14,""price"",DATE(2011,8,5)),2,2)"),45.56)</f>
        <v>45.56</v>
      </c>
      <c r="J14" s="59">
        <f>IFERROR(__xludf.DUMMYFUNCTION("INDEX(GOOGLEFINANCE($A14,""price"",DATE(2011,8,8)),2,2)"),41.93)</f>
        <v>41.93</v>
      </c>
      <c r="K14" s="94">
        <f>IFERROR(__xludf.DUMMYFUNCTION("INDEX(GOOGLEFINANCE($A14,""price"",DATE(2015,8,21)),2,2)"),116.28)</f>
        <v>116.28</v>
      </c>
      <c r="L14" s="94">
        <f>IFERROR(__xludf.DUMMYFUNCTION("INDEX(GOOGLEFINANCE($A14,""price"",DATE(2015,8,24)),2,2)"),110.43)</f>
        <v>110.43</v>
      </c>
      <c r="M14" s="94">
        <f>IFERROR(__xludf.DUMMYFUNCTION("INDEX(GOOGLEFINANCE($A14,""price"",DATE(2020,2,15)),2,2)"),302.14)</f>
        <v>302.14</v>
      </c>
      <c r="N14" s="59">
        <f>IFERROR(__xludf.DUMMYFUNCTION("INDEX(GOOGLEFINANCE($A14,""price"",DATE(2020,3,16)),2,2)"),225.04)</f>
        <v>225.04</v>
      </c>
      <c r="O14" s="88">
        <f t="shared" si="2"/>
        <v>-0.001785076758</v>
      </c>
      <c r="P14" s="95">
        <f t="shared" si="3"/>
        <v>-0.04272915231</v>
      </c>
      <c r="Q14" s="88">
        <f t="shared" si="4"/>
        <v>-0.08657285953</v>
      </c>
      <c r="R14" s="88">
        <f t="shared" si="5"/>
        <v>-0.05297473513</v>
      </c>
      <c r="S14" s="88">
        <f t="shared" si="6"/>
        <v>-0.342605759</v>
      </c>
      <c r="T14" s="59"/>
      <c r="U14" s="59"/>
    </row>
    <row r="15">
      <c r="A15" s="91" t="s">
        <v>141</v>
      </c>
      <c r="B15" s="91" t="s">
        <v>485</v>
      </c>
      <c r="C15" s="96">
        <v>1.700887137266E12</v>
      </c>
      <c r="D15" s="86">
        <f t="shared" si="1"/>
        <v>-0.1082741051</v>
      </c>
      <c r="E15" s="94">
        <f>IFERROR(__xludf.DUMMYFUNCTION("INDEX(GOOGLEFINANCE($A15,""price"",DATE(2008,9,4)),2,2)"),26.35)</f>
        <v>26.35</v>
      </c>
      <c r="F15" s="94">
        <f>IFERROR(__xludf.DUMMYFUNCTION("INDEX(GOOGLEFINANCE($A15,""close"",DATE(2008,9,14)),2,2)"),26.82)</f>
        <v>26.82</v>
      </c>
      <c r="G15" s="94">
        <f>IFERROR(__xludf.DUMMYFUNCTION("INDEX(GOOGLEFINANCE($A15,""price"",DATE(2010,5,1)),2,2)"),30.86)</f>
        <v>30.86</v>
      </c>
      <c r="H15" s="59">
        <f>IFERROR(__xludf.DUMMYFUNCTION("INDEX(GOOGLEFINANCE($A15,""price"",DATE(2010,5,7)),2,2)"),28.21)</f>
        <v>28.21</v>
      </c>
      <c r="I15" s="94">
        <f>IFERROR(__xludf.DUMMYFUNCTION("INDEX(GOOGLEFINANCE($A15,""price"",DATE(2011,8,5)),2,2)"),25.68)</f>
        <v>25.68</v>
      </c>
      <c r="J15" s="59">
        <f>IFERROR(__xludf.DUMMYFUNCTION("INDEX(GOOGLEFINANCE($A15,""price"",DATE(2011,8,8)),2,2)"),24.48)</f>
        <v>24.48</v>
      </c>
      <c r="K15" s="94">
        <f>IFERROR(__xludf.DUMMYFUNCTION("INDEX(GOOGLEFINANCE($A15,""price"",DATE(2015,8,21)),2,2)"),43.07)</f>
        <v>43.07</v>
      </c>
      <c r="L15" s="94">
        <f>IFERROR(__xludf.DUMMYFUNCTION("INDEX(GOOGLEFINANCE($A15,""price"",DATE(2015,8,24)),2,2)"),41.68)</f>
        <v>41.68</v>
      </c>
      <c r="M15" s="94">
        <f>IFERROR(__xludf.DUMMYFUNCTION("INDEX(GOOGLEFINANCE($A15,""price"",DATE(2020,2,15)),2,2)"),187.23)</f>
        <v>187.23</v>
      </c>
      <c r="N15" s="59">
        <f>IFERROR(__xludf.DUMMYFUNCTION("INDEX(GOOGLEFINANCE($A15,""price"",DATE(2020,3,16)),2,2)"),135.42)</f>
        <v>135.42</v>
      </c>
      <c r="O15" s="88">
        <f t="shared" si="2"/>
        <v>0.01752423565</v>
      </c>
      <c r="P15" s="95">
        <f t="shared" si="3"/>
        <v>-0.09393831974</v>
      </c>
      <c r="Q15" s="88">
        <f t="shared" si="4"/>
        <v>-0.04901960784</v>
      </c>
      <c r="R15" s="88">
        <f t="shared" si="5"/>
        <v>-0.03334932821</v>
      </c>
      <c r="S15" s="88">
        <f t="shared" si="6"/>
        <v>-0.3825875055</v>
      </c>
      <c r="T15" s="59"/>
      <c r="U15" s="59"/>
    </row>
    <row r="16">
      <c r="A16" s="91" t="s">
        <v>536</v>
      </c>
      <c r="B16" s="91" t="s">
        <v>537</v>
      </c>
      <c r="C16" s="96">
        <v>3.38333581525E11</v>
      </c>
      <c r="D16" s="86">
        <f t="shared" si="1"/>
        <v>-0.116898635</v>
      </c>
      <c r="E16" s="94">
        <f>IFERROR(__xludf.DUMMYFUNCTION("INDEX(GOOGLEFINANCE($A16,""price"",DATE(2008,9,4)),2,2)"),17.63)</f>
        <v>17.63</v>
      </c>
      <c r="F16" s="94">
        <f>IFERROR(__xludf.DUMMYFUNCTION("INDEX(GOOGLEFINANCE($A16,""close"",DATE(2008,9,14)),2,2)"),17.35)</f>
        <v>17.35</v>
      </c>
      <c r="G16" s="94">
        <f>IFERROR(__xludf.DUMMYFUNCTION("INDEX(GOOGLEFINANCE($A16,""price"",DATE(2010,5,1)),2,2)"),22.32)</f>
        <v>22.32</v>
      </c>
      <c r="H16" s="59">
        <f>IFERROR(__xludf.DUMMYFUNCTION("INDEX(GOOGLEFINANCE($A16,""price"",DATE(2010,5,7)),2,2)"),20.57)</f>
        <v>20.57</v>
      </c>
      <c r="I16" s="94">
        <f>IFERROR(__xludf.DUMMYFUNCTION("INDEX(GOOGLEFINANCE($A16,""price"",DATE(2011,8,5)),2,2)"),20.85)</f>
        <v>20.85</v>
      </c>
      <c r="J16" s="59">
        <f>IFERROR(__xludf.DUMMYFUNCTION("INDEX(GOOGLEFINANCE($A16,""price"",DATE(2011,8,8)),2,2)"),19.81)</f>
        <v>19.81</v>
      </c>
      <c r="K16" s="94">
        <f>IFERROR(__xludf.DUMMYFUNCTION("INDEX(GOOGLEFINANCE($A16,""price"",DATE(2015,8,21)),2,2)"),71.19)</f>
        <v>71.19</v>
      </c>
      <c r="L16" s="94">
        <f>IFERROR(__xludf.DUMMYFUNCTION("INDEX(GOOGLEFINANCE($A16,""price"",DATE(2015,8,24)),2,2)"),68.36)</f>
        <v>68.36</v>
      </c>
      <c r="M16" s="94">
        <f>IFERROR(__xludf.DUMMYFUNCTION("INDEX(GOOGLEFINANCE($A16,""price"",DATE(2020,2,15)),2,2)"),211.2)</f>
        <v>211.2</v>
      </c>
      <c r="N16" s="59">
        <f>IFERROR(__xludf.DUMMYFUNCTION("INDEX(GOOGLEFINANCE($A16,""price"",DATE(2020,3,16)),2,2)"),152.01)</f>
        <v>152.01</v>
      </c>
      <c r="O16" s="88">
        <f t="shared" si="2"/>
        <v>-0.01613832853</v>
      </c>
      <c r="P16" s="95">
        <f t="shared" si="3"/>
        <v>-0.08507535246</v>
      </c>
      <c r="Q16" s="88">
        <f t="shared" si="4"/>
        <v>-0.05249873801</v>
      </c>
      <c r="R16" s="88">
        <f t="shared" si="5"/>
        <v>-0.04139847864</v>
      </c>
      <c r="S16" s="88">
        <f t="shared" si="6"/>
        <v>-0.3893822775</v>
      </c>
      <c r="T16" s="59"/>
      <c r="U16" s="59"/>
    </row>
    <row r="17">
      <c r="A17" s="91" t="s">
        <v>167</v>
      </c>
      <c r="B17" s="91" t="s">
        <v>557</v>
      </c>
      <c r="C17" s="96">
        <v>1.36548645319E11</v>
      </c>
      <c r="D17" s="86">
        <f t="shared" si="1"/>
        <v>-0.1215284973</v>
      </c>
      <c r="E17" s="94">
        <f>IFERROR(__xludf.DUMMYFUNCTION("INDEX(GOOGLEFINANCE($A17,""price"",DATE(2008,9,4)),2,2)"),45.69)</f>
        <v>45.69</v>
      </c>
      <c r="F17" s="94">
        <f>IFERROR(__xludf.DUMMYFUNCTION("INDEX(GOOGLEFINANCE($A17,""close"",DATE(2008,9,14)),2,2)"),43.71)</f>
        <v>43.71</v>
      </c>
      <c r="G17" s="94">
        <f>IFERROR(__xludf.DUMMYFUNCTION("INDEX(GOOGLEFINANCE($A17,""price"",DATE(2010,5,1)),2,2)"),46.18)</f>
        <v>46.18</v>
      </c>
      <c r="H17" s="59">
        <f>IFERROR(__xludf.DUMMYFUNCTION("INDEX(GOOGLEFINANCE($A17,""price"",DATE(2010,5,7)),2,2)"),41.43)</f>
        <v>41.43</v>
      </c>
      <c r="I17" s="94">
        <f>IFERROR(__xludf.DUMMYFUNCTION("INDEX(GOOGLEFINANCE($A17,""price"",DATE(2011,8,5)),2,2)"),45.68)</f>
        <v>45.68</v>
      </c>
      <c r="J17" s="59">
        <f>IFERROR(__xludf.DUMMYFUNCTION("INDEX(GOOGLEFINANCE($A17,""price"",DATE(2011,8,8)),2,2)"),42.16)</f>
        <v>42.16</v>
      </c>
      <c r="K17" s="94">
        <f>IFERROR(__xludf.DUMMYFUNCTION("INDEX(GOOGLEFINANCE($A17,""price"",DATE(2015,8,21)),2,2)"),94.13)</f>
        <v>94.13</v>
      </c>
      <c r="L17" s="94">
        <f>IFERROR(__xludf.DUMMYFUNCTION("INDEX(GOOGLEFINANCE($A17,""price"",DATE(2015,8,24)),2,2)"),90.7)</f>
        <v>90.7</v>
      </c>
      <c r="M17" s="94">
        <f>IFERROR(__xludf.DUMMYFUNCTION("INDEX(GOOGLEFINANCE($A17,""price"",DATE(2020,2,15)),2,2)"),179.42)</f>
        <v>179.42</v>
      </c>
      <c r="N17" s="59">
        <f>IFERROR(__xludf.DUMMYFUNCTION("INDEX(GOOGLEFINANCE($A17,""price"",DATE(2020,3,16)),2,2)"),135.27)</f>
        <v>135.27</v>
      </c>
      <c r="O17" s="88">
        <f t="shared" si="2"/>
        <v>-0.04529855868</v>
      </c>
      <c r="P17" s="95">
        <f t="shared" si="3"/>
        <v>-0.1146512189</v>
      </c>
      <c r="Q17" s="88">
        <f t="shared" si="4"/>
        <v>-0.0834914611</v>
      </c>
      <c r="R17" s="88">
        <f t="shared" si="5"/>
        <v>-0.03781697905</v>
      </c>
      <c r="S17" s="88">
        <f t="shared" si="6"/>
        <v>-0.3263842685</v>
      </c>
      <c r="T17" s="59"/>
      <c r="U17" s="59"/>
    </row>
    <row r="18">
      <c r="A18" s="91" t="s">
        <v>169</v>
      </c>
      <c r="B18" s="91" t="s">
        <v>560</v>
      </c>
      <c r="C18" s="96">
        <v>1.86788055832E11</v>
      </c>
      <c r="D18" s="86">
        <f t="shared" si="1"/>
        <v>-0.1229385101</v>
      </c>
      <c r="E18" s="94">
        <f>IFERROR(__xludf.DUMMYFUNCTION("INDEX(GOOGLEFINANCE($A18,""price"",DATE(2008,9,4)),2,2)"),22.28)</f>
        <v>22.28</v>
      </c>
      <c r="F18" s="94">
        <f>IFERROR(__xludf.DUMMYFUNCTION("INDEX(GOOGLEFINANCE($A18,""close"",DATE(2008,9,14)),2,2)"),22.38)</f>
        <v>22.38</v>
      </c>
      <c r="G18" s="94">
        <f>IFERROR(__xludf.DUMMYFUNCTION("INDEX(GOOGLEFINANCE($A18,""price"",DATE(2010,5,1)),2,2)"),27.54)</f>
        <v>27.54</v>
      </c>
      <c r="H18" s="59">
        <f>IFERROR(__xludf.DUMMYFUNCTION("INDEX(GOOGLEFINANCE($A18,""price"",DATE(2010,5,7)),2,2)"),24.71)</f>
        <v>24.71</v>
      </c>
      <c r="I18" s="94">
        <f>IFERROR(__xludf.DUMMYFUNCTION("INDEX(GOOGLEFINANCE($A18,""price"",DATE(2011,8,5)),2,2)"),14.94)</f>
        <v>14.94</v>
      </c>
      <c r="J18" s="59">
        <f>IFERROR(__xludf.DUMMYFUNCTION("INDEX(GOOGLEFINANCE($A18,""price"",DATE(2011,8,8)),2,2)"),13.94)</f>
        <v>13.94</v>
      </c>
      <c r="K18" s="94">
        <f>IFERROR(__xludf.DUMMYFUNCTION("INDEX(GOOGLEFINANCE($A18,""price"",DATE(2015,8,21)),2,2)"),26.47)</f>
        <v>26.47</v>
      </c>
      <c r="L18" s="94">
        <f>IFERROR(__xludf.DUMMYFUNCTION("INDEX(GOOGLEFINANCE($A18,""price"",DATE(2015,8,24)),2,2)"),25.19)</f>
        <v>25.19</v>
      </c>
      <c r="M18" s="94">
        <f>IFERROR(__xludf.DUMMYFUNCTION("INDEX(GOOGLEFINANCE($A18,""price"",DATE(2020,2,15)),2,2)"),46.59)</f>
        <v>46.59</v>
      </c>
      <c r="N18" s="59">
        <f>IFERROR(__xludf.DUMMYFUNCTION("INDEX(GOOGLEFINANCE($A18,""price"",DATE(2020,3,16)),2,2)"),33.71)</f>
        <v>33.71</v>
      </c>
      <c r="O18" s="88">
        <f t="shared" si="2"/>
        <v>0.004468275246</v>
      </c>
      <c r="P18" s="95">
        <f t="shared" si="3"/>
        <v>-0.114528531</v>
      </c>
      <c r="Q18" s="88">
        <f t="shared" si="4"/>
        <v>-0.07173601148</v>
      </c>
      <c r="R18" s="88">
        <f t="shared" si="5"/>
        <v>-0.05081381501</v>
      </c>
      <c r="S18" s="88">
        <f t="shared" si="6"/>
        <v>-0.3820824681</v>
      </c>
      <c r="T18" s="59"/>
      <c r="U18" s="59"/>
    </row>
    <row r="19">
      <c r="A19" s="91" t="s">
        <v>600</v>
      </c>
      <c r="B19" s="91" t="s">
        <v>601</v>
      </c>
      <c r="C19" s="96">
        <v>3.03084450715E11</v>
      </c>
      <c r="D19" s="86">
        <f t="shared" si="1"/>
        <v>-0.1297916724</v>
      </c>
      <c r="E19" s="94">
        <f>IFERROR(__xludf.DUMMYFUNCTION("INDEX(GOOGLEFINANCE($A19,""price"",DATE(2008,9,4)),2,2)"),28.57)</f>
        <v>28.57</v>
      </c>
      <c r="F19" s="94">
        <f>IFERROR(__xludf.DUMMYFUNCTION("INDEX(GOOGLEFINANCE($A19,""close"",DATE(2008,9,14)),2,2)"),28.5)</f>
        <v>28.5</v>
      </c>
      <c r="G19" s="94">
        <f>IFERROR(__xludf.DUMMYFUNCTION("INDEX(GOOGLEFINANCE($A19,""price"",DATE(2010,5,1)),2,2)"),35.87)</f>
        <v>35.87</v>
      </c>
      <c r="H19" s="59">
        <f>IFERROR(__xludf.DUMMYFUNCTION("INDEX(GOOGLEFINANCE($A19,""price"",DATE(2010,5,7)),2,2)"),33.43)</f>
        <v>33.43</v>
      </c>
      <c r="I19" s="94">
        <f>IFERROR(__xludf.DUMMYFUNCTION("INDEX(GOOGLEFINANCE($A19,""price"",DATE(2011,8,5)),2,2)"),30.74)</f>
        <v>30.74</v>
      </c>
      <c r="J19" s="59">
        <f>IFERROR(__xludf.DUMMYFUNCTION("INDEX(GOOGLEFINANCE($A19,""price"",DATE(2011,8,8)),2,2)"),28.93)</f>
        <v>28.93</v>
      </c>
      <c r="K19" s="94">
        <f>IFERROR(__xludf.DUMMYFUNCTION("INDEX(GOOGLEFINANCE($A19,""price"",DATE(2015,8,21)),2,2)"),116.16)</f>
        <v>116.16</v>
      </c>
      <c r="L19" s="94">
        <f>IFERROR(__xludf.DUMMYFUNCTION("INDEX(GOOGLEFINANCE($A19,""price"",DATE(2015,8,24)),2,2)"),112.54)</f>
        <v>112.54</v>
      </c>
      <c r="M19" s="94">
        <f>IFERROR(__xludf.DUMMYFUNCTION("INDEX(GOOGLEFINANCE($A19,""price"",DATE(2020,2,15)),2,2)"),243.94)</f>
        <v>243.94</v>
      </c>
      <c r="N19" s="59">
        <f>IFERROR(__xludf.DUMMYFUNCTION("INDEX(GOOGLEFINANCE($A19,""price"",DATE(2020,3,16)),2,2)"),164.96)</f>
        <v>164.96</v>
      </c>
      <c r="O19" s="88">
        <f t="shared" si="2"/>
        <v>-0.002456140351</v>
      </c>
      <c r="P19" s="95">
        <f t="shared" si="3"/>
        <v>-0.07298833383</v>
      </c>
      <c r="Q19" s="88">
        <f t="shared" si="4"/>
        <v>-0.06256481161</v>
      </c>
      <c r="R19" s="88">
        <f t="shared" si="5"/>
        <v>-0.03216634086</v>
      </c>
      <c r="S19" s="88">
        <f t="shared" si="6"/>
        <v>-0.4787827352</v>
      </c>
      <c r="T19" s="59"/>
      <c r="U19" s="59"/>
    </row>
    <row r="20">
      <c r="A20" s="91" t="s">
        <v>615</v>
      </c>
      <c r="B20" s="91" t="s">
        <v>616</v>
      </c>
      <c r="C20" s="96">
        <v>1.24950263367E11</v>
      </c>
      <c r="D20" s="86">
        <f t="shared" si="1"/>
        <v>-0.1325676574</v>
      </c>
      <c r="E20" s="94">
        <f>IFERROR(__xludf.DUMMYFUNCTION("INDEX(GOOGLEFINANCE($A20,""price"",DATE(2008,9,4)),2,2)"),109.84)</f>
        <v>109.84</v>
      </c>
      <c r="F20" s="94">
        <f>IFERROR(__xludf.DUMMYFUNCTION("INDEX(GOOGLEFINANCE($A20,""close"",DATE(2008,9,14)),2,2)"),110.03)</f>
        <v>110.03</v>
      </c>
      <c r="G20" s="94">
        <f>IFERROR(__xludf.DUMMYFUNCTION("INDEX(GOOGLEFINANCE($A20,""price"",DATE(2010,5,1)),2,2)"),123.79)</f>
        <v>123.79</v>
      </c>
      <c r="H20" s="59">
        <f>IFERROR(__xludf.DUMMYFUNCTION("INDEX(GOOGLEFINANCE($A20,""price"",DATE(2010,5,7)),2,2)"),116.63)</f>
        <v>116.63</v>
      </c>
      <c r="I20" s="94">
        <f>IFERROR(__xludf.DUMMYFUNCTION("INDEX(GOOGLEFINANCE($A20,""price"",DATE(2011,8,5)),2,2)"),165.22)</f>
        <v>165.22</v>
      </c>
      <c r="J20" s="59">
        <f>IFERROR(__xludf.DUMMYFUNCTION("INDEX(GOOGLEFINANCE($A20,""price"",DATE(2011,8,8)),2,2)"),158.77)</f>
        <v>158.77</v>
      </c>
      <c r="K20" s="94">
        <f>IFERROR(__xludf.DUMMYFUNCTION("INDEX(GOOGLEFINANCE($A20,""price"",DATE(2015,8,21)),2,2)"),142.18)</f>
        <v>142.18</v>
      </c>
      <c r="L20" s="94">
        <f>IFERROR(__xludf.DUMMYFUNCTION("INDEX(GOOGLEFINANCE($A20,""price"",DATE(2015,8,24)),2,2)"),137.04)</f>
        <v>137.04</v>
      </c>
      <c r="M20" s="94">
        <f>IFERROR(__xludf.DUMMYFUNCTION("INDEX(GOOGLEFINANCE($A20,""price"",DATE(2020,2,15)),2,2)"),144.33)</f>
        <v>144.33</v>
      </c>
      <c r="N20" s="59">
        <f>IFERROR(__xludf.DUMMYFUNCTION("INDEX(GOOGLEFINANCE($A20,""price"",DATE(2020,3,16)),2,2)"),94.64)</f>
        <v>94.64</v>
      </c>
      <c r="O20" s="88">
        <f t="shared" si="2"/>
        <v>0.001726801781</v>
      </c>
      <c r="P20" s="95">
        <f t="shared" si="3"/>
        <v>-0.0613907228</v>
      </c>
      <c r="Q20" s="88">
        <f t="shared" si="4"/>
        <v>-0.04062480317</v>
      </c>
      <c r="R20" s="88">
        <f t="shared" si="5"/>
        <v>-0.03750729714</v>
      </c>
      <c r="S20" s="88">
        <f t="shared" si="6"/>
        <v>-0.5250422654</v>
      </c>
      <c r="T20" s="59"/>
      <c r="U20" s="59"/>
    </row>
    <row r="21">
      <c r="A21" s="91" t="s">
        <v>619</v>
      </c>
      <c r="B21" s="91" t="s">
        <v>620</v>
      </c>
      <c r="C21" s="96">
        <v>1.93244124362E11</v>
      </c>
      <c r="D21" s="86">
        <f t="shared" si="1"/>
        <v>-0.1329874867</v>
      </c>
      <c r="E21" s="94">
        <f>IFERROR(__xludf.DUMMYFUNCTION("INDEX(GOOGLEFINANCE($A21,""price"",DATE(2008,9,4)),2,2)"),31.54)</f>
        <v>31.54</v>
      </c>
      <c r="F21" s="94">
        <f>IFERROR(__xludf.DUMMYFUNCTION("INDEX(GOOGLEFINANCE($A21,""close"",DATE(2008,9,14)),2,2)"),32.36)</f>
        <v>32.36</v>
      </c>
      <c r="G21" s="94">
        <f>IFERROR(__xludf.DUMMYFUNCTION("INDEX(GOOGLEFINANCE($A21,""price"",DATE(2010,5,1)),2,2)"),37.56)</f>
        <v>37.56</v>
      </c>
      <c r="H21" s="59">
        <f>IFERROR(__xludf.DUMMYFUNCTION("INDEX(GOOGLEFINANCE($A21,""price"",DATE(2010,5,7)),2,2)"),33.41)</f>
        <v>33.41</v>
      </c>
      <c r="I21" s="94">
        <f>IFERROR(__xludf.DUMMYFUNCTION("INDEX(GOOGLEFINANCE($A21,""price"",DATE(2011,8,5)),2,2)"),35.18)</f>
        <v>35.18</v>
      </c>
      <c r="J21" s="59">
        <f>IFERROR(__xludf.DUMMYFUNCTION("INDEX(GOOGLEFINANCE($A21,""price"",DATE(2011,8,8)),2,2)"),33.03)</f>
        <v>33.03</v>
      </c>
      <c r="K21" s="94">
        <f>IFERROR(__xludf.DUMMYFUNCTION("INDEX(GOOGLEFINANCE($A21,""price"",DATE(2015,8,21)),2,2)"),98.84)</f>
        <v>98.84</v>
      </c>
      <c r="L21" s="94">
        <f>IFERROR(__xludf.DUMMYFUNCTION("INDEX(GOOGLEFINANCE($A21,""price"",DATE(2015,8,24)),2,2)"),95.36)</f>
        <v>95.36</v>
      </c>
      <c r="M21" s="94">
        <f>IFERROR(__xludf.DUMMYFUNCTION("INDEX(GOOGLEFINANCE($A21,""price"",DATE(2020,2,15)),2,2)"),139.14)</f>
        <v>139.14</v>
      </c>
      <c r="N21" s="59">
        <f>IFERROR(__xludf.DUMMYFUNCTION("INDEX(GOOGLEFINANCE($A21,""price"",DATE(2020,3,16)),2,2)"),95.01)</f>
        <v>95.01</v>
      </c>
      <c r="O21" s="88">
        <f t="shared" si="2"/>
        <v>0.02533992583</v>
      </c>
      <c r="P21" s="95">
        <f t="shared" si="3"/>
        <v>-0.1242143071</v>
      </c>
      <c r="Q21" s="88">
        <f t="shared" si="4"/>
        <v>-0.0650923403</v>
      </c>
      <c r="R21" s="88">
        <f t="shared" si="5"/>
        <v>-0.03649328859</v>
      </c>
      <c r="S21" s="88">
        <f t="shared" si="6"/>
        <v>-0.4644774234</v>
      </c>
      <c r="T21" s="59"/>
      <c r="U21" s="59"/>
    </row>
    <row r="22">
      <c r="A22" s="91" t="s">
        <v>193</v>
      </c>
      <c r="B22" s="91" t="s">
        <v>641</v>
      </c>
      <c r="C22" s="96">
        <v>1.167941E11</v>
      </c>
      <c r="D22" s="86">
        <f t="shared" si="1"/>
        <v>-0.1359348901</v>
      </c>
      <c r="E22" s="94">
        <f>IFERROR(__xludf.DUMMYFUNCTION("INDEX(GOOGLEFINANCE($A22,""price"",DATE(2008,9,4)),2,2)"),20.52)</f>
        <v>20.52</v>
      </c>
      <c r="F22" s="94">
        <f>IFERROR(__xludf.DUMMYFUNCTION("INDEX(GOOGLEFINANCE($A22,""close"",DATE(2008,9,14)),2,2)"),19.36)</f>
        <v>19.36</v>
      </c>
      <c r="G22" s="94">
        <f>IFERROR(__xludf.DUMMYFUNCTION("INDEX(GOOGLEFINANCE($A22,""price"",DATE(2010,5,1)),2,2)"),23.26)</f>
        <v>23.26</v>
      </c>
      <c r="H22" s="59">
        <f>IFERROR(__xludf.DUMMYFUNCTION("INDEX(GOOGLEFINANCE($A22,""price"",DATE(2010,5,7)),2,2)"),21.31)</f>
        <v>21.31</v>
      </c>
      <c r="I22" s="94">
        <f>IFERROR(__xludf.DUMMYFUNCTION("INDEX(GOOGLEFINANCE($A22,""price"",DATE(2011,8,5)),2,2)"),20.79)</f>
        <v>20.79</v>
      </c>
      <c r="J22" s="59">
        <f>IFERROR(__xludf.DUMMYFUNCTION("INDEX(GOOGLEFINANCE($A22,""price"",DATE(2011,8,8)),2,2)"),20.11)</f>
        <v>20.11</v>
      </c>
      <c r="K22" s="94">
        <f>IFERROR(__xludf.DUMMYFUNCTION("INDEX(GOOGLEFINANCE($A22,""price"",DATE(2015,8,21)),2,2)"),26.56)</f>
        <v>26.56</v>
      </c>
      <c r="L22" s="94">
        <f>IFERROR(__xludf.DUMMYFUNCTION("INDEX(GOOGLEFINANCE($A22,""price"",DATE(2015,8,24)),2,2)"),26.25)</f>
        <v>26.25</v>
      </c>
      <c r="M22" s="94">
        <f>IFERROR(__xludf.DUMMYFUNCTION("INDEX(GOOGLEFINANCE($A22,""price"",DATE(2020,2,15)),2,2)"),66.14)</f>
        <v>66.14</v>
      </c>
      <c r="N22" s="59">
        <f>IFERROR(__xludf.DUMMYFUNCTION("INDEX(GOOGLEFINANCE($A22,""price"",DATE(2020,3,16)),2,2)"),44.61)</f>
        <v>44.61</v>
      </c>
      <c r="O22" s="88">
        <f t="shared" si="2"/>
        <v>-0.05991735537</v>
      </c>
      <c r="P22" s="95">
        <f t="shared" si="3"/>
        <v>-0.09150633505</v>
      </c>
      <c r="Q22" s="88">
        <f t="shared" si="4"/>
        <v>-0.03381402287</v>
      </c>
      <c r="R22" s="88">
        <f t="shared" si="5"/>
        <v>-0.01180952381</v>
      </c>
      <c r="S22" s="88">
        <f t="shared" si="6"/>
        <v>-0.4826272136</v>
      </c>
      <c r="T22" s="59"/>
      <c r="U22" s="59"/>
    </row>
    <row r="23">
      <c r="A23" s="91" t="s">
        <v>195</v>
      </c>
      <c r="B23" s="91" t="s">
        <v>642</v>
      </c>
      <c r="C23" s="96">
        <v>2.3965579767E12</v>
      </c>
      <c r="D23" s="86">
        <f t="shared" si="1"/>
        <v>-0.1359478792</v>
      </c>
      <c r="E23" s="94">
        <f>IFERROR(__xludf.DUMMYFUNCTION("INDEX(GOOGLEFINANCE($A23,""price"",DATE(2008,9,4)),2,2)"),5.76)</f>
        <v>5.76</v>
      </c>
      <c r="F23" s="94">
        <f>IFERROR(__xludf.DUMMYFUNCTION("INDEX(GOOGLEFINANCE($A23,""close"",DATE(2008,9,14)),2,2)"),5.01)</f>
        <v>5.01</v>
      </c>
      <c r="G23" s="94">
        <f>IFERROR(__xludf.DUMMYFUNCTION("INDEX(GOOGLEFINANCE($A23,""price"",DATE(2010,5,1)),2,2)"),9.51)</f>
        <v>9.51</v>
      </c>
      <c r="H23" s="59">
        <f>IFERROR(__xludf.DUMMYFUNCTION("INDEX(GOOGLEFINANCE($A23,""price"",DATE(2010,5,7)),2,2)"),8.42)</f>
        <v>8.42</v>
      </c>
      <c r="I23" s="94">
        <f>IFERROR(__xludf.DUMMYFUNCTION("INDEX(GOOGLEFINANCE($A23,""price"",DATE(2011,8,5)),2,2)"),13.34)</f>
        <v>13.34</v>
      </c>
      <c r="J23" s="59">
        <f>IFERROR(__xludf.DUMMYFUNCTION("INDEX(GOOGLEFINANCE($A23,""price"",DATE(2011,8,8)),2,2)"),12.61)</f>
        <v>12.61</v>
      </c>
      <c r="K23" s="94">
        <f>IFERROR(__xludf.DUMMYFUNCTION("INDEX(GOOGLEFINANCE($A23,""price"",DATE(2015,8,21)),2,2)"),26.44)</f>
        <v>26.44</v>
      </c>
      <c r="L23" s="94">
        <f>IFERROR(__xludf.DUMMYFUNCTION("INDEX(GOOGLEFINANCE($A23,""price"",DATE(2015,8,24)),2,2)"),25.78)</f>
        <v>25.78</v>
      </c>
      <c r="M23" s="94">
        <f>IFERROR(__xludf.DUMMYFUNCTION("INDEX(GOOGLEFINANCE($A23,""price"",DATE(2020,2,15)),2,2)"),79.75)</f>
        <v>79.75</v>
      </c>
      <c r="N23" s="59">
        <f>IFERROR(__xludf.DUMMYFUNCTION("INDEX(GOOGLEFINANCE($A23,""price"",DATE(2020,3,16)),2,2)"),60.55)</f>
        <v>60.55</v>
      </c>
      <c r="O23" s="88">
        <f t="shared" si="2"/>
        <v>-0.1497005988</v>
      </c>
      <c r="P23" s="95">
        <f t="shared" si="3"/>
        <v>-0.1294536817</v>
      </c>
      <c r="Q23" s="88">
        <f t="shared" si="4"/>
        <v>-0.05789056305</v>
      </c>
      <c r="R23" s="88">
        <f t="shared" si="5"/>
        <v>-0.02560124127</v>
      </c>
      <c r="S23" s="88">
        <f t="shared" si="6"/>
        <v>-0.3170933113</v>
      </c>
      <c r="T23" s="59"/>
      <c r="U23" s="59"/>
    </row>
    <row r="24">
      <c r="A24" s="91" t="s">
        <v>680</v>
      </c>
      <c r="B24" s="91" t="s">
        <v>681</v>
      </c>
      <c r="C24" s="96">
        <v>1.18492709272E11</v>
      </c>
      <c r="D24" s="86">
        <f t="shared" si="1"/>
        <v>-0.1408007421</v>
      </c>
      <c r="E24" s="94">
        <f>IFERROR(__xludf.DUMMYFUNCTION("INDEX(GOOGLEFINANCE($A24,""price"",DATE(2008,9,4)),2,2)"),14.94)</f>
        <v>14.94</v>
      </c>
      <c r="F24" s="94">
        <f>IFERROR(__xludf.DUMMYFUNCTION("INDEX(GOOGLEFINANCE($A24,""close"",DATE(2008,9,14)),2,2)"),15.13)</f>
        <v>15.13</v>
      </c>
      <c r="G24" s="94">
        <f>IFERROR(__xludf.DUMMYFUNCTION("INDEX(GOOGLEFINANCE($A24,""price"",DATE(2010,5,1)),2,2)"),19.44)</f>
        <v>19.44</v>
      </c>
      <c r="H24" s="59">
        <f>IFERROR(__xludf.DUMMYFUNCTION("INDEX(GOOGLEFINANCE($A24,""price"",DATE(2010,5,7)),2,2)"),17.65)</f>
        <v>17.65</v>
      </c>
      <c r="I24" s="94">
        <f>IFERROR(__xludf.DUMMYFUNCTION("INDEX(GOOGLEFINANCE($A24,""price"",DATE(2011,8,5)),2,2)"),20.97)</f>
        <v>20.97</v>
      </c>
      <c r="J24" s="59">
        <f>IFERROR(__xludf.DUMMYFUNCTION("INDEX(GOOGLEFINANCE($A24,""price"",DATE(2011,8,8)),2,2)"),19.8)</f>
        <v>19.8</v>
      </c>
      <c r="K24" s="94">
        <f>IFERROR(__xludf.DUMMYFUNCTION("INDEX(GOOGLEFINANCE($A24,""price"",DATE(2015,8,21)),2,2)"),53.44)</f>
        <v>53.44</v>
      </c>
      <c r="L24" s="94">
        <f>IFERROR(__xludf.DUMMYFUNCTION("INDEX(GOOGLEFINANCE($A24,""price"",DATE(2015,8,24)),2,2)"),51.94)</f>
        <v>51.94</v>
      </c>
      <c r="M24" s="94">
        <f>IFERROR(__xludf.DUMMYFUNCTION("INDEX(GOOGLEFINANCE($A24,""price"",DATE(2020,2,15)),2,2)"),102.0)</f>
        <v>102</v>
      </c>
      <c r="N24" s="59">
        <f>IFERROR(__xludf.DUMMYFUNCTION("INDEX(GOOGLEFINANCE($A24,""price"",DATE(2020,3,16)),2,2)"),66.79)</f>
        <v>66.79</v>
      </c>
      <c r="O24" s="88">
        <f t="shared" si="2"/>
        <v>0.01255783212</v>
      </c>
      <c r="P24" s="95">
        <f t="shared" si="3"/>
        <v>-0.1014164306</v>
      </c>
      <c r="Q24" s="88">
        <f t="shared" si="4"/>
        <v>-0.05909090909</v>
      </c>
      <c r="R24" s="88">
        <f t="shared" si="5"/>
        <v>-0.02887947632</v>
      </c>
      <c r="S24" s="88">
        <f t="shared" si="6"/>
        <v>-0.5271747268</v>
      </c>
      <c r="T24" s="59"/>
      <c r="U24" s="59"/>
    </row>
    <row r="25">
      <c r="A25" s="91" t="s">
        <v>707</v>
      </c>
      <c r="B25" s="91" t="s">
        <v>708</v>
      </c>
      <c r="C25" s="96">
        <v>1.15348147746E11</v>
      </c>
      <c r="D25" s="86">
        <f t="shared" si="1"/>
        <v>-0.1462927118</v>
      </c>
      <c r="E25" s="94">
        <f>IFERROR(__xludf.DUMMYFUNCTION("INDEX(GOOGLEFINANCE($A25,""price"",DATE(2008,9,4)),2,2)"),63.94)</f>
        <v>63.94</v>
      </c>
      <c r="F25" s="94">
        <f>IFERROR(__xludf.DUMMYFUNCTION("INDEX(GOOGLEFINANCE($A25,""close"",DATE(2008,9,14)),2,2)"),63.21)</f>
        <v>63.21</v>
      </c>
      <c r="G25" s="94">
        <f>IFERROR(__xludf.DUMMYFUNCTION("INDEX(GOOGLEFINANCE($A25,""price"",DATE(2010,5,1)),2,2)"),69.94)</f>
        <v>69.94</v>
      </c>
      <c r="H25" s="59">
        <f>IFERROR(__xludf.DUMMYFUNCTION("INDEX(GOOGLEFINANCE($A25,""price"",DATE(2010,5,7)),2,2)"),62.1)</f>
        <v>62.1</v>
      </c>
      <c r="I25" s="94">
        <f>IFERROR(__xludf.DUMMYFUNCTION("INDEX(GOOGLEFINANCE($A25,""price"",DATE(2011,8,5)),2,2)"),90.99)</f>
        <v>90.99</v>
      </c>
      <c r="J25" s="59">
        <f>IFERROR(__xludf.DUMMYFUNCTION("INDEX(GOOGLEFINANCE($A25,""price"",DATE(2011,8,8)),2,2)"),82.6)</f>
        <v>82.6</v>
      </c>
      <c r="K25" s="94">
        <f>IFERROR(__xludf.DUMMYFUNCTION("INDEX(GOOGLEFINANCE($A25,""price"",DATE(2015,8,21)),2,2)"),75.0)</f>
        <v>75</v>
      </c>
      <c r="L25" s="94">
        <f>IFERROR(__xludf.DUMMYFUNCTION("INDEX(GOOGLEFINANCE($A25,""price"",DATE(2015,8,24)),2,2)"),72.82)</f>
        <v>72.82</v>
      </c>
      <c r="M25" s="94">
        <f>IFERROR(__xludf.DUMMYFUNCTION("INDEX(GOOGLEFINANCE($A25,""price"",DATE(2020,2,15)),2,2)"),136.58)</f>
        <v>136.58</v>
      </c>
      <c r="N25" s="59">
        <f>IFERROR(__xludf.DUMMYFUNCTION("INDEX(GOOGLEFINANCE($A25,""price"",DATE(2020,3,16)),2,2)"),93.41)</f>
        <v>93.41</v>
      </c>
      <c r="O25" s="88">
        <f t="shared" si="2"/>
        <v>-0.01154880557</v>
      </c>
      <c r="P25" s="95">
        <f t="shared" si="3"/>
        <v>-0.1262479871</v>
      </c>
      <c r="Q25" s="88">
        <f t="shared" si="4"/>
        <v>-0.1015738499</v>
      </c>
      <c r="R25" s="88">
        <f t="shared" si="5"/>
        <v>-0.02993683054</v>
      </c>
      <c r="S25" s="88">
        <f t="shared" si="6"/>
        <v>-0.4621560861</v>
      </c>
      <c r="T25" s="59"/>
      <c r="U25" s="59"/>
    </row>
    <row r="26">
      <c r="A26" s="91" t="s">
        <v>717</v>
      </c>
      <c r="B26" s="91" t="s">
        <v>718</v>
      </c>
      <c r="C26" s="96">
        <v>4.283404062E10</v>
      </c>
      <c r="D26" s="86">
        <f t="shared" si="1"/>
        <v>-0.1474657228</v>
      </c>
      <c r="E26" s="94">
        <f>IFERROR(__xludf.DUMMYFUNCTION("INDEX(GOOGLEFINANCE($A26,""price"",DATE(2008,9,4)),2,2)"),42.69)</f>
        <v>42.69</v>
      </c>
      <c r="F26" s="94">
        <f>IFERROR(__xludf.DUMMYFUNCTION("INDEX(GOOGLEFINANCE($A26,""close"",DATE(2008,9,14)),2,2)"),43.7)</f>
        <v>43.7</v>
      </c>
      <c r="G26" s="94">
        <f>IFERROR(__xludf.DUMMYFUNCTION("INDEX(GOOGLEFINANCE($A26,""price"",DATE(2010,5,1)),2,2)"),51.21)</f>
        <v>51.21</v>
      </c>
      <c r="H26" s="59">
        <f>IFERROR(__xludf.DUMMYFUNCTION("INDEX(GOOGLEFINANCE($A26,""price"",DATE(2010,5,7)),2,2)"),49.26)</f>
        <v>49.26</v>
      </c>
      <c r="I26" s="94">
        <f>IFERROR(__xludf.DUMMYFUNCTION("INDEX(GOOGLEFINANCE($A26,""price"",DATE(2011,8,5)),2,2)"),52.57)</f>
        <v>52.57</v>
      </c>
      <c r="J26" s="59">
        <f>IFERROR(__xludf.DUMMYFUNCTION("INDEX(GOOGLEFINANCE($A26,""price"",DATE(2011,8,8)),2,2)"),48.58)</f>
        <v>48.58</v>
      </c>
      <c r="K26" s="94">
        <f>IFERROR(__xludf.DUMMYFUNCTION("INDEX(GOOGLEFINANCE($A26,""price"",DATE(2015,8,21)),2,2)"),102.93)</f>
        <v>102.93</v>
      </c>
      <c r="L26" s="94">
        <f>IFERROR(__xludf.DUMMYFUNCTION("INDEX(GOOGLEFINANCE($A26,""price"",DATE(2015,8,24)),2,2)"),98.78)</f>
        <v>98.78</v>
      </c>
      <c r="M26" s="94">
        <f>IFERROR(__xludf.DUMMYFUNCTION("INDEX(GOOGLEFINANCE($A26,""price"",DATE(2020,2,15)),2,2)"),135.88)</f>
        <v>135.88</v>
      </c>
      <c r="N26" s="59">
        <f>IFERROR(__xludf.DUMMYFUNCTION("INDEX(GOOGLEFINANCE($A26,""price"",DATE(2020,3,16)),2,2)"),85.1)</f>
        <v>85.1</v>
      </c>
      <c r="O26" s="88">
        <f t="shared" si="2"/>
        <v>0.02311212815</v>
      </c>
      <c r="P26" s="95">
        <f t="shared" si="3"/>
        <v>-0.03958587089</v>
      </c>
      <c r="Q26" s="88">
        <f t="shared" si="4"/>
        <v>-0.08213256484</v>
      </c>
      <c r="R26" s="88">
        <f t="shared" si="5"/>
        <v>-0.04201255315</v>
      </c>
      <c r="S26" s="88">
        <f t="shared" si="6"/>
        <v>-0.5967097532</v>
      </c>
      <c r="T26" s="59"/>
      <c r="U26" s="59"/>
    </row>
    <row r="27">
      <c r="A27" s="91" t="s">
        <v>761</v>
      </c>
      <c r="B27" s="91" t="s">
        <v>762</v>
      </c>
      <c r="C27" s="96">
        <v>3.75809151779E11</v>
      </c>
      <c r="D27" s="86">
        <f t="shared" si="1"/>
        <v>-0.1574346039</v>
      </c>
      <c r="E27" s="94">
        <f>IFERROR(__xludf.DUMMYFUNCTION("INDEX(GOOGLEFINANCE($A27,""price"",DATE(2008,9,4)),2,2)"),37.91)</f>
        <v>37.91</v>
      </c>
      <c r="F27" s="94">
        <f>IFERROR(__xludf.DUMMYFUNCTION("INDEX(GOOGLEFINANCE($A27,""close"",DATE(2008,9,14)),2,2)"),37.0)</f>
        <v>37</v>
      </c>
      <c r="G27" s="94">
        <f>IFERROR(__xludf.DUMMYFUNCTION("INDEX(GOOGLEFINANCE($A27,""price"",DATE(2010,5,1)),2,2)"),43.53)</f>
        <v>43.53</v>
      </c>
      <c r="H27" s="59">
        <f>IFERROR(__xludf.DUMMYFUNCTION("INDEX(GOOGLEFINANCE($A27,""price"",DATE(2010,5,7)),2,2)"),40.76)</f>
        <v>40.76</v>
      </c>
      <c r="I27" s="94">
        <f>IFERROR(__xludf.DUMMYFUNCTION("INDEX(GOOGLEFINANCE($A27,""price"",DATE(2011,8,5)),2,2)"),37.6)</f>
        <v>37.6</v>
      </c>
      <c r="J27" s="59">
        <f>IFERROR(__xludf.DUMMYFUNCTION("INDEX(GOOGLEFINANCE($A27,""price"",DATE(2011,8,8)),2,2)"),34.06)</f>
        <v>34.06</v>
      </c>
      <c r="K27" s="94">
        <f>IFERROR(__xludf.DUMMYFUNCTION("INDEX(GOOGLEFINANCE($A27,""price"",DATE(2015,8,21)),2,2)"),63.6)</f>
        <v>63.6</v>
      </c>
      <c r="L27" s="94">
        <f>IFERROR(__xludf.DUMMYFUNCTION("INDEX(GOOGLEFINANCE($A27,""price"",DATE(2015,8,24)),2,2)"),60.25)</f>
        <v>60.25</v>
      </c>
      <c r="M27" s="94">
        <f>IFERROR(__xludf.DUMMYFUNCTION("INDEX(GOOGLEFINANCE($A27,""price"",DATE(2020,2,15)),2,2)"),135.64)</f>
        <v>135.64</v>
      </c>
      <c r="N27" s="59">
        <f>IFERROR(__xludf.DUMMYFUNCTION("INDEX(GOOGLEFINANCE($A27,""price"",DATE(2020,3,16)),2,2)"),88.36)</f>
        <v>88.36</v>
      </c>
      <c r="O27" s="88">
        <f t="shared" si="2"/>
        <v>-0.02459459459</v>
      </c>
      <c r="P27" s="95">
        <f t="shared" si="3"/>
        <v>-0.06795878312</v>
      </c>
      <c r="Q27" s="88">
        <f t="shared" si="4"/>
        <v>-0.1039342337</v>
      </c>
      <c r="R27" s="88">
        <f t="shared" si="5"/>
        <v>-0.05560165975</v>
      </c>
      <c r="S27" s="88">
        <f t="shared" si="6"/>
        <v>-0.5350837483</v>
      </c>
      <c r="T27" s="59"/>
      <c r="U27" s="59"/>
    </row>
    <row r="28">
      <c r="A28" s="91" t="s">
        <v>763</v>
      </c>
      <c r="B28" s="91" t="s">
        <v>764</v>
      </c>
      <c r="C28" s="96">
        <v>1.5982E11</v>
      </c>
      <c r="D28" s="86">
        <f t="shared" si="1"/>
        <v>-0.1600111535</v>
      </c>
      <c r="E28" s="94">
        <f>IFERROR(__xludf.DUMMYFUNCTION("INDEX(GOOGLEFINANCE($A28,""price"",DATE(2008,9,4)),2,2)"),13.48)</f>
        <v>13.48</v>
      </c>
      <c r="F28" s="94">
        <f>IFERROR(__xludf.DUMMYFUNCTION("INDEX(GOOGLEFINANCE($A28,""close"",DATE(2008,9,14)),2,2)"),13.7)</f>
        <v>13.7</v>
      </c>
      <c r="G28" s="94">
        <f>IFERROR(__xludf.DUMMYFUNCTION("INDEX(GOOGLEFINANCE($A28,""price"",DATE(2010,5,1)),2,2)"),21.93)</f>
        <v>21.93</v>
      </c>
      <c r="H28" s="59">
        <f>IFERROR(__xludf.DUMMYFUNCTION("INDEX(GOOGLEFINANCE($A28,""price"",DATE(2010,5,7)),2,2)"),19.38)</f>
        <v>19.38</v>
      </c>
      <c r="I28" s="94">
        <f>IFERROR(__xludf.DUMMYFUNCTION("INDEX(GOOGLEFINANCE($A28,""price"",DATE(2011,8,5)),2,2)"),33.92)</f>
        <v>33.92</v>
      </c>
      <c r="J28" s="59">
        <f>IFERROR(__xludf.DUMMYFUNCTION("INDEX(GOOGLEFINANCE($A28,""price"",DATE(2011,8,8)),2,2)"),31.23)</f>
        <v>31.23</v>
      </c>
      <c r="K28" s="94">
        <f>IFERROR(__xludf.DUMMYFUNCTION("INDEX(GOOGLEFINANCE($A28,""price"",DATE(2015,8,21)),2,2)"),69.15)</f>
        <v>69.15</v>
      </c>
      <c r="L28" s="94">
        <f>IFERROR(__xludf.DUMMYFUNCTION("INDEX(GOOGLEFINANCE($A28,""price"",DATE(2015,8,24)),2,2)"),65.17)</f>
        <v>65.17</v>
      </c>
      <c r="M28" s="94">
        <f>IFERROR(__xludf.DUMMYFUNCTION("INDEX(GOOGLEFINANCE($A28,""price"",DATE(2020,2,15)),2,2)"),191.09)</f>
        <v>191.09</v>
      </c>
      <c r="N28" s="59">
        <f>IFERROR(__xludf.DUMMYFUNCTION("INDEX(GOOGLEFINANCE($A28,""price"",DATE(2020,3,16)),2,2)"),124.3)</f>
        <v>124.3</v>
      </c>
      <c r="O28" s="88">
        <f t="shared" si="2"/>
        <v>0.01605839416</v>
      </c>
      <c r="P28" s="95">
        <f t="shared" si="3"/>
        <v>-0.1315789474</v>
      </c>
      <c r="Q28" s="88">
        <f t="shared" si="4"/>
        <v>-0.08613512648</v>
      </c>
      <c r="R28" s="88">
        <f t="shared" si="5"/>
        <v>-0.06107104496</v>
      </c>
      <c r="S28" s="88">
        <f t="shared" si="6"/>
        <v>-0.5373290426</v>
      </c>
      <c r="T28" s="59"/>
      <c r="U28" s="59"/>
    </row>
    <row r="29">
      <c r="A29" s="91" t="s">
        <v>765</v>
      </c>
      <c r="B29" s="91" t="s">
        <v>766</v>
      </c>
      <c r="C29" s="96">
        <v>3.58028307952E11</v>
      </c>
      <c r="D29" s="86">
        <f t="shared" si="1"/>
        <v>-0.1604172915</v>
      </c>
      <c r="E29" s="94">
        <f>IFERROR(__xludf.DUMMYFUNCTION("INDEX(GOOGLEFINANCE($A29,""price"",DATE(2008,9,4)),2,2)"),81.22)</f>
        <v>81.22</v>
      </c>
      <c r="F29" s="94">
        <f>IFERROR(__xludf.DUMMYFUNCTION("INDEX(GOOGLEFINANCE($A29,""close"",DATE(2008,9,14)),2,2)"),80.09)</f>
        <v>80.09</v>
      </c>
      <c r="G29" s="94">
        <f>IFERROR(__xludf.DUMMYFUNCTION("INDEX(GOOGLEFINANCE($A29,""price"",DATE(2010,5,1)),2,2)"),82.83)</f>
        <v>82.83</v>
      </c>
      <c r="H29" s="59">
        <f>IFERROR(__xludf.DUMMYFUNCTION("INDEX(GOOGLEFINANCE($A29,""price"",DATE(2010,5,7)),2,2)"),77.1)</f>
        <v>77.1</v>
      </c>
      <c r="I29" s="94">
        <f>IFERROR(__xludf.DUMMYFUNCTION("INDEX(GOOGLEFINANCE($A29,""price"",DATE(2011,8,5)),2,2)"),97.61)</f>
        <v>97.61</v>
      </c>
      <c r="J29" s="59">
        <f>IFERROR(__xludf.DUMMYFUNCTION("INDEX(GOOGLEFINANCE($A29,""price"",DATE(2011,8,8)),2,2)"),90.25)</f>
        <v>90.25</v>
      </c>
      <c r="K29" s="94">
        <f>IFERROR(__xludf.DUMMYFUNCTION("INDEX(GOOGLEFINANCE($A29,""price"",DATE(2015,8,21)),2,2)"),75.76)</f>
        <v>75.76</v>
      </c>
      <c r="L29" s="94">
        <f>IFERROR(__xludf.DUMMYFUNCTION("INDEX(GOOGLEFINANCE($A29,""price"",DATE(2015,8,24)),2,2)"),72.12)</f>
        <v>72.12</v>
      </c>
      <c r="M29" s="94">
        <f>IFERROR(__xludf.DUMMYFUNCTION("INDEX(GOOGLEFINANCE($A29,""price"",DATE(2020,2,15)),2,2)"),110.24)</f>
        <v>110.24</v>
      </c>
      <c r="N29" s="59">
        <f>IFERROR(__xludf.DUMMYFUNCTION("INDEX(GOOGLEFINANCE($A29,""price"",DATE(2020,3,16)),2,2)"),69.7)</f>
        <v>69.7</v>
      </c>
      <c r="O29" s="88">
        <f t="shared" si="2"/>
        <v>-0.01410912723</v>
      </c>
      <c r="P29" s="95">
        <f t="shared" si="3"/>
        <v>-0.07431906615</v>
      </c>
      <c r="Q29" s="88">
        <f t="shared" si="4"/>
        <v>-0.08155124654</v>
      </c>
      <c r="R29" s="88">
        <f t="shared" si="5"/>
        <v>-0.05047143649</v>
      </c>
      <c r="S29" s="88">
        <f t="shared" si="6"/>
        <v>-0.5816355811</v>
      </c>
      <c r="T29" s="59"/>
      <c r="U29" s="59"/>
    </row>
    <row r="30">
      <c r="A30" s="91" t="s">
        <v>808</v>
      </c>
      <c r="B30" s="91" t="s">
        <v>809</v>
      </c>
      <c r="C30" s="96">
        <v>1.18989850079E11</v>
      </c>
      <c r="D30" s="86">
        <f t="shared" si="1"/>
        <v>-0.1701842379</v>
      </c>
      <c r="E30" s="94">
        <f>IFERROR(__xludf.DUMMYFUNCTION("INDEX(GOOGLEFINANCE($A30,""price"",DATE(2008,9,4)),2,2)"),160.9)</f>
        <v>160.9</v>
      </c>
      <c r="F30" s="94">
        <f>IFERROR(__xludf.DUMMYFUNCTION("INDEX(GOOGLEFINANCE($A30,""close"",DATE(2008,9,14)),2,2)"),135.5)</f>
        <v>135.5</v>
      </c>
      <c r="G30" s="94">
        <f>IFERROR(__xludf.DUMMYFUNCTION("INDEX(GOOGLEFINANCE($A30,""price"",DATE(2010,5,1)),2,2)"),149.5)</f>
        <v>149.5</v>
      </c>
      <c r="H30" s="59">
        <f>IFERROR(__xludf.DUMMYFUNCTION("INDEX(GOOGLEFINANCE($A30,""price"",DATE(2010,5,7)),2,2)"),142.99)</f>
        <v>142.99</v>
      </c>
      <c r="I30" s="94">
        <f>IFERROR(__xludf.DUMMYFUNCTION("INDEX(GOOGLEFINANCE($A30,""price"",DATE(2011,8,5)),2,2)"),125.18)</f>
        <v>125.18</v>
      </c>
      <c r="J30" s="59">
        <f>IFERROR(__xludf.DUMMYFUNCTION("INDEX(GOOGLEFINANCE($A30,""price"",DATE(2011,8,8)),2,2)"),117.66)</f>
        <v>117.66</v>
      </c>
      <c r="K30" s="94">
        <f>IFERROR(__xludf.DUMMYFUNCTION("INDEX(GOOGLEFINANCE($A30,""price"",DATE(2015,8,21)),2,2)"),187.74)</f>
        <v>187.74</v>
      </c>
      <c r="L30" s="94">
        <f>IFERROR(__xludf.DUMMYFUNCTION("INDEX(GOOGLEFINANCE($A30,""price"",DATE(2015,8,24)),2,2)"),179.46)</f>
        <v>179.46</v>
      </c>
      <c r="M30" s="94">
        <f>IFERROR(__xludf.DUMMYFUNCTION("INDEX(GOOGLEFINANCE($A30,""price"",DATE(2020,2,15)),2,2)"),233.21)</f>
        <v>233.21</v>
      </c>
      <c r="N30" s="59">
        <f>IFERROR(__xludf.DUMMYFUNCTION("INDEX(GOOGLEFINANCE($A30,""price"",DATE(2020,3,16)),2,2)"),154.66)</f>
        <v>154.66</v>
      </c>
      <c r="O30" s="88">
        <f t="shared" si="2"/>
        <v>-0.1874538745</v>
      </c>
      <c r="P30" s="95">
        <f t="shared" si="3"/>
        <v>-0.04552765928</v>
      </c>
      <c r="Q30" s="88">
        <f t="shared" si="4"/>
        <v>-0.06391296957</v>
      </c>
      <c r="R30" s="88">
        <f t="shared" si="5"/>
        <v>-0.04613841525</v>
      </c>
      <c r="S30" s="88">
        <f t="shared" si="6"/>
        <v>-0.507888271</v>
      </c>
      <c r="T30" s="59"/>
      <c r="U30" s="59"/>
    </row>
    <row r="31">
      <c r="A31" s="91" t="s">
        <v>897</v>
      </c>
      <c r="B31" s="91" t="s">
        <v>898</v>
      </c>
      <c r="C31" s="96">
        <v>1.09902984928E11</v>
      </c>
      <c r="D31" s="86">
        <f t="shared" si="1"/>
        <v>-0.1925252309</v>
      </c>
      <c r="E31" s="94">
        <f>IFERROR(__xludf.DUMMYFUNCTION("INDEX(GOOGLEFINANCE($A31,""price"",DATE(2008,9,4)),2,2)"),38.75)</f>
        <v>38.75</v>
      </c>
      <c r="F31" s="94">
        <f>IFERROR(__xludf.DUMMYFUNCTION("INDEX(GOOGLEFINANCE($A31,""close"",DATE(2008,9,14)),2,2)"),35.48)</f>
        <v>35.48</v>
      </c>
      <c r="G31" s="94">
        <f>IFERROR(__xludf.DUMMYFUNCTION("INDEX(GOOGLEFINANCE($A31,""price"",DATE(2010,5,1)),2,2)"),47.2)</f>
        <v>47.2</v>
      </c>
      <c r="H31" s="59">
        <f>IFERROR(__xludf.DUMMYFUNCTION("INDEX(GOOGLEFINANCE($A31,""price"",DATE(2010,5,7)),2,2)"),40.6)</f>
        <v>40.6</v>
      </c>
      <c r="I31" s="94">
        <f>IFERROR(__xludf.DUMMYFUNCTION("INDEX(GOOGLEFINANCE($A31,""price"",DATE(2011,8,5)),2,2)"),47.21)</f>
        <v>47.21</v>
      </c>
      <c r="J31" s="59">
        <f>IFERROR(__xludf.DUMMYFUNCTION("INDEX(GOOGLEFINANCE($A31,""price"",DATE(2011,8,8)),2,2)"),43.04)</f>
        <v>43.04</v>
      </c>
      <c r="K31" s="94">
        <f>IFERROR(__xludf.DUMMYFUNCTION("INDEX(GOOGLEFINANCE($A31,""price"",DATE(2015,8,21)),2,2)"),77.03)</f>
        <v>77.03</v>
      </c>
      <c r="L31" s="94">
        <f>IFERROR(__xludf.DUMMYFUNCTION("INDEX(GOOGLEFINANCE($A31,""price"",DATE(2015,8,24)),2,2)"),74.65)</f>
        <v>74.65</v>
      </c>
      <c r="M31" s="94">
        <f>IFERROR(__xludf.DUMMYFUNCTION("INDEX(GOOGLEFINANCE($A31,""price"",DATE(2020,2,15)),2,2)"),135.6)</f>
        <v>135.6</v>
      </c>
      <c r="N31" s="59">
        <f>IFERROR(__xludf.DUMMYFUNCTION("INDEX(GOOGLEFINANCE($A31,""price"",DATE(2020,3,16)),2,2)"),85.87)</f>
        <v>85.87</v>
      </c>
      <c r="O31" s="88">
        <f t="shared" si="2"/>
        <v>-0.09216459977</v>
      </c>
      <c r="P31" s="95">
        <f t="shared" si="3"/>
        <v>-0.1625615764</v>
      </c>
      <c r="Q31" s="88">
        <f t="shared" si="4"/>
        <v>-0.0968866171</v>
      </c>
      <c r="R31" s="88">
        <f t="shared" si="5"/>
        <v>-0.03188211654</v>
      </c>
      <c r="S31" s="88">
        <f t="shared" si="6"/>
        <v>-0.5791312449</v>
      </c>
      <c r="T31" s="59"/>
      <c r="U31" s="59"/>
    </row>
    <row r="32">
      <c r="A32" s="91" t="s">
        <v>1089</v>
      </c>
      <c r="B32" s="91" t="s">
        <v>1090</v>
      </c>
      <c r="C32" s="96">
        <v>8.5140645411E10</v>
      </c>
      <c r="D32" s="86">
        <f t="shared" si="1"/>
        <v>-0.3692902836</v>
      </c>
      <c r="E32" s="94">
        <f>IFERROR(__xludf.DUMMYFUNCTION("INDEX(GOOGLEFINANCE($A32,""price"",DATE(2008,9,4)),2,2)"),63.03)</f>
        <v>63.03</v>
      </c>
      <c r="F32" s="94">
        <f>IFERROR(__xludf.DUMMYFUNCTION("INDEX(GOOGLEFINANCE($A32,""close"",DATE(2008,9,14)),2,2)"),62.25)</f>
        <v>62.25</v>
      </c>
      <c r="G32" s="94">
        <f>IFERROR(__xludf.DUMMYFUNCTION("INDEX(GOOGLEFINANCE($A32,""price"",DATE(2010,5,1)),2,2)"),74.39)</f>
        <v>74.39</v>
      </c>
      <c r="H32" s="59">
        <f>IFERROR(__xludf.DUMMYFUNCTION("INDEX(GOOGLEFINANCE($A32,""price"",DATE(2010,5,7)),2,2)"),66.72)</f>
        <v>66.72</v>
      </c>
      <c r="I32" s="94">
        <f>IFERROR(__xludf.DUMMYFUNCTION("INDEX(GOOGLEFINANCE($A32,""price"",DATE(2011,8,5)),2,2)"),62.75)</f>
        <v>62.75</v>
      </c>
      <c r="J32" s="59">
        <f>IFERROR(__xludf.DUMMYFUNCTION("INDEX(GOOGLEFINANCE($A32,""price"",DATE(2011,8,8)),2,2)"),58.71)</f>
        <v>58.71</v>
      </c>
      <c r="K32" s="94">
        <f>IFERROR(__xludf.DUMMYFUNCTION("INDEX(GOOGLEFINANCE($A32,""price"",DATE(2015,8,21)),2,2)"),131.71)</f>
        <v>131.71</v>
      </c>
      <c r="L32" s="94">
        <f>IFERROR(__xludf.DUMMYFUNCTION("INDEX(GOOGLEFINANCE($A32,""price"",DATE(2015,8,24)),2,2)"),127.19)</f>
        <v>127.19</v>
      </c>
      <c r="M32" s="94">
        <f>IFERROR(__xludf.DUMMYFUNCTION("INDEX(GOOGLEFINANCE($A32,""price"",DATE(2020,2,15)),2,2)"),338.88)</f>
        <v>338.88</v>
      </c>
      <c r="N32" s="59">
        <f>IFERROR(__xludf.DUMMYFUNCTION("INDEX(GOOGLEFINANCE($A32,""price"",DATE(2020,3,16)),2,2)"),129.61)</f>
        <v>129.61</v>
      </c>
      <c r="O32" s="88">
        <f t="shared" si="2"/>
        <v>-0.01253012048</v>
      </c>
      <c r="P32" s="95">
        <f t="shared" si="3"/>
        <v>-0.1149580336</v>
      </c>
      <c r="Q32" s="88">
        <f t="shared" si="4"/>
        <v>-0.06881280872</v>
      </c>
      <c r="R32" s="88">
        <f t="shared" si="5"/>
        <v>-0.03553738501</v>
      </c>
      <c r="S32" s="88">
        <f t="shared" si="6"/>
        <v>-1.61461307</v>
      </c>
      <c r="T32" s="59"/>
      <c r="U32" s="59"/>
    </row>
    <row r="33">
      <c r="A33" s="91" t="s">
        <v>1165</v>
      </c>
      <c r="B33" s="91" t="s">
        <v>1166</v>
      </c>
      <c r="C33" s="96">
        <v>3.3027422494E10</v>
      </c>
      <c r="D33" s="86">
        <f t="shared" si="1"/>
        <v>-1.17</v>
      </c>
      <c r="E33" s="94" t="str">
        <f>IFERROR(__xludf.DUMMYFUNCTION("INDEX(GOOGLEFINANCE($A33,""price"",DATE(2008,9,4)),2,2)"),"#N/A")</f>
        <v>#N/A</v>
      </c>
      <c r="F33" s="94" t="str">
        <f>IFERROR(__xludf.DUMMYFUNCTION("INDEX(GOOGLEFINANCE($A33,""close"",DATE(2008,9,14)),2,2)"),"#N/A")</f>
        <v>#N/A</v>
      </c>
      <c r="G33" s="94" t="str">
        <f>IFERROR(__xludf.DUMMYFUNCTION("INDEX(GOOGLEFINANCE($A33,""price"",DATE(2010,5,1)),2,2)"),"#N/A")</f>
        <v>#N/A</v>
      </c>
      <c r="H33" s="59" t="str">
        <f>IFERROR(__xludf.DUMMYFUNCTION("INDEX(GOOGLEFINANCE($A33,""price"",DATE(2010,5,7)),2,2)"),"#N/A")</f>
        <v>#N/A</v>
      </c>
      <c r="I33" s="94" t="str">
        <f>IFERROR(__xludf.DUMMYFUNCTION("INDEX(GOOGLEFINANCE($A33,""price"",DATE(2011,8,5)),2,2)"),"#N/A")</f>
        <v>#N/A</v>
      </c>
      <c r="J33" s="59" t="str">
        <f>IFERROR(__xludf.DUMMYFUNCTION("INDEX(GOOGLEFINANCE($A33,""price"",DATE(2011,8,8)),2,2)"),"#N/A")</f>
        <v>#N/A</v>
      </c>
      <c r="K33" s="94" t="str">
        <f>IFERROR(__xludf.DUMMYFUNCTION("INDEX(GOOGLEFINANCE($A33,""price"",DATE(2015,8,21)),2,2)"),"#N/A")</f>
        <v>#N/A</v>
      </c>
      <c r="L33" s="94" t="str">
        <f>IFERROR(__xludf.DUMMYFUNCTION("INDEX(GOOGLEFINANCE($A33,""price"",DATE(2015,8,24)),2,2)"),"#N/A")</f>
        <v>#N/A</v>
      </c>
      <c r="M33" s="94">
        <f>IFERROR(__xludf.DUMMYFUNCTION("INDEX(GOOGLEFINANCE($A33,""price"",DATE(2020,2,15)),2,2)"),47.74)</f>
        <v>47.74</v>
      </c>
      <c r="N33" s="59">
        <f>IFERROR(__xludf.DUMMYFUNCTION("INDEX(GOOGLEFINANCE($A33,""price"",DATE(2020,3,16)),2,2)"),22.0)</f>
        <v>22</v>
      </c>
      <c r="O33" s="88" t="str">
        <f t="shared" si="2"/>
        <v>#N/A</v>
      </c>
      <c r="P33" s="95" t="str">
        <f t="shared" si="3"/>
        <v>#N/A</v>
      </c>
      <c r="Q33" s="88" t="str">
        <f t="shared" si="4"/>
        <v>#N/A</v>
      </c>
      <c r="R33" s="88" t="str">
        <f t="shared" si="5"/>
        <v>#N/A</v>
      </c>
      <c r="S33" s="88">
        <f t="shared" si="6"/>
        <v>-1.17</v>
      </c>
      <c r="T33" s="59"/>
      <c r="U33" s="59"/>
    </row>
    <row r="34">
      <c r="A34" s="59"/>
      <c r="B34" s="59"/>
      <c r="C34" s="70"/>
      <c r="D34" s="59"/>
      <c r="E34" s="94"/>
      <c r="F34" s="94"/>
      <c r="G34" s="94"/>
      <c r="H34" s="59"/>
      <c r="I34" s="94"/>
      <c r="J34" s="59"/>
      <c r="K34" s="94"/>
      <c r="L34" s="94"/>
      <c r="M34" s="94"/>
      <c r="N34" s="59"/>
      <c r="O34" s="88"/>
      <c r="P34" s="95"/>
      <c r="Q34" s="88"/>
      <c r="R34" s="88"/>
      <c r="S34" s="88"/>
      <c r="T34" s="59"/>
      <c r="U34" s="59"/>
      <c r="V34" s="59"/>
      <c r="W34" s="59"/>
      <c r="X34" s="59"/>
    </row>
    <row r="35">
      <c r="A35" s="59"/>
      <c r="B35" s="59"/>
      <c r="C35" s="70"/>
      <c r="D35" s="59"/>
      <c r="E35" s="94"/>
      <c r="F35" s="94"/>
      <c r="G35" s="94"/>
      <c r="H35" s="59"/>
      <c r="I35" s="94"/>
      <c r="J35" s="59"/>
      <c r="K35" s="94"/>
      <c r="L35" s="94"/>
      <c r="M35" s="94"/>
      <c r="N35" s="59"/>
      <c r="O35" s="88"/>
      <c r="P35" s="95"/>
      <c r="Q35" s="88"/>
      <c r="R35" s="88"/>
      <c r="S35" s="88"/>
      <c r="T35" s="59"/>
      <c r="U35" s="59"/>
      <c r="V35" s="59"/>
      <c r="W35" s="59"/>
      <c r="X35" s="59"/>
    </row>
    <row r="36">
      <c r="A36" s="59"/>
      <c r="B36" s="59"/>
      <c r="C36" s="70"/>
      <c r="D36" s="59"/>
      <c r="E36" s="94"/>
      <c r="F36" s="94"/>
      <c r="G36" s="94"/>
      <c r="H36" s="59"/>
      <c r="I36" s="94"/>
      <c r="J36" s="59"/>
      <c r="K36" s="94"/>
      <c r="L36" s="94"/>
      <c r="M36" s="94"/>
      <c r="N36" s="59"/>
      <c r="O36" s="88"/>
      <c r="P36" s="95"/>
      <c r="Q36" s="88"/>
      <c r="R36" s="88"/>
      <c r="S36" s="88"/>
      <c r="T36" s="59"/>
      <c r="U36" s="59"/>
      <c r="V36" s="59"/>
      <c r="W36" s="59"/>
      <c r="X36" s="59"/>
    </row>
    <row r="37">
      <c r="A37" s="59"/>
      <c r="B37" s="59"/>
      <c r="C37" s="70"/>
      <c r="D37" s="59"/>
      <c r="E37" s="94"/>
      <c r="F37" s="94"/>
      <c r="G37" s="94"/>
      <c r="H37" s="59"/>
      <c r="I37" s="94"/>
      <c r="J37" s="59"/>
      <c r="K37" s="94"/>
      <c r="L37" s="94"/>
      <c r="M37" s="94"/>
      <c r="N37" s="59"/>
      <c r="O37" s="88"/>
      <c r="P37" s="95"/>
      <c r="Q37" s="88"/>
      <c r="R37" s="88"/>
      <c r="S37" s="88"/>
      <c r="T37" s="59"/>
      <c r="U37" s="59"/>
      <c r="V37" s="59"/>
      <c r="W37" s="59"/>
      <c r="X37" s="59"/>
    </row>
    <row r="38">
      <c r="A38" s="59"/>
      <c r="B38" s="59"/>
      <c r="C38" s="70"/>
      <c r="D38" s="59"/>
      <c r="E38" s="94"/>
      <c r="F38" s="94"/>
      <c r="G38" s="94"/>
      <c r="H38" s="59"/>
      <c r="I38" s="94"/>
      <c r="J38" s="59"/>
      <c r="K38" s="94"/>
      <c r="L38" s="94"/>
      <c r="M38" s="94"/>
      <c r="N38" s="59"/>
      <c r="O38" s="88"/>
      <c r="P38" s="95"/>
      <c r="Q38" s="88"/>
      <c r="R38" s="88"/>
      <c r="S38" s="88"/>
      <c r="T38" s="59"/>
      <c r="U38" s="59"/>
      <c r="V38" s="59"/>
      <c r="W38" s="59"/>
      <c r="X38" s="59"/>
    </row>
    <row r="39">
      <c r="A39" s="59"/>
      <c r="B39" s="59"/>
      <c r="C39" s="70"/>
      <c r="D39" s="59"/>
      <c r="E39" s="94"/>
      <c r="F39" s="94"/>
      <c r="G39" s="94"/>
      <c r="H39" s="59"/>
      <c r="I39" s="94"/>
      <c r="J39" s="59"/>
      <c r="K39" s="94"/>
      <c r="L39" s="94"/>
      <c r="M39" s="94"/>
      <c r="N39" s="59"/>
      <c r="O39" s="88"/>
      <c r="P39" s="95"/>
      <c r="Q39" s="88"/>
      <c r="R39" s="88"/>
      <c r="S39" s="88"/>
      <c r="T39" s="59"/>
      <c r="U39" s="59"/>
      <c r="V39" s="59"/>
      <c r="W39" s="59"/>
      <c r="X39" s="59"/>
    </row>
    <row r="40">
      <c r="A40" s="59"/>
      <c r="B40" s="59"/>
      <c r="C40" s="70"/>
      <c r="D40" s="59"/>
      <c r="E40" s="94"/>
      <c r="F40" s="94"/>
      <c r="G40" s="94"/>
      <c r="H40" s="59"/>
      <c r="I40" s="94"/>
      <c r="J40" s="59"/>
      <c r="K40" s="94"/>
      <c r="L40" s="94"/>
      <c r="M40" s="94"/>
      <c r="N40" s="59"/>
      <c r="O40" s="88"/>
      <c r="P40" s="95"/>
      <c r="Q40" s="88"/>
      <c r="R40" s="88"/>
      <c r="S40" s="88"/>
      <c r="T40" s="59"/>
      <c r="U40" s="59"/>
      <c r="V40" s="59"/>
      <c r="W40" s="59"/>
      <c r="X40" s="59"/>
    </row>
    <row r="41">
      <c r="A41" s="59"/>
      <c r="B41" s="59"/>
      <c r="C41" s="70"/>
      <c r="D41" s="59"/>
      <c r="E41" s="94"/>
      <c r="F41" s="94"/>
      <c r="G41" s="94"/>
      <c r="H41" s="59"/>
      <c r="I41" s="94"/>
      <c r="J41" s="59"/>
      <c r="K41" s="94"/>
      <c r="L41" s="94"/>
      <c r="M41" s="94"/>
      <c r="N41" s="59"/>
      <c r="O41" s="88"/>
      <c r="P41" s="95"/>
      <c r="Q41" s="88"/>
      <c r="R41" s="88"/>
      <c r="S41" s="88"/>
      <c r="T41" s="59"/>
      <c r="U41" s="59"/>
      <c r="V41" s="59"/>
      <c r="W41" s="59"/>
      <c r="X41" s="59"/>
    </row>
    <row r="42">
      <c r="A42" s="59"/>
      <c r="B42" s="59"/>
      <c r="C42" s="70"/>
      <c r="D42" s="59"/>
      <c r="E42" s="94"/>
      <c r="F42" s="94"/>
      <c r="G42" s="94"/>
      <c r="H42" s="59"/>
      <c r="I42" s="94"/>
      <c r="J42" s="59"/>
      <c r="K42" s="94"/>
      <c r="L42" s="94"/>
      <c r="M42" s="94"/>
      <c r="N42" s="59"/>
      <c r="O42" s="88"/>
      <c r="P42" s="95"/>
      <c r="Q42" s="88"/>
      <c r="R42" s="88"/>
      <c r="S42" s="88"/>
      <c r="T42" s="59"/>
      <c r="U42" s="59"/>
      <c r="V42" s="59"/>
      <c r="W42" s="59"/>
      <c r="X42" s="59"/>
    </row>
    <row r="43">
      <c r="A43" s="59"/>
      <c r="B43" s="59"/>
      <c r="C43" s="70"/>
      <c r="D43" s="59"/>
      <c r="E43" s="94"/>
      <c r="F43" s="94"/>
      <c r="G43" s="94"/>
      <c r="H43" s="59"/>
      <c r="I43" s="94"/>
      <c r="J43" s="59"/>
      <c r="K43" s="94"/>
      <c r="L43" s="94"/>
      <c r="M43" s="94"/>
      <c r="N43" s="59"/>
      <c r="O43" s="88"/>
      <c r="P43" s="95"/>
      <c r="Q43" s="88"/>
      <c r="R43" s="88"/>
      <c r="S43" s="88"/>
      <c r="T43" s="59"/>
      <c r="U43" s="59"/>
      <c r="V43" s="59"/>
      <c r="W43" s="59"/>
      <c r="X43" s="59"/>
    </row>
    <row r="44">
      <c r="A44" s="59"/>
      <c r="B44" s="59"/>
      <c r="C44" s="70"/>
      <c r="D44" s="59"/>
      <c r="E44" s="94"/>
      <c r="F44" s="94"/>
      <c r="G44" s="94"/>
      <c r="H44" s="59"/>
      <c r="I44" s="94"/>
      <c r="J44" s="59"/>
      <c r="K44" s="94"/>
      <c r="L44" s="94"/>
      <c r="M44" s="94"/>
      <c r="N44" s="59"/>
      <c r="O44" s="88"/>
      <c r="P44" s="95"/>
      <c r="Q44" s="88"/>
      <c r="R44" s="88"/>
      <c r="S44" s="88"/>
      <c r="T44" s="59"/>
      <c r="U44" s="59"/>
      <c r="V44" s="59"/>
      <c r="W44" s="59"/>
      <c r="X44" s="59"/>
    </row>
    <row r="45">
      <c r="A45" s="59"/>
      <c r="B45" s="59"/>
      <c r="C45" s="70"/>
      <c r="D45" s="59"/>
      <c r="E45" s="94"/>
      <c r="F45" s="94"/>
      <c r="G45" s="94"/>
      <c r="H45" s="59"/>
      <c r="I45" s="94"/>
      <c r="J45" s="59"/>
      <c r="K45" s="94"/>
      <c r="L45" s="94"/>
      <c r="M45" s="94"/>
      <c r="N45" s="59"/>
      <c r="O45" s="88"/>
      <c r="P45" s="95"/>
      <c r="Q45" s="88"/>
      <c r="R45" s="88"/>
      <c r="S45" s="88"/>
      <c r="T45" s="59"/>
      <c r="U45" s="59"/>
      <c r="V45" s="59"/>
      <c r="W45" s="59"/>
      <c r="X45" s="59"/>
    </row>
    <row r="46">
      <c r="A46" s="59"/>
      <c r="B46" s="59"/>
      <c r="C46" s="70"/>
      <c r="D46" s="59"/>
      <c r="E46" s="94"/>
      <c r="F46" s="94"/>
      <c r="G46" s="94"/>
      <c r="H46" s="59"/>
      <c r="I46" s="94"/>
      <c r="J46" s="59"/>
      <c r="K46" s="94"/>
      <c r="L46" s="94"/>
      <c r="M46" s="94"/>
      <c r="N46" s="59"/>
      <c r="O46" s="88"/>
      <c r="P46" s="95"/>
      <c r="Q46" s="88"/>
      <c r="R46" s="88"/>
      <c r="S46" s="88"/>
      <c r="T46" s="59"/>
      <c r="U46" s="59"/>
      <c r="V46" s="59"/>
      <c r="W46" s="59"/>
      <c r="X46" s="59"/>
    </row>
    <row r="47">
      <c r="A47" s="59"/>
      <c r="B47" s="59"/>
      <c r="C47" s="70"/>
      <c r="D47" s="59"/>
      <c r="E47" s="94"/>
      <c r="F47" s="94"/>
      <c r="G47" s="94"/>
      <c r="H47" s="59"/>
      <c r="I47" s="94"/>
      <c r="J47" s="59"/>
      <c r="K47" s="94"/>
      <c r="L47" s="94"/>
      <c r="M47" s="94"/>
      <c r="N47" s="59"/>
      <c r="O47" s="88"/>
      <c r="P47" s="95"/>
      <c r="Q47" s="88"/>
      <c r="R47" s="88"/>
      <c r="S47" s="88"/>
      <c r="T47" s="59"/>
      <c r="U47" s="59"/>
      <c r="V47" s="59"/>
      <c r="W47" s="59"/>
      <c r="X47" s="59"/>
    </row>
    <row r="48">
      <c r="A48" s="59"/>
      <c r="B48" s="59"/>
      <c r="C48" s="70"/>
      <c r="D48" s="59"/>
      <c r="E48" s="94"/>
      <c r="F48" s="94"/>
      <c r="G48" s="94"/>
      <c r="H48" s="59"/>
      <c r="I48" s="94"/>
      <c r="J48" s="59"/>
      <c r="K48" s="94"/>
      <c r="L48" s="94"/>
      <c r="M48" s="94"/>
      <c r="N48" s="59"/>
      <c r="O48" s="88"/>
      <c r="P48" s="95"/>
      <c r="Q48" s="88"/>
      <c r="R48" s="88"/>
      <c r="S48" s="88"/>
      <c r="T48" s="59"/>
      <c r="U48" s="59"/>
      <c r="V48" s="59"/>
      <c r="W48" s="59"/>
      <c r="X48" s="59"/>
    </row>
    <row r="49">
      <c r="A49" s="59"/>
      <c r="B49" s="59"/>
      <c r="C49" s="70"/>
      <c r="D49" s="59"/>
      <c r="E49" s="94"/>
      <c r="F49" s="94"/>
      <c r="G49" s="94"/>
      <c r="H49" s="59"/>
      <c r="I49" s="94"/>
      <c r="J49" s="59"/>
      <c r="K49" s="94"/>
      <c r="L49" s="94"/>
      <c r="M49" s="94"/>
      <c r="N49" s="59"/>
      <c r="O49" s="88"/>
      <c r="P49" s="95"/>
      <c r="Q49" s="88"/>
      <c r="R49" s="88"/>
      <c r="S49" s="88"/>
      <c r="T49" s="59"/>
      <c r="U49" s="59"/>
      <c r="V49" s="59"/>
      <c r="W49" s="59"/>
      <c r="X49" s="59"/>
    </row>
    <row r="50">
      <c r="A50" s="59"/>
      <c r="B50" s="59"/>
      <c r="C50" s="70"/>
      <c r="D50" s="59"/>
      <c r="E50" s="94"/>
      <c r="F50" s="94"/>
      <c r="G50" s="94"/>
      <c r="H50" s="59"/>
      <c r="I50" s="94"/>
      <c r="J50" s="59"/>
      <c r="K50" s="94"/>
      <c r="L50" s="94"/>
      <c r="M50" s="94"/>
      <c r="N50" s="59"/>
      <c r="O50" s="88"/>
      <c r="P50" s="95"/>
      <c r="Q50" s="88"/>
      <c r="R50" s="88"/>
      <c r="S50" s="88"/>
      <c r="T50" s="59"/>
      <c r="U50" s="59"/>
      <c r="V50" s="59"/>
      <c r="W50" s="59"/>
      <c r="X50" s="59"/>
    </row>
    <row r="51">
      <c r="A51" s="59"/>
      <c r="B51" s="59"/>
      <c r="C51" s="70"/>
      <c r="D51" s="59"/>
      <c r="E51" s="94"/>
      <c r="F51" s="94"/>
      <c r="G51" s="94"/>
      <c r="H51" s="59"/>
      <c r="I51" s="94"/>
      <c r="J51" s="59"/>
      <c r="K51" s="94"/>
      <c r="L51" s="94"/>
      <c r="M51" s="94"/>
      <c r="N51" s="59"/>
      <c r="O51" s="88"/>
      <c r="P51" s="95"/>
      <c r="Q51" s="88"/>
      <c r="R51" s="88"/>
      <c r="S51" s="88"/>
      <c r="T51" s="59"/>
      <c r="U51" s="59"/>
      <c r="V51" s="59"/>
      <c r="W51" s="59"/>
      <c r="X51" s="59"/>
    </row>
    <row r="52">
      <c r="A52" s="59"/>
      <c r="B52" s="59"/>
      <c r="C52" s="70"/>
      <c r="D52" s="59"/>
      <c r="E52" s="94"/>
      <c r="F52" s="94"/>
      <c r="G52" s="94"/>
      <c r="H52" s="59"/>
      <c r="I52" s="94"/>
      <c r="J52" s="59"/>
      <c r="K52" s="94"/>
      <c r="L52" s="94"/>
      <c r="M52" s="94"/>
      <c r="N52" s="59"/>
      <c r="O52" s="88"/>
      <c r="P52" s="95"/>
      <c r="Q52" s="88"/>
      <c r="R52" s="88"/>
      <c r="S52" s="88"/>
      <c r="T52" s="59"/>
      <c r="U52" s="59"/>
      <c r="V52" s="59"/>
      <c r="W52" s="59"/>
      <c r="X52" s="59"/>
    </row>
    <row r="53">
      <c r="A53" s="59"/>
      <c r="B53" s="59"/>
      <c r="C53" s="70"/>
      <c r="D53" s="59"/>
      <c r="E53" s="94"/>
      <c r="F53" s="94"/>
      <c r="G53" s="94"/>
      <c r="H53" s="59"/>
      <c r="I53" s="94"/>
      <c r="J53" s="59"/>
      <c r="K53" s="94"/>
      <c r="L53" s="94"/>
      <c r="M53" s="94"/>
      <c r="N53" s="59"/>
      <c r="O53" s="88"/>
      <c r="P53" s="95"/>
      <c r="Q53" s="88"/>
      <c r="R53" s="88"/>
      <c r="S53" s="88"/>
      <c r="T53" s="59"/>
      <c r="U53" s="59"/>
      <c r="V53" s="59"/>
      <c r="W53" s="59"/>
      <c r="X53" s="59"/>
    </row>
    <row r="54">
      <c r="A54" s="59"/>
      <c r="B54" s="59"/>
      <c r="C54" s="70"/>
      <c r="D54" s="59"/>
      <c r="E54" s="94"/>
      <c r="F54" s="94"/>
      <c r="G54" s="94"/>
      <c r="H54" s="59"/>
      <c r="I54" s="94"/>
      <c r="J54" s="59"/>
      <c r="K54" s="94"/>
      <c r="L54" s="94"/>
      <c r="M54" s="94"/>
      <c r="N54" s="59"/>
      <c r="O54" s="88"/>
      <c r="P54" s="95"/>
      <c r="Q54" s="88"/>
      <c r="R54" s="88"/>
      <c r="S54" s="88"/>
      <c r="T54" s="59"/>
      <c r="U54" s="59"/>
      <c r="V54" s="59"/>
      <c r="W54" s="59"/>
      <c r="X54" s="59"/>
    </row>
    <row r="55">
      <c r="A55" s="59"/>
      <c r="B55" s="59"/>
      <c r="C55" s="70"/>
      <c r="D55" s="59"/>
      <c r="E55" s="94"/>
      <c r="F55" s="94"/>
      <c r="G55" s="94"/>
      <c r="H55" s="59"/>
      <c r="I55" s="94"/>
      <c r="J55" s="59"/>
      <c r="K55" s="94"/>
      <c r="L55" s="94"/>
      <c r="M55" s="94"/>
      <c r="N55" s="59"/>
      <c r="O55" s="88"/>
      <c r="P55" s="95"/>
      <c r="Q55" s="88"/>
      <c r="R55" s="88"/>
      <c r="S55" s="88"/>
      <c r="T55" s="59"/>
      <c r="U55" s="59"/>
      <c r="V55" s="59"/>
      <c r="W55" s="59"/>
      <c r="X55" s="59"/>
    </row>
    <row r="56">
      <c r="A56" s="59"/>
      <c r="B56" s="59"/>
      <c r="C56" s="70"/>
      <c r="D56" s="59"/>
      <c r="E56" s="94"/>
      <c r="F56" s="94"/>
      <c r="G56" s="94"/>
      <c r="H56" s="59"/>
      <c r="I56" s="94"/>
      <c r="J56" s="59"/>
      <c r="K56" s="94"/>
      <c r="L56" s="94"/>
      <c r="M56" s="94"/>
      <c r="N56" s="59"/>
      <c r="O56" s="88"/>
      <c r="P56" s="95"/>
      <c r="Q56" s="88"/>
      <c r="R56" s="88"/>
      <c r="S56" s="88"/>
      <c r="T56" s="59"/>
      <c r="U56" s="59"/>
      <c r="V56" s="59"/>
      <c r="W56" s="59"/>
      <c r="X56" s="59"/>
    </row>
    <row r="57">
      <c r="A57" s="59"/>
      <c r="B57" s="59"/>
      <c r="C57" s="70"/>
      <c r="D57" s="59"/>
      <c r="E57" s="94"/>
      <c r="F57" s="94"/>
      <c r="G57" s="94"/>
      <c r="H57" s="59"/>
      <c r="I57" s="94"/>
      <c r="J57" s="59"/>
      <c r="K57" s="94"/>
      <c r="L57" s="94"/>
      <c r="M57" s="94"/>
      <c r="N57" s="59"/>
      <c r="O57" s="88"/>
      <c r="P57" s="95"/>
      <c r="Q57" s="88"/>
      <c r="R57" s="88"/>
      <c r="S57" s="88"/>
      <c r="T57" s="59"/>
      <c r="U57" s="59"/>
      <c r="V57" s="59"/>
      <c r="W57" s="59"/>
      <c r="X57" s="59"/>
    </row>
    <row r="58">
      <c r="A58" s="59"/>
      <c r="B58" s="59"/>
      <c r="C58" s="70"/>
      <c r="D58" s="59"/>
      <c r="E58" s="94"/>
      <c r="F58" s="94"/>
      <c r="G58" s="94"/>
      <c r="H58" s="59"/>
      <c r="I58" s="94"/>
      <c r="J58" s="59"/>
      <c r="K58" s="94"/>
      <c r="L58" s="94"/>
      <c r="M58" s="94"/>
      <c r="N58" s="59"/>
      <c r="O58" s="88"/>
      <c r="P58" s="95"/>
      <c r="Q58" s="88"/>
      <c r="R58" s="88"/>
      <c r="S58" s="88"/>
      <c r="T58" s="59"/>
      <c r="U58" s="59"/>
      <c r="V58" s="59"/>
      <c r="W58" s="59"/>
      <c r="X58" s="59"/>
    </row>
    <row r="59">
      <c r="A59" s="59"/>
      <c r="B59" s="59"/>
      <c r="C59" s="70"/>
      <c r="D59" s="59"/>
      <c r="E59" s="94"/>
      <c r="F59" s="94"/>
      <c r="G59" s="94"/>
      <c r="H59" s="59"/>
      <c r="I59" s="94"/>
      <c r="J59" s="59"/>
      <c r="K59" s="94"/>
      <c r="L59" s="94"/>
      <c r="M59" s="94"/>
      <c r="N59" s="59"/>
      <c r="O59" s="88"/>
      <c r="P59" s="95"/>
      <c r="Q59" s="88"/>
      <c r="R59" s="88"/>
      <c r="S59" s="88"/>
      <c r="T59" s="59"/>
      <c r="U59" s="59"/>
      <c r="V59" s="59"/>
      <c r="W59" s="59"/>
      <c r="X59" s="59"/>
    </row>
    <row r="60">
      <c r="A60" s="59"/>
      <c r="B60" s="59"/>
      <c r="C60" s="70"/>
      <c r="D60" s="59"/>
      <c r="E60" s="94"/>
      <c r="F60" s="94"/>
      <c r="G60" s="94"/>
      <c r="H60" s="59"/>
      <c r="I60" s="94"/>
      <c r="J60" s="59"/>
      <c r="K60" s="94"/>
      <c r="L60" s="94"/>
      <c r="M60" s="94"/>
      <c r="N60" s="59"/>
      <c r="O60" s="88"/>
      <c r="P60" s="95"/>
      <c r="Q60" s="88"/>
      <c r="R60" s="88"/>
      <c r="S60" s="88"/>
      <c r="T60" s="59"/>
      <c r="U60" s="59"/>
      <c r="V60" s="59"/>
      <c r="W60" s="59"/>
      <c r="X60" s="59"/>
    </row>
    <row r="61">
      <c r="A61" s="59"/>
      <c r="B61" s="59"/>
      <c r="C61" s="70"/>
      <c r="D61" s="59"/>
      <c r="E61" s="94"/>
      <c r="F61" s="94"/>
      <c r="G61" s="94"/>
      <c r="H61" s="59"/>
      <c r="I61" s="94"/>
      <c r="J61" s="59"/>
      <c r="K61" s="94"/>
      <c r="L61" s="94"/>
      <c r="M61" s="94"/>
      <c r="N61" s="59"/>
      <c r="O61" s="88"/>
      <c r="P61" s="95"/>
      <c r="Q61" s="88"/>
      <c r="R61" s="88"/>
      <c r="S61" s="88"/>
      <c r="T61" s="59"/>
      <c r="U61" s="59"/>
      <c r="V61" s="59"/>
      <c r="W61" s="59"/>
      <c r="X61" s="59"/>
    </row>
    <row r="62">
      <c r="A62" s="59"/>
      <c r="B62" s="59"/>
      <c r="C62" s="70"/>
      <c r="D62" s="59"/>
      <c r="E62" s="94"/>
      <c r="F62" s="94"/>
      <c r="G62" s="94"/>
      <c r="H62" s="59"/>
      <c r="I62" s="94"/>
      <c r="J62" s="59"/>
      <c r="K62" s="94"/>
      <c r="L62" s="94"/>
      <c r="M62" s="94"/>
      <c r="N62" s="59"/>
      <c r="O62" s="88"/>
      <c r="P62" s="95"/>
      <c r="Q62" s="88"/>
      <c r="R62" s="88"/>
      <c r="S62" s="88"/>
      <c r="T62" s="59"/>
      <c r="U62" s="59"/>
      <c r="V62" s="59"/>
      <c r="W62" s="59"/>
      <c r="X62" s="59"/>
    </row>
    <row r="63">
      <c r="A63" s="59"/>
      <c r="B63" s="59"/>
      <c r="C63" s="70"/>
      <c r="D63" s="59"/>
      <c r="E63" s="94"/>
      <c r="F63" s="94"/>
      <c r="G63" s="94"/>
      <c r="H63" s="59"/>
      <c r="I63" s="94"/>
      <c r="J63" s="59"/>
      <c r="K63" s="94"/>
      <c r="L63" s="94"/>
      <c r="M63" s="94"/>
      <c r="N63" s="59"/>
      <c r="O63" s="88"/>
      <c r="P63" s="95"/>
      <c r="Q63" s="88"/>
      <c r="R63" s="88"/>
      <c r="S63" s="88"/>
      <c r="T63" s="59"/>
      <c r="U63" s="59"/>
      <c r="V63" s="59"/>
      <c r="W63" s="59"/>
      <c r="X63" s="59"/>
    </row>
    <row r="64">
      <c r="A64" s="59"/>
      <c r="B64" s="59"/>
      <c r="C64" s="70"/>
      <c r="D64" s="59"/>
      <c r="E64" s="94"/>
      <c r="F64" s="94"/>
      <c r="G64" s="94"/>
      <c r="H64" s="59"/>
      <c r="I64" s="94"/>
      <c r="J64" s="59"/>
      <c r="K64" s="94"/>
      <c r="L64" s="94"/>
      <c r="M64" s="94"/>
      <c r="N64" s="59"/>
      <c r="O64" s="88"/>
      <c r="P64" s="95"/>
      <c r="Q64" s="88"/>
      <c r="R64" s="88"/>
      <c r="S64" s="88"/>
      <c r="T64" s="59"/>
      <c r="U64" s="59"/>
      <c r="V64" s="59"/>
      <c r="W64" s="59"/>
      <c r="X64" s="59"/>
    </row>
    <row r="65">
      <c r="A65" s="59"/>
      <c r="B65" s="59"/>
      <c r="C65" s="70"/>
      <c r="D65" s="59"/>
      <c r="E65" s="94"/>
      <c r="F65" s="94"/>
      <c r="G65" s="94"/>
      <c r="H65" s="59"/>
      <c r="I65" s="94"/>
      <c r="J65" s="59"/>
      <c r="K65" s="94"/>
      <c r="L65" s="94"/>
      <c r="M65" s="94"/>
      <c r="N65" s="59"/>
      <c r="O65" s="88"/>
      <c r="P65" s="95"/>
      <c r="Q65" s="88"/>
      <c r="R65" s="88"/>
      <c r="S65" s="88"/>
      <c r="T65" s="59"/>
      <c r="U65" s="59"/>
      <c r="V65" s="59"/>
      <c r="W65" s="59"/>
      <c r="X65" s="59"/>
    </row>
    <row r="66">
      <c r="A66" s="59"/>
      <c r="B66" s="59"/>
      <c r="C66" s="70"/>
      <c r="D66" s="59"/>
      <c r="E66" s="94"/>
      <c r="F66" s="94"/>
      <c r="G66" s="94"/>
      <c r="H66" s="59"/>
      <c r="I66" s="94"/>
      <c r="J66" s="59"/>
      <c r="K66" s="94"/>
      <c r="L66" s="94"/>
      <c r="M66" s="94"/>
      <c r="N66" s="59"/>
      <c r="O66" s="88"/>
      <c r="P66" s="95"/>
      <c r="Q66" s="88"/>
      <c r="R66" s="88"/>
      <c r="S66" s="88"/>
      <c r="T66" s="59"/>
      <c r="U66" s="59"/>
      <c r="V66" s="59"/>
      <c r="W66" s="59"/>
      <c r="X66" s="59"/>
    </row>
    <row r="67">
      <c r="A67" s="59"/>
      <c r="B67" s="59"/>
      <c r="C67" s="70"/>
      <c r="D67" s="59"/>
      <c r="E67" s="94"/>
      <c r="F67" s="94"/>
      <c r="G67" s="94"/>
      <c r="H67" s="59"/>
      <c r="I67" s="94"/>
      <c r="J67" s="59"/>
      <c r="K67" s="94"/>
      <c r="L67" s="94"/>
      <c r="M67" s="94"/>
      <c r="N67" s="59"/>
      <c r="O67" s="88"/>
      <c r="P67" s="95"/>
      <c r="Q67" s="88"/>
      <c r="R67" s="88"/>
      <c r="S67" s="88"/>
      <c r="T67" s="59"/>
      <c r="U67" s="59"/>
      <c r="V67" s="59"/>
      <c r="W67" s="59"/>
      <c r="X67" s="59"/>
    </row>
    <row r="68">
      <c r="A68" s="59"/>
      <c r="B68" s="59"/>
      <c r="C68" s="70"/>
      <c r="D68" s="59"/>
      <c r="E68" s="94"/>
      <c r="F68" s="94"/>
      <c r="G68" s="94"/>
      <c r="H68" s="59"/>
      <c r="I68" s="94"/>
      <c r="J68" s="59"/>
      <c r="K68" s="94"/>
      <c r="L68" s="94"/>
      <c r="M68" s="94"/>
      <c r="N68" s="59"/>
      <c r="O68" s="88"/>
      <c r="P68" s="95"/>
      <c r="Q68" s="88"/>
      <c r="R68" s="88"/>
      <c r="S68" s="88"/>
      <c r="T68" s="59"/>
      <c r="U68" s="59"/>
      <c r="V68" s="59"/>
      <c r="W68" s="59"/>
      <c r="X68" s="59"/>
    </row>
    <row r="69">
      <c r="A69" s="59"/>
      <c r="B69" s="59"/>
      <c r="C69" s="70"/>
      <c r="D69" s="59"/>
      <c r="E69" s="94"/>
      <c r="F69" s="94"/>
      <c r="G69" s="94"/>
      <c r="H69" s="59"/>
      <c r="I69" s="94"/>
      <c r="J69" s="59"/>
      <c r="K69" s="94"/>
      <c r="L69" s="94"/>
      <c r="M69" s="94"/>
      <c r="N69" s="59"/>
      <c r="O69" s="88"/>
      <c r="P69" s="95"/>
      <c r="Q69" s="88"/>
      <c r="R69" s="88"/>
      <c r="S69" s="88"/>
      <c r="T69" s="59"/>
      <c r="U69" s="59"/>
      <c r="V69" s="59"/>
      <c r="W69" s="59"/>
      <c r="X69" s="59"/>
    </row>
    <row r="70">
      <c r="A70" s="59"/>
      <c r="B70" s="59"/>
      <c r="C70" s="70"/>
      <c r="D70" s="59"/>
      <c r="E70" s="94"/>
      <c r="F70" s="94"/>
      <c r="G70" s="94"/>
      <c r="H70" s="59"/>
      <c r="I70" s="94"/>
      <c r="J70" s="59"/>
      <c r="K70" s="94"/>
      <c r="L70" s="94"/>
      <c r="M70" s="94"/>
      <c r="N70" s="59"/>
      <c r="O70" s="88"/>
      <c r="P70" s="95"/>
      <c r="Q70" s="88"/>
      <c r="R70" s="88"/>
      <c r="S70" s="88"/>
      <c r="T70" s="59"/>
      <c r="U70" s="59"/>
      <c r="V70" s="59"/>
      <c r="W70" s="59"/>
      <c r="X70" s="59"/>
    </row>
    <row r="71">
      <c r="A71" s="59"/>
      <c r="B71" s="59"/>
      <c r="C71" s="70"/>
      <c r="D71" s="59"/>
      <c r="E71" s="94"/>
      <c r="F71" s="94"/>
      <c r="G71" s="94"/>
      <c r="H71" s="59"/>
      <c r="I71" s="94"/>
      <c r="J71" s="59"/>
      <c r="K71" s="94"/>
      <c r="L71" s="94"/>
      <c r="M71" s="94"/>
      <c r="N71" s="59"/>
      <c r="O71" s="88"/>
      <c r="P71" s="95"/>
      <c r="Q71" s="88"/>
      <c r="R71" s="88"/>
      <c r="S71" s="88"/>
      <c r="T71" s="59"/>
      <c r="U71" s="59"/>
      <c r="V71" s="59"/>
      <c r="W71" s="59"/>
      <c r="X71" s="59"/>
    </row>
    <row r="72">
      <c r="A72" s="59"/>
      <c r="B72" s="59"/>
      <c r="C72" s="70"/>
      <c r="D72" s="59"/>
      <c r="E72" s="94"/>
      <c r="F72" s="94"/>
      <c r="G72" s="94"/>
      <c r="H72" s="59"/>
      <c r="I72" s="94"/>
      <c r="J72" s="59"/>
      <c r="K72" s="94"/>
      <c r="L72" s="94"/>
      <c r="M72" s="94"/>
      <c r="N72" s="59"/>
      <c r="O72" s="88"/>
      <c r="P72" s="95"/>
      <c r="Q72" s="88"/>
      <c r="R72" s="88"/>
      <c r="S72" s="88"/>
      <c r="T72" s="59"/>
      <c r="U72" s="59"/>
      <c r="V72" s="59"/>
      <c r="W72" s="59"/>
      <c r="X72" s="59"/>
    </row>
    <row r="73">
      <c r="A73" s="59"/>
      <c r="B73" s="59"/>
      <c r="C73" s="70"/>
      <c r="D73" s="59"/>
      <c r="E73" s="94"/>
      <c r="F73" s="94"/>
      <c r="G73" s="94"/>
      <c r="H73" s="59"/>
      <c r="I73" s="94"/>
      <c r="J73" s="59"/>
      <c r="K73" s="94"/>
      <c r="L73" s="94"/>
      <c r="M73" s="94"/>
      <c r="N73" s="59"/>
      <c r="O73" s="88"/>
      <c r="P73" s="95"/>
      <c r="Q73" s="88"/>
      <c r="R73" s="88"/>
      <c r="S73" s="88"/>
      <c r="T73" s="59"/>
      <c r="U73" s="59"/>
      <c r="V73" s="59"/>
      <c r="W73" s="59"/>
      <c r="X73" s="59"/>
    </row>
    <row r="74">
      <c r="A74" s="59"/>
      <c r="B74" s="59"/>
      <c r="C74" s="70"/>
      <c r="D74" s="59"/>
      <c r="E74" s="94"/>
      <c r="F74" s="94"/>
      <c r="G74" s="94"/>
      <c r="H74" s="59"/>
      <c r="I74" s="94"/>
      <c r="J74" s="59"/>
      <c r="K74" s="94"/>
      <c r="L74" s="94"/>
      <c r="M74" s="94"/>
      <c r="N74" s="59"/>
      <c r="O74" s="88"/>
      <c r="P74" s="95"/>
      <c r="Q74" s="88"/>
      <c r="R74" s="88"/>
      <c r="S74" s="88"/>
      <c r="T74" s="59"/>
      <c r="U74" s="59"/>
      <c r="V74" s="59"/>
      <c r="W74" s="59"/>
      <c r="X74" s="59"/>
    </row>
    <row r="75">
      <c r="A75" s="59"/>
      <c r="B75" s="59"/>
      <c r="C75" s="70"/>
      <c r="D75" s="59"/>
      <c r="E75" s="94"/>
      <c r="F75" s="94"/>
      <c r="G75" s="94"/>
      <c r="H75" s="59"/>
      <c r="I75" s="94"/>
      <c r="J75" s="59"/>
      <c r="K75" s="94"/>
      <c r="L75" s="94"/>
      <c r="M75" s="94"/>
      <c r="N75" s="59"/>
      <c r="O75" s="88"/>
      <c r="P75" s="95"/>
      <c r="Q75" s="88"/>
      <c r="R75" s="88"/>
      <c r="S75" s="88"/>
      <c r="T75" s="59"/>
      <c r="U75" s="59"/>
      <c r="V75" s="59"/>
      <c r="W75" s="59"/>
      <c r="X75" s="59"/>
    </row>
    <row r="76">
      <c r="A76" s="59"/>
      <c r="B76" s="59"/>
      <c r="C76" s="70"/>
      <c r="D76" s="59"/>
      <c r="E76" s="94"/>
      <c r="F76" s="94"/>
      <c r="G76" s="94"/>
      <c r="H76" s="59"/>
      <c r="I76" s="94"/>
      <c r="J76" s="59"/>
      <c r="K76" s="94"/>
      <c r="L76" s="94"/>
      <c r="M76" s="94"/>
      <c r="N76" s="59"/>
      <c r="O76" s="88"/>
      <c r="P76" s="95"/>
      <c r="Q76" s="88"/>
      <c r="R76" s="88"/>
      <c r="S76" s="88"/>
      <c r="T76" s="59"/>
      <c r="U76" s="59"/>
      <c r="V76" s="59"/>
      <c r="W76" s="59"/>
      <c r="X76" s="59"/>
    </row>
    <row r="77">
      <c r="A77" s="59"/>
      <c r="B77" s="59"/>
      <c r="C77" s="70"/>
      <c r="D77" s="59"/>
      <c r="E77" s="94"/>
      <c r="F77" s="94"/>
      <c r="G77" s="94"/>
      <c r="H77" s="59"/>
      <c r="I77" s="94"/>
      <c r="J77" s="59"/>
      <c r="K77" s="94"/>
      <c r="L77" s="94"/>
      <c r="M77" s="94"/>
      <c r="N77" s="59"/>
      <c r="O77" s="88"/>
      <c r="P77" s="95"/>
      <c r="Q77" s="88"/>
      <c r="R77" s="88"/>
      <c r="S77" s="88"/>
      <c r="T77" s="59"/>
      <c r="U77" s="59"/>
      <c r="V77" s="59"/>
      <c r="W77" s="59"/>
      <c r="X77" s="59"/>
    </row>
    <row r="78">
      <c r="A78" s="59"/>
      <c r="B78" s="59"/>
      <c r="C78" s="70"/>
      <c r="D78" s="59"/>
      <c r="E78" s="94"/>
      <c r="F78" s="94"/>
      <c r="G78" s="94"/>
      <c r="H78" s="59"/>
      <c r="I78" s="94"/>
      <c r="J78" s="59"/>
      <c r="K78" s="94"/>
      <c r="L78" s="94"/>
      <c r="M78" s="94"/>
      <c r="N78" s="59"/>
      <c r="O78" s="88"/>
      <c r="P78" s="95"/>
      <c r="Q78" s="88"/>
      <c r="R78" s="88"/>
      <c r="S78" s="88"/>
      <c r="T78" s="59"/>
      <c r="U78" s="59"/>
      <c r="V78" s="59"/>
      <c r="W78" s="59"/>
      <c r="X78" s="59"/>
    </row>
    <row r="79">
      <c r="A79" s="59"/>
      <c r="B79" s="59"/>
      <c r="C79" s="70"/>
      <c r="D79" s="59"/>
      <c r="E79" s="94"/>
      <c r="F79" s="94"/>
      <c r="G79" s="94"/>
      <c r="H79" s="59"/>
      <c r="I79" s="94"/>
      <c r="J79" s="59"/>
      <c r="K79" s="94"/>
      <c r="L79" s="94"/>
      <c r="M79" s="94"/>
      <c r="N79" s="59"/>
      <c r="O79" s="88"/>
      <c r="P79" s="95"/>
      <c r="Q79" s="88"/>
      <c r="R79" s="88"/>
      <c r="S79" s="88"/>
      <c r="T79" s="59"/>
      <c r="U79" s="59"/>
      <c r="V79" s="59"/>
      <c r="W79" s="59"/>
      <c r="X79" s="59"/>
    </row>
    <row r="80">
      <c r="A80" s="59"/>
      <c r="B80" s="59"/>
      <c r="C80" s="70"/>
      <c r="D80" s="59"/>
      <c r="E80" s="94"/>
      <c r="F80" s="94"/>
      <c r="G80" s="94"/>
      <c r="H80" s="59"/>
      <c r="I80" s="94"/>
      <c r="J80" s="59"/>
      <c r="K80" s="94"/>
      <c r="L80" s="94"/>
      <c r="M80" s="94"/>
      <c r="N80" s="59"/>
      <c r="O80" s="88"/>
      <c r="P80" s="95"/>
      <c r="Q80" s="88"/>
      <c r="R80" s="88"/>
      <c r="S80" s="88"/>
      <c r="T80" s="59"/>
      <c r="U80" s="59"/>
      <c r="V80" s="59"/>
      <c r="W80" s="59"/>
      <c r="X80" s="59"/>
    </row>
    <row r="81">
      <c r="A81" s="59"/>
      <c r="B81" s="59"/>
      <c r="C81" s="70"/>
      <c r="D81" s="59"/>
      <c r="E81" s="94"/>
      <c r="F81" s="94"/>
      <c r="G81" s="94"/>
      <c r="H81" s="59"/>
      <c r="I81" s="94"/>
      <c r="J81" s="59"/>
      <c r="K81" s="94"/>
      <c r="L81" s="94"/>
      <c r="M81" s="94"/>
      <c r="N81" s="59"/>
      <c r="O81" s="88"/>
      <c r="P81" s="95"/>
      <c r="Q81" s="88"/>
      <c r="R81" s="88"/>
      <c r="S81" s="88"/>
      <c r="T81" s="59"/>
      <c r="U81" s="59"/>
      <c r="V81" s="59"/>
      <c r="W81" s="59"/>
      <c r="X81" s="59"/>
    </row>
    <row r="82">
      <c r="A82" s="59"/>
      <c r="B82" s="59"/>
      <c r="C82" s="70"/>
      <c r="D82" s="59"/>
      <c r="E82" s="94"/>
      <c r="F82" s="94"/>
      <c r="G82" s="94"/>
      <c r="H82" s="59"/>
      <c r="I82" s="94"/>
      <c r="J82" s="59"/>
      <c r="K82" s="94"/>
      <c r="L82" s="94"/>
      <c r="M82" s="94"/>
      <c r="N82" s="59"/>
      <c r="O82" s="88"/>
      <c r="P82" s="95"/>
      <c r="Q82" s="88"/>
      <c r="R82" s="88"/>
      <c r="S82" s="88"/>
      <c r="T82" s="59"/>
      <c r="U82" s="59"/>
      <c r="V82" s="59"/>
      <c r="W82" s="59"/>
      <c r="X82" s="59"/>
    </row>
    <row r="83">
      <c r="A83" s="59"/>
      <c r="B83" s="59"/>
      <c r="C83" s="70"/>
      <c r="D83" s="59"/>
      <c r="E83" s="94"/>
      <c r="F83" s="94"/>
      <c r="G83" s="94"/>
      <c r="H83" s="59"/>
      <c r="I83" s="94"/>
      <c r="J83" s="59"/>
      <c r="K83" s="94"/>
      <c r="L83" s="94"/>
      <c r="M83" s="94"/>
      <c r="N83" s="59"/>
      <c r="O83" s="88"/>
      <c r="P83" s="95"/>
      <c r="Q83" s="88"/>
      <c r="R83" s="88"/>
      <c r="S83" s="88"/>
      <c r="T83" s="59"/>
      <c r="U83" s="59"/>
      <c r="V83" s="59"/>
      <c r="W83" s="59"/>
      <c r="X83" s="59"/>
    </row>
    <row r="84">
      <c r="A84" s="59"/>
      <c r="B84" s="59"/>
      <c r="C84" s="70"/>
      <c r="D84" s="59"/>
      <c r="E84" s="94"/>
      <c r="F84" s="94"/>
      <c r="G84" s="94"/>
      <c r="H84" s="59"/>
      <c r="I84" s="94"/>
      <c r="J84" s="59"/>
      <c r="K84" s="94"/>
      <c r="L84" s="94"/>
      <c r="M84" s="94"/>
      <c r="N84" s="59"/>
      <c r="O84" s="88"/>
      <c r="P84" s="95"/>
      <c r="Q84" s="88"/>
      <c r="R84" s="88"/>
      <c r="S84" s="88"/>
      <c r="T84" s="59"/>
      <c r="U84" s="59"/>
      <c r="V84" s="59"/>
      <c r="W84" s="59"/>
      <c r="X84" s="59"/>
    </row>
    <row r="85">
      <c r="A85" s="59"/>
      <c r="B85" s="59"/>
      <c r="C85" s="70"/>
      <c r="D85" s="59"/>
      <c r="E85" s="94"/>
      <c r="F85" s="94"/>
      <c r="G85" s="94"/>
      <c r="H85" s="59"/>
      <c r="I85" s="94"/>
      <c r="J85" s="59"/>
      <c r="K85" s="94"/>
      <c r="L85" s="94"/>
      <c r="M85" s="94"/>
      <c r="N85" s="59"/>
      <c r="O85" s="88"/>
      <c r="P85" s="95"/>
      <c r="Q85" s="88"/>
      <c r="R85" s="88"/>
      <c r="S85" s="88"/>
      <c r="T85" s="59"/>
      <c r="U85" s="59"/>
      <c r="V85" s="59"/>
      <c r="W85" s="59"/>
      <c r="X85" s="59"/>
    </row>
    <row r="86">
      <c r="A86" s="59"/>
      <c r="B86" s="59"/>
      <c r="C86" s="70"/>
      <c r="D86" s="59"/>
      <c r="E86" s="94"/>
      <c r="F86" s="94"/>
      <c r="G86" s="94"/>
      <c r="H86" s="59"/>
      <c r="I86" s="94"/>
      <c r="J86" s="59"/>
      <c r="K86" s="94"/>
      <c r="L86" s="94"/>
      <c r="M86" s="94"/>
      <c r="N86" s="59"/>
      <c r="O86" s="88"/>
      <c r="P86" s="95"/>
      <c r="Q86" s="88"/>
      <c r="R86" s="88"/>
      <c r="S86" s="88"/>
      <c r="T86" s="59"/>
      <c r="U86" s="59"/>
      <c r="V86" s="59"/>
      <c r="W86" s="59"/>
      <c r="X86" s="59"/>
    </row>
    <row r="87">
      <c r="A87" s="59"/>
      <c r="B87" s="59"/>
      <c r="C87" s="70"/>
      <c r="D87" s="59"/>
      <c r="E87" s="94"/>
      <c r="F87" s="94"/>
      <c r="G87" s="94"/>
      <c r="H87" s="59"/>
      <c r="I87" s="94"/>
      <c r="J87" s="59"/>
      <c r="K87" s="94"/>
      <c r="L87" s="94"/>
      <c r="M87" s="94"/>
      <c r="N87" s="59"/>
      <c r="O87" s="88"/>
      <c r="P87" s="95"/>
      <c r="Q87" s="88"/>
      <c r="R87" s="88"/>
      <c r="S87" s="88"/>
      <c r="T87" s="59"/>
      <c r="U87" s="59"/>
      <c r="V87" s="59"/>
      <c r="W87" s="59"/>
      <c r="X87" s="59"/>
    </row>
    <row r="88">
      <c r="A88" s="59"/>
      <c r="B88" s="59"/>
      <c r="C88" s="70"/>
      <c r="D88" s="59"/>
      <c r="E88" s="94"/>
      <c r="F88" s="94"/>
      <c r="G88" s="94"/>
      <c r="H88" s="59"/>
      <c r="I88" s="94"/>
      <c r="J88" s="59"/>
      <c r="K88" s="94"/>
      <c r="L88" s="94"/>
      <c r="M88" s="94"/>
      <c r="N88" s="59"/>
      <c r="O88" s="88"/>
      <c r="P88" s="95"/>
      <c r="Q88" s="88"/>
      <c r="R88" s="88"/>
      <c r="S88" s="88"/>
      <c r="T88" s="59"/>
      <c r="U88" s="59"/>
      <c r="V88" s="59"/>
      <c r="W88" s="59"/>
      <c r="X88" s="59"/>
    </row>
    <row r="89">
      <c r="A89" s="59"/>
      <c r="B89" s="59"/>
      <c r="C89" s="70"/>
      <c r="D89" s="59"/>
      <c r="E89" s="94"/>
      <c r="F89" s="94"/>
      <c r="G89" s="94"/>
      <c r="H89" s="59"/>
      <c r="I89" s="94"/>
      <c r="J89" s="59"/>
      <c r="K89" s="94"/>
      <c r="L89" s="94"/>
      <c r="M89" s="94"/>
      <c r="N89" s="59"/>
      <c r="O89" s="88"/>
      <c r="P89" s="95"/>
      <c r="Q89" s="88"/>
      <c r="R89" s="88"/>
      <c r="S89" s="88"/>
      <c r="T89" s="59"/>
      <c r="U89" s="59"/>
      <c r="V89" s="59"/>
      <c r="W89" s="59"/>
      <c r="X89" s="59"/>
    </row>
    <row r="90">
      <c r="A90" s="59"/>
      <c r="B90" s="59"/>
      <c r="C90" s="70"/>
      <c r="D90" s="59"/>
      <c r="E90" s="94"/>
      <c r="F90" s="94"/>
      <c r="G90" s="94"/>
      <c r="H90" s="59"/>
      <c r="I90" s="94"/>
      <c r="J90" s="59"/>
      <c r="K90" s="94"/>
      <c r="L90" s="94"/>
      <c r="M90" s="94"/>
      <c r="N90" s="59"/>
      <c r="O90" s="88"/>
      <c r="P90" s="95"/>
      <c r="Q90" s="88"/>
      <c r="R90" s="88"/>
      <c r="S90" s="88"/>
      <c r="T90" s="59"/>
      <c r="U90" s="59"/>
      <c r="V90" s="59"/>
      <c r="W90" s="59"/>
      <c r="X90" s="59"/>
    </row>
    <row r="91">
      <c r="A91" s="59"/>
      <c r="B91" s="59"/>
      <c r="C91" s="70"/>
      <c r="D91" s="59"/>
      <c r="E91" s="94"/>
      <c r="F91" s="94"/>
      <c r="G91" s="94"/>
      <c r="H91" s="59"/>
      <c r="I91" s="94"/>
      <c r="J91" s="59"/>
      <c r="K91" s="94"/>
      <c r="L91" s="94"/>
      <c r="M91" s="94"/>
      <c r="N91" s="59"/>
      <c r="O91" s="88"/>
      <c r="P91" s="95"/>
      <c r="Q91" s="88"/>
      <c r="R91" s="88"/>
      <c r="S91" s="88"/>
      <c r="T91" s="59"/>
      <c r="U91" s="59"/>
      <c r="V91" s="59"/>
      <c r="W91" s="59"/>
      <c r="X91" s="59"/>
    </row>
    <row r="92">
      <c r="A92" s="59"/>
      <c r="B92" s="59"/>
      <c r="C92" s="70"/>
      <c r="D92" s="59"/>
      <c r="E92" s="94"/>
      <c r="F92" s="94"/>
      <c r="G92" s="94"/>
      <c r="H92" s="59"/>
      <c r="I92" s="94"/>
      <c r="J92" s="59"/>
      <c r="K92" s="94"/>
      <c r="L92" s="94"/>
      <c r="M92" s="94"/>
      <c r="N92" s="59"/>
      <c r="O92" s="88"/>
      <c r="P92" s="95"/>
      <c r="Q92" s="88"/>
      <c r="R92" s="88"/>
      <c r="S92" s="88"/>
      <c r="T92" s="59"/>
      <c r="U92" s="59"/>
      <c r="V92" s="59"/>
      <c r="W92" s="59"/>
      <c r="X92" s="59"/>
    </row>
    <row r="93">
      <c r="A93" s="59"/>
      <c r="B93" s="59"/>
      <c r="C93" s="70"/>
      <c r="D93" s="59"/>
      <c r="E93" s="94"/>
      <c r="F93" s="94"/>
      <c r="G93" s="94"/>
      <c r="H93" s="59"/>
      <c r="I93" s="94"/>
      <c r="J93" s="59"/>
      <c r="K93" s="94"/>
      <c r="L93" s="94"/>
      <c r="M93" s="94"/>
      <c r="N93" s="59"/>
      <c r="O93" s="88"/>
      <c r="P93" s="95"/>
      <c r="Q93" s="88"/>
      <c r="R93" s="88"/>
      <c r="S93" s="88"/>
      <c r="T93" s="59"/>
      <c r="U93" s="59"/>
      <c r="V93" s="59"/>
      <c r="W93" s="59"/>
      <c r="X93" s="59"/>
    </row>
    <row r="94">
      <c r="A94" s="59"/>
      <c r="B94" s="59"/>
      <c r="C94" s="70"/>
      <c r="D94" s="59"/>
      <c r="E94" s="94"/>
      <c r="F94" s="94"/>
      <c r="G94" s="94"/>
      <c r="H94" s="59"/>
      <c r="I94" s="94"/>
      <c r="J94" s="59"/>
      <c r="K94" s="94"/>
      <c r="L94" s="94"/>
      <c r="M94" s="94"/>
      <c r="N94" s="59"/>
      <c r="O94" s="88"/>
      <c r="P94" s="95"/>
      <c r="Q94" s="88"/>
      <c r="R94" s="88"/>
      <c r="S94" s="88"/>
      <c r="T94" s="59"/>
      <c r="U94" s="59"/>
      <c r="V94" s="59"/>
      <c r="W94" s="59"/>
      <c r="X94" s="59"/>
    </row>
    <row r="95">
      <c r="A95" s="59"/>
      <c r="B95" s="59"/>
      <c r="C95" s="70"/>
      <c r="D95" s="59"/>
      <c r="E95" s="94"/>
      <c r="F95" s="94"/>
      <c r="G95" s="94"/>
      <c r="H95" s="59"/>
      <c r="I95" s="94"/>
      <c r="J95" s="59"/>
      <c r="K95" s="94"/>
      <c r="L95" s="94"/>
      <c r="M95" s="94"/>
      <c r="N95" s="59"/>
      <c r="O95" s="88"/>
      <c r="P95" s="95"/>
      <c r="Q95" s="88"/>
      <c r="R95" s="88"/>
      <c r="S95" s="88"/>
      <c r="T95" s="59"/>
      <c r="U95" s="59"/>
      <c r="V95" s="59"/>
      <c r="W95" s="59"/>
      <c r="X95" s="59"/>
    </row>
    <row r="96">
      <c r="A96" s="59"/>
      <c r="B96" s="59"/>
      <c r="C96" s="70"/>
      <c r="D96" s="59"/>
      <c r="E96" s="94"/>
      <c r="F96" s="94"/>
      <c r="G96" s="94"/>
      <c r="H96" s="59"/>
      <c r="I96" s="94"/>
      <c r="J96" s="59"/>
      <c r="K96" s="94"/>
      <c r="L96" s="94"/>
      <c r="M96" s="94"/>
      <c r="N96" s="59"/>
      <c r="O96" s="88"/>
      <c r="P96" s="95"/>
      <c r="Q96" s="88"/>
      <c r="R96" s="88"/>
      <c r="S96" s="88"/>
      <c r="T96" s="59"/>
      <c r="U96" s="59"/>
      <c r="V96" s="59"/>
      <c r="W96" s="59"/>
      <c r="X96" s="59"/>
    </row>
    <row r="97">
      <c r="A97" s="59"/>
      <c r="B97" s="59"/>
      <c r="C97" s="70"/>
      <c r="D97" s="59"/>
      <c r="E97" s="94"/>
      <c r="F97" s="94"/>
      <c r="G97" s="94"/>
      <c r="H97" s="59"/>
      <c r="I97" s="94"/>
      <c r="J97" s="59"/>
      <c r="K97" s="94"/>
      <c r="L97" s="94"/>
      <c r="M97" s="94"/>
      <c r="N97" s="59"/>
      <c r="O97" s="88"/>
      <c r="P97" s="95"/>
      <c r="Q97" s="88"/>
      <c r="R97" s="88"/>
      <c r="S97" s="88"/>
      <c r="T97" s="59"/>
      <c r="U97" s="59"/>
      <c r="V97" s="59"/>
      <c r="W97" s="59"/>
      <c r="X97" s="59"/>
    </row>
    <row r="98">
      <c r="A98" s="59"/>
      <c r="B98" s="59"/>
      <c r="C98" s="70"/>
      <c r="D98" s="59"/>
      <c r="E98" s="94"/>
      <c r="F98" s="94"/>
      <c r="G98" s="94"/>
      <c r="H98" s="59"/>
      <c r="I98" s="94"/>
      <c r="J98" s="59"/>
      <c r="K98" s="94"/>
      <c r="L98" s="94"/>
      <c r="M98" s="94"/>
      <c r="N98" s="59"/>
      <c r="O98" s="88"/>
      <c r="P98" s="95"/>
      <c r="Q98" s="88"/>
      <c r="R98" s="88"/>
      <c r="S98" s="88"/>
      <c r="T98" s="59"/>
      <c r="U98" s="59"/>
      <c r="V98" s="59"/>
      <c r="W98" s="59"/>
      <c r="X98" s="59"/>
    </row>
    <row r="99">
      <c r="A99" s="59"/>
      <c r="B99" s="59"/>
      <c r="C99" s="70"/>
      <c r="D99" s="59"/>
      <c r="E99" s="94"/>
      <c r="F99" s="94"/>
      <c r="G99" s="94"/>
      <c r="H99" s="59"/>
      <c r="I99" s="94"/>
      <c r="J99" s="59"/>
      <c r="K99" s="94"/>
      <c r="L99" s="94"/>
      <c r="M99" s="94"/>
      <c r="N99" s="59"/>
      <c r="O99" s="88"/>
      <c r="P99" s="95"/>
      <c r="Q99" s="88"/>
      <c r="R99" s="88"/>
      <c r="S99" s="88"/>
      <c r="T99" s="59"/>
      <c r="U99" s="59"/>
      <c r="V99" s="59"/>
      <c r="W99" s="59"/>
      <c r="X99" s="59"/>
    </row>
    <row r="100">
      <c r="A100" s="59"/>
      <c r="B100" s="59"/>
      <c r="C100" s="70"/>
      <c r="D100" s="59"/>
      <c r="E100" s="94"/>
      <c r="F100" s="94"/>
      <c r="G100" s="94"/>
      <c r="H100" s="59"/>
      <c r="I100" s="94"/>
      <c r="J100" s="59"/>
      <c r="K100" s="94"/>
      <c r="L100" s="94"/>
      <c r="M100" s="94"/>
      <c r="N100" s="59"/>
      <c r="O100" s="88"/>
      <c r="P100" s="95"/>
      <c r="Q100" s="88"/>
      <c r="R100" s="88"/>
      <c r="S100" s="88"/>
      <c r="T100" s="59"/>
      <c r="U100" s="59"/>
      <c r="V100" s="59"/>
      <c r="W100" s="59"/>
      <c r="X100" s="59"/>
    </row>
    <row r="101">
      <c r="A101" s="59"/>
      <c r="B101" s="59"/>
      <c r="C101" s="70"/>
      <c r="D101" s="59"/>
      <c r="E101" s="94"/>
      <c r="F101" s="94"/>
      <c r="G101" s="94"/>
      <c r="H101" s="59"/>
      <c r="I101" s="94"/>
      <c r="J101" s="59"/>
      <c r="K101" s="94"/>
      <c r="L101" s="94"/>
      <c r="M101" s="94"/>
      <c r="N101" s="59"/>
      <c r="O101" s="88"/>
      <c r="P101" s="95"/>
      <c r="Q101" s="88"/>
      <c r="R101" s="88"/>
      <c r="S101" s="88"/>
      <c r="T101" s="59"/>
      <c r="U101" s="59"/>
      <c r="V101" s="59"/>
      <c r="W101" s="59"/>
      <c r="X101" s="59"/>
    </row>
    <row r="102">
      <c r="A102" s="59"/>
      <c r="B102" s="59"/>
      <c r="C102" s="7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88"/>
      <c r="P102" s="90"/>
      <c r="Q102" s="88"/>
      <c r="R102" s="88"/>
      <c r="S102" s="88"/>
      <c r="T102" s="59"/>
      <c r="U102" s="59"/>
      <c r="V102" s="59"/>
      <c r="W102" s="59"/>
      <c r="X102" s="59"/>
    </row>
    <row r="103">
      <c r="A103" s="59"/>
      <c r="B103" s="59"/>
      <c r="C103" s="7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88"/>
      <c r="P103" s="90"/>
      <c r="Q103" s="88"/>
      <c r="R103" s="88"/>
      <c r="S103" s="88"/>
      <c r="T103" s="59"/>
      <c r="U103" s="59"/>
      <c r="V103" s="59"/>
      <c r="W103" s="59"/>
      <c r="X103" s="59"/>
    </row>
    <row r="104">
      <c r="A104" s="59"/>
      <c r="B104" s="59"/>
      <c r="C104" s="7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88"/>
      <c r="P104" s="90"/>
      <c r="Q104" s="88"/>
      <c r="R104" s="88"/>
      <c r="S104" s="88"/>
      <c r="T104" s="59"/>
      <c r="U104" s="59"/>
      <c r="V104" s="59"/>
      <c r="W104" s="59"/>
      <c r="X104" s="59"/>
    </row>
    <row r="105">
      <c r="A105" s="59"/>
      <c r="B105" s="59"/>
      <c r="C105" s="7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88"/>
      <c r="P105" s="90"/>
      <c r="Q105" s="88"/>
      <c r="R105" s="88"/>
      <c r="S105" s="88"/>
      <c r="T105" s="59"/>
      <c r="U105" s="59"/>
      <c r="V105" s="59"/>
      <c r="W105" s="59"/>
      <c r="X105" s="59"/>
    </row>
    <row r="106">
      <c r="A106" s="59"/>
      <c r="B106" s="59"/>
      <c r="C106" s="7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88"/>
      <c r="P106" s="90"/>
      <c r="Q106" s="88"/>
      <c r="R106" s="88"/>
      <c r="S106" s="88"/>
      <c r="T106" s="59"/>
      <c r="U106" s="59"/>
      <c r="V106" s="59"/>
      <c r="W106" s="59"/>
      <c r="X106" s="59"/>
    </row>
    <row r="107">
      <c r="A107" s="59"/>
      <c r="B107" s="59"/>
      <c r="C107" s="7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88"/>
      <c r="P107" s="90"/>
      <c r="Q107" s="88"/>
      <c r="R107" s="88"/>
      <c r="S107" s="88"/>
      <c r="T107" s="59"/>
      <c r="U107" s="59"/>
      <c r="V107" s="59"/>
      <c r="W107" s="59"/>
      <c r="X107" s="59"/>
    </row>
    <row r="108">
      <c r="A108" s="59"/>
      <c r="B108" s="59"/>
      <c r="C108" s="7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88"/>
      <c r="P108" s="90"/>
      <c r="Q108" s="88"/>
      <c r="R108" s="88"/>
      <c r="S108" s="88"/>
      <c r="T108" s="59"/>
      <c r="U108" s="59"/>
      <c r="V108" s="59"/>
      <c r="W108" s="59"/>
      <c r="X108" s="59"/>
    </row>
    <row r="109">
      <c r="A109" s="59"/>
      <c r="B109" s="59"/>
      <c r="C109" s="7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88"/>
      <c r="P109" s="90"/>
      <c r="Q109" s="88"/>
      <c r="R109" s="88"/>
      <c r="S109" s="88"/>
      <c r="T109" s="59"/>
      <c r="U109" s="59"/>
      <c r="V109" s="59"/>
      <c r="W109" s="59"/>
      <c r="X109" s="59"/>
    </row>
    <row r="110">
      <c r="A110" s="59"/>
      <c r="B110" s="59"/>
      <c r="C110" s="7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88"/>
      <c r="P110" s="90"/>
      <c r="Q110" s="88"/>
      <c r="R110" s="88"/>
      <c r="S110" s="88"/>
      <c r="T110" s="59"/>
      <c r="U110" s="59"/>
      <c r="V110" s="59"/>
      <c r="W110" s="59"/>
      <c r="X110" s="59"/>
    </row>
    <row r="111">
      <c r="A111" s="59"/>
      <c r="B111" s="59"/>
      <c r="C111" s="7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88"/>
      <c r="P111" s="90"/>
      <c r="Q111" s="88"/>
      <c r="R111" s="88"/>
      <c r="S111" s="88"/>
      <c r="T111" s="59"/>
      <c r="U111" s="59"/>
      <c r="V111" s="59"/>
      <c r="W111" s="59"/>
      <c r="X111" s="59"/>
    </row>
    <row r="112">
      <c r="A112" s="59"/>
      <c r="B112" s="59"/>
      <c r="C112" s="7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88"/>
      <c r="P112" s="90"/>
      <c r="Q112" s="88"/>
      <c r="R112" s="88"/>
      <c r="S112" s="88"/>
      <c r="T112" s="59"/>
      <c r="U112" s="59"/>
      <c r="V112" s="59"/>
      <c r="W112" s="59"/>
      <c r="X112" s="59"/>
    </row>
    <row r="113">
      <c r="A113" s="59"/>
      <c r="B113" s="59"/>
      <c r="C113" s="7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88"/>
      <c r="P113" s="90"/>
      <c r="Q113" s="88"/>
      <c r="R113" s="88"/>
      <c r="S113" s="88"/>
      <c r="T113" s="59"/>
      <c r="U113" s="59"/>
      <c r="V113" s="59"/>
      <c r="W113" s="59"/>
      <c r="X113" s="59"/>
    </row>
    <row r="114">
      <c r="A114" s="59"/>
      <c r="B114" s="59"/>
      <c r="C114" s="7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88"/>
      <c r="P114" s="90"/>
      <c r="Q114" s="88"/>
      <c r="R114" s="88"/>
      <c r="S114" s="88"/>
      <c r="T114" s="59"/>
      <c r="U114" s="59"/>
      <c r="V114" s="59"/>
      <c r="W114" s="59"/>
      <c r="X114" s="59"/>
    </row>
    <row r="115">
      <c r="A115" s="59"/>
      <c r="B115" s="59"/>
      <c r="C115" s="7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88"/>
      <c r="P115" s="90"/>
      <c r="Q115" s="88"/>
      <c r="R115" s="88"/>
      <c r="S115" s="88"/>
      <c r="T115" s="59"/>
      <c r="U115" s="59"/>
      <c r="V115" s="59"/>
      <c r="W115" s="59"/>
      <c r="X115" s="59"/>
    </row>
    <row r="116">
      <c r="A116" s="59"/>
      <c r="B116" s="59"/>
      <c r="C116" s="7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88"/>
      <c r="P116" s="90"/>
      <c r="Q116" s="88"/>
      <c r="R116" s="88"/>
      <c r="S116" s="88"/>
      <c r="T116" s="59"/>
      <c r="U116" s="59"/>
      <c r="V116" s="59"/>
      <c r="W116" s="59"/>
      <c r="X116" s="59"/>
    </row>
    <row r="117">
      <c r="A117" s="59"/>
      <c r="B117" s="59"/>
      <c r="C117" s="7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88"/>
      <c r="P117" s="90"/>
      <c r="Q117" s="88"/>
      <c r="R117" s="88"/>
      <c r="S117" s="88"/>
      <c r="T117" s="59"/>
      <c r="U117" s="59"/>
      <c r="V117" s="59"/>
      <c r="W117" s="59"/>
      <c r="X117" s="59"/>
    </row>
    <row r="118">
      <c r="A118" s="59"/>
      <c r="B118" s="59"/>
      <c r="C118" s="7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88"/>
      <c r="P118" s="90"/>
      <c r="Q118" s="88"/>
      <c r="R118" s="88"/>
      <c r="S118" s="88"/>
      <c r="T118" s="59"/>
      <c r="U118" s="59"/>
      <c r="V118" s="59"/>
      <c r="W118" s="59"/>
      <c r="X118" s="59"/>
    </row>
    <row r="119">
      <c r="A119" s="59"/>
      <c r="B119" s="59"/>
      <c r="C119" s="7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88"/>
      <c r="P119" s="90"/>
      <c r="Q119" s="88"/>
      <c r="R119" s="88"/>
      <c r="S119" s="88"/>
      <c r="T119" s="59"/>
      <c r="U119" s="59"/>
      <c r="V119" s="59"/>
      <c r="W119" s="59"/>
      <c r="X119" s="59"/>
    </row>
    <row r="120">
      <c r="A120" s="59"/>
      <c r="B120" s="59"/>
      <c r="C120" s="7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88"/>
      <c r="P120" s="90"/>
      <c r="Q120" s="88"/>
      <c r="R120" s="88"/>
      <c r="S120" s="88"/>
      <c r="T120" s="59"/>
      <c r="U120" s="59"/>
      <c r="V120" s="59"/>
      <c r="W120" s="59"/>
      <c r="X120" s="59"/>
    </row>
    <row r="121">
      <c r="A121" s="59"/>
      <c r="B121" s="59"/>
      <c r="C121" s="7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88"/>
      <c r="P121" s="90"/>
      <c r="Q121" s="88"/>
      <c r="R121" s="88"/>
      <c r="S121" s="88"/>
      <c r="T121" s="59"/>
      <c r="U121" s="59"/>
      <c r="V121" s="59"/>
      <c r="W121" s="59"/>
      <c r="X121" s="59"/>
    </row>
    <row r="122">
      <c r="A122" s="59"/>
      <c r="B122" s="59"/>
      <c r="C122" s="7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88"/>
      <c r="P122" s="90"/>
      <c r="Q122" s="88"/>
      <c r="R122" s="88"/>
      <c r="S122" s="88"/>
      <c r="T122" s="59"/>
      <c r="U122" s="59"/>
      <c r="V122" s="59"/>
      <c r="W122" s="59"/>
      <c r="X122" s="59"/>
    </row>
    <row r="123">
      <c r="A123" s="59"/>
      <c r="B123" s="59"/>
      <c r="C123" s="7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88"/>
      <c r="P123" s="90"/>
      <c r="Q123" s="88"/>
      <c r="R123" s="88"/>
      <c r="S123" s="88"/>
      <c r="T123" s="59"/>
      <c r="U123" s="59"/>
      <c r="V123" s="59"/>
      <c r="W123" s="59"/>
      <c r="X123" s="59"/>
    </row>
    <row r="124">
      <c r="A124" s="59"/>
      <c r="B124" s="59"/>
      <c r="C124" s="7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88"/>
      <c r="P124" s="90"/>
      <c r="Q124" s="88"/>
      <c r="R124" s="88"/>
      <c r="S124" s="88"/>
      <c r="T124" s="59"/>
      <c r="U124" s="59"/>
      <c r="V124" s="59"/>
      <c r="W124" s="59"/>
      <c r="X124" s="59"/>
    </row>
    <row r="125">
      <c r="A125" s="59"/>
      <c r="B125" s="59"/>
      <c r="C125" s="7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88"/>
      <c r="P125" s="90"/>
      <c r="Q125" s="88"/>
      <c r="R125" s="88"/>
      <c r="S125" s="88"/>
      <c r="T125" s="59"/>
      <c r="U125" s="59"/>
      <c r="V125" s="59"/>
      <c r="W125" s="59"/>
      <c r="X125" s="59"/>
    </row>
    <row r="126">
      <c r="A126" s="59"/>
      <c r="B126" s="59"/>
      <c r="C126" s="7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88"/>
      <c r="P126" s="90"/>
      <c r="Q126" s="88"/>
      <c r="R126" s="88"/>
      <c r="S126" s="88"/>
      <c r="T126" s="59"/>
      <c r="U126" s="59"/>
      <c r="V126" s="59"/>
      <c r="W126" s="59"/>
      <c r="X126" s="59"/>
    </row>
    <row r="127">
      <c r="A127" s="59"/>
      <c r="B127" s="59"/>
      <c r="C127" s="7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88"/>
      <c r="P127" s="90"/>
      <c r="Q127" s="88"/>
      <c r="R127" s="88"/>
      <c r="S127" s="88"/>
      <c r="T127" s="59"/>
      <c r="U127" s="59"/>
      <c r="V127" s="59"/>
      <c r="W127" s="59"/>
      <c r="X127" s="59"/>
    </row>
    <row r="128">
      <c r="A128" s="59"/>
      <c r="B128" s="59"/>
      <c r="C128" s="7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88"/>
      <c r="P128" s="90"/>
      <c r="Q128" s="88"/>
      <c r="R128" s="88"/>
      <c r="S128" s="88"/>
      <c r="T128" s="59"/>
      <c r="U128" s="59"/>
      <c r="V128" s="59"/>
      <c r="W128" s="59"/>
      <c r="X128" s="59"/>
    </row>
    <row r="129">
      <c r="A129" s="59"/>
      <c r="B129" s="59"/>
      <c r="C129" s="7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88"/>
      <c r="P129" s="90"/>
      <c r="Q129" s="88"/>
      <c r="R129" s="88"/>
      <c r="S129" s="88"/>
      <c r="T129" s="59"/>
      <c r="U129" s="59"/>
      <c r="V129" s="59"/>
      <c r="W129" s="59"/>
      <c r="X129" s="59"/>
    </row>
    <row r="130">
      <c r="A130" s="59"/>
      <c r="B130" s="59"/>
      <c r="C130" s="7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88"/>
      <c r="P130" s="90"/>
      <c r="Q130" s="88"/>
      <c r="R130" s="88"/>
      <c r="S130" s="88"/>
      <c r="T130" s="59"/>
      <c r="U130" s="59"/>
      <c r="V130" s="59"/>
      <c r="W130" s="59"/>
      <c r="X130" s="59"/>
    </row>
    <row r="131">
      <c r="A131" s="59"/>
      <c r="B131" s="59"/>
      <c r="C131" s="7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88"/>
      <c r="P131" s="90"/>
      <c r="Q131" s="88"/>
      <c r="R131" s="88"/>
      <c r="S131" s="88"/>
      <c r="T131" s="59"/>
      <c r="U131" s="59"/>
      <c r="V131" s="59"/>
      <c r="W131" s="59"/>
      <c r="X131" s="59"/>
    </row>
    <row r="132">
      <c r="A132" s="59"/>
      <c r="B132" s="59"/>
      <c r="C132" s="7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88"/>
      <c r="P132" s="90"/>
      <c r="Q132" s="88"/>
      <c r="R132" s="88"/>
      <c r="S132" s="88"/>
      <c r="T132" s="59"/>
      <c r="U132" s="59"/>
      <c r="V132" s="59"/>
      <c r="W132" s="59"/>
      <c r="X132" s="59"/>
    </row>
    <row r="133">
      <c r="A133" s="59"/>
      <c r="B133" s="59"/>
      <c r="C133" s="7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88"/>
      <c r="P133" s="90"/>
      <c r="Q133" s="88"/>
      <c r="R133" s="88"/>
      <c r="S133" s="88"/>
      <c r="T133" s="59"/>
      <c r="U133" s="59"/>
      <c r="V133" s="59"/>
      <c r="W133" s="59"/>
      <c r="X133" s="59"/>
    </row>
    <row r="134">
      <c r="A134" s="59"/>
      <c r="B134" s="59"/>
      <c r="C134" s="7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88"/>
      <c r="P134" s="90"/>
      <c r="Q134" s="88"/>
      <c r="R134" s="88"/>
      <c r="S134" s="88"/>
      <c r="T134" s="59"/>
      <c r="U134" s="59"/>
      <c r="V134" s="59"/>
      <c r="W134" s="59"/>
      <c r="X134" s="59"/>
    </row>
    <row r="135">
      <c r="A135" s="59"/>
      <c r="B135" s="59"/>
      <c r="C135" s="7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88"/>
      <c r="P135" s="90"/>
      <c r="Q135" s="88"/>
      <c r="R135" s="88"/>
      <c r="S135" s="88"/>
      <c r="T135" s="59"/>
      <c r="U135" s="59"/>
      <c r="V135" s="59"/>
      <c r="W135" s="59"/>
      <c r="X135" s="59"/>
    </row>
    <row r="136">
      <c r="A136" s="59"/>
      <c r="B136" s="59"/>
      <c r="C136" s="7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88"/>
      <c r="P136" s="90"/>
      <c r="Q136" s="88"/>
      <c r="R136" s="88"/>
      <c r="S136" s="88"/>
      <c r="T136" s="59"/>
      <c r="U136" s="59"/>
      <c r="V136" s="59"/>
      <c r="W136" s="59"/>
      <c r="X136" s="59"/>
    </row>
    <row r="137">
      <c r="A137" s="59"/>
      <c r="B137" s="59"/>
      <c r="C137" s="7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88"/>
      <c r="P137" s="90"/>
      <c r="Q137" s="88"/>
      <c r="R137" s="88"/>
      <c r="S137" s="88"/>
      <c r="T137" s="59"/>
      <c r="U137" s="59"/>
      <c r="V137" s="59"/>
      <c r="W137" s="59"/>
      <c r="X137" s="59"/>
    </row>
    <row r="138">
      <c r="A138" s="59"/>
      <c r="B138" s="59"/>
      <c r="C138" s="7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88"/>
      <c r="P138" s="90"/>
      <c r="Q138" s="88"/>
      <c r="R138" s="88"/>
      <c r="S138" s="88"/>
      <c r="T138" s="59"/>
      <c r="U138" s="59"/>
      <c r="V138" s="59"/>
      <c r="W138" s="59"/>
      <c r="X138" s="59"/>
    </row>
    <row r="139">
      <c r="A139" s="59"/>
      <c r="B139" s="59"/>
      <c r="C139" s="7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88"/>
      <c r="P139" s="90"/>
      <c r="Q139" s="88"/>
      <c r="R139" s="88"/>
      <c r="S139" s="88"/>
      <c r="T139" s="59"/>
      <c r="U139" s="59"/>
      <c r="V139" s="59"/>
      <c r="W139" s="59"/>
      <c r="X139" s="59"/>
    </row>
    <row r="140">
      <c r="A140" s="59"/>
      <c r="B140" s="59"/>
      <c r="C140" s="7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88"/>
      <c r="P140" s="90"/>
      <c r="Q140" s="88"/>
      <c r="R140" s="88"/>
      <c r="S140" s="88"/>
      <c r="T140" s="59"/>
      <c r="U140" s="59"/>
      <c r="V140" s="59"/>
      <c r="W140" s="59"/>
      <c r="X140" s="59"/>
    </row>
    <row r="141">
      <c r="A141" s="59"/>
      <c r="B141" s="59"/>
      <c r="C141" s="7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88"/>
      <c r="P141" s="90"/>
      <c r="Q141" s="88"/>
      <c r="R141" s="88"/>
      <c r="S141" s="88"/>
      <c r="T141" s="59"/>
      <c r="U141" s="59"/>
      <c r="V141" s="59"/>
      <c r="W141" s="59"/>
      <c r="X141" s="59"/>
    </row>
    <row r="142">
      <c r="A142" s="59"/>
      <c r="B142" s="59"/>
      <c r="C142" s="7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88"/>
      <c r="P142" s="90"/>
      <c r="Q142" s="88"/>
      <c r="R142" s="88"/>
      <c r="S142" s="88"/>
      <c r="T142" s="59"/>
      <c r="U142" s="59"/>
      <c r="V142" s="59"/>
      <c r="W142" s="59"/>
      <c r="X142" s="59"/>
    </row>
    <row r="143">
      <c r="A143" s="59"/>
      <c r="B143" s="59"/>
      <c r="C143" s="7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88"/>
      <c r="P143" s="90"/>
      <c r="Q143" s="88"/>
      <c r="R143" s="88"/>
      <c r="S143" s="88"/>
      <c r="T143" s="59"/>
      <c r="U143" s="59"/>
      <c r="V143" s="59"/>
      <c r="W143" s="59"/>
      <c r="X143" s="59"/>
    </row>
    <row r="144">
      <c r="A144" s="59"/>
      <c r="B144" s="59"/>
      <c r="C144" s="7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88"/>
      <c r="P144" s="90"/>
      <c r="Q144" s="88"/>
      <c r="R144" s="88"/>
      <c r="S144" s="88"/>
      <c r="T144" s="59"/>
      <c r="U144" s="59"/>
      <c r="V144" s="59"/>
      <c r="W144" s="59"/>
      <c r="X144" s="59"/>
    </row>
    <row r="145">
      <c r="A145" s="59"/>
      <c r="B145" s="59"/>
      <c r="C145" s="7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88"/>
      <c r="P145" s="90"/>
      <c r="Q145" s="88"/>
      <c r="R145" s="88"/>
      <c r="S145" s="88"/>
      <c r="T145" s="59"/>
      <c r="U145" s="59"/>
      <c r="V145" s="59"/>
      <c r="W145" s="59"/>
      <c r="X145" s="59"/>
    </row>
    <row r="146">
      <c r="A146" s="59"/>
      <c r="B146" s="59"/>
      <c r="C146" s="7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88"/>
      <c r="P146" s="90"/>
      <c r="Q146" s="88"/>
      <c r="R146" s="88"/>
      <c r="S146" s="88"/>
      <c r="T146" s="59"/>
      <c r="U146" s="59"/>
      <c r="V146" s="59"/>
      <c r="W146" s="59"/>
      <c r="X146" s="59"/>
    </row>
    <row r="147">
      <c r="A147" s="59"/>
      <c r="B147" s="59"/>
      <c r="C147" s="7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88"/>
      <c r="P147" s="90"/>
      <c r="Q147" s="88"/>
      <c r="R147" s="88"/>
      <c r="S147" s="88"/>
      <c r="T147" s="59"/>
      <c r="U147" s="59"/>
      <c r="V147" s="59"/>
      <c r="W147" s="59"/>
      <c r="X147" s="59"/>
    </row>
    <row r="148">
      <c r="A148" s="59"/>
      <c r="B148" s="59"/>
      <c r="C148" s="7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88"/>
      <c r="P148" s="90"/>
      <c r="Q148" s="88"/>
      <c r="R148" s="88"/>
      <c r="S148" s="88"/>
      <c r="T148" s="59"/>
      <c r="U148" s="59"/>
      <c r="V148" s="59"/>
      <c r="W148" s="59"/>
      <c r="X148" s="59"/>
    </row>
    <row r="149">
      <c r="A149" s="59"/>
      <c r="B149" s="59"/>
      <c r="C149" s="7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88"/>
      <c r="P149" s="90"/>
      <c r="Q149" s="88"/>
      <c r="R149" s="88"/>
      <c r="S149" s="88"/>
      <c r="T149" s="59"/>
      <c r="U149" s="59"/>
      <c r="V149" s="59"/>
      <c r="W149" s="59"/>
      <c r="X149" s="59"/>
    </row>
    <row r="150">
      <c r="A150" s="59"/>
      <c r="B150" s="59"/>
      <c r="C150" s="7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88"/>
      <c r="P150" s="90"/>
      <c r="Q150" s="88"/>
      <c r="R150" s="88"/>
      <c r="S150" s="88"/>
      <c r="T150" s="59"/>
      <c r="U150" s="59"/>
      <c r="V150" s="59"/>
      <c r="W150" s="59"/>
      <c r="X150" s="59"/>
    </row>
    <row r="151">
      <c r="A151" s="59"/>
      <c r="B151" s="59"/>
      <c r="C151" s="7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88"/>
      <c r="P151" s="90"/>
      <c r="Q151" s="88"/>
      <c r="R151" s="88"/>
      <c r="S151" s="88"/>
      <c r="T151" s="59"/>
      <c r="U151" s="59"/>
      <c r="V151" s="59"/>
      <c r="W151" s="59"/>
      <c r="X151" s="59"/>
    </row>
    <row r="152">
      <c r="A152" s="59"/>
      <c r="B152" s="59"/>
      <c r="C152" s="7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88"/>
      <c r="P152" s="90"/>
      <c r="Q152" s="88"/>
      <c r="R152" s="88"/>
      <c r="S152" s="88"/>
      <c r="T152" s="59"/>
      <c r="U152" s="59"/>
      <c r="V152" s="59"/>
      <c r="W152" s="59"/>
      <c r="X152" s="59"/>
    </row>
    <row r="153">
      <c r="A153" s="59"/>
      <c r="B153" s="59"/>
      <c r="C153" s="7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88"/>
      <c r="P153" s="90"/>
      <c r="Q153" s="88"/>
      <c r="R153" s="88"/>
      <c r="S153" s="88"/>
      <c r="T153" s="59"/>
      <c r="U153" s="59"/>
      <c r="V153" s="59"/>
      <c r="W153" s="59"/>
      <c r="X153" s="59"/>
    </row>
    <row r="154">
      <c r="A154" s="59"/>
      <c r="B154" s="59"/>
      <c r="C154" s="7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88"/>
      <c r="P154" s="90"/>
      <c r="Q154" s="88"/>
      <c r="R154" s="88"/>
      <c r="S154" s="88"/>
      <c r="T154" s="59"/>
      <c r="U154" s="59"/>
      <c r="V154" s="59"/>
      <c r="W154" s="59"/>
      <c r="X154" s="59"/>
    </row>
    <row r="155">
      <c r="A155" s="59"/>
      <c r="B155" s="59"/>
      <c r="C155" s="7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88"/>
      <c r="P155" s="90"/>
      <c r="Q155" s="88"/>
      <c r="R155" s="88"/>
      <c r="S155" s="88"/>
      <c r="T155" s="59"/>
      <c r="U155" s="59"/>
      <c r="V155" s="59"/>
      <c r="W155" s="59"/>
      <c r="X155" s="59"/>
    </row>
    <row r="156">
      <c r="A156" s="59"/>
      <c r="B156" s="59"/>
      <c r="C156" s="7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88"/>
      <c r="P156" s="90"/>
      <c r="Q156" s="88"/>
      <c r="R156" s="88"/>
      <c r="S156" s="88"/>
      <c r="T156" s="59"/>
      <c r="U156" s="59"/>
      <c r="V156" s="59"/>
      <c r="W156" s="59"/>
      <c r="X156" s="59"/>
    </row>
    <row r="157">
      <c r="A157" s="59"/>
      <c r="B157" s="59"/>
      <c r="C157" s="7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88"/>
      <c r="P157" s="90"/>
      <c r="Q157" s="88"/>
      <c r="R157" s="88"/>
      <c r="S157" s="88"/>
      <c r="T157" s="59"/>
      <c r="U157" s="59"/>
      <c r="V157" s="59"/>
      <c r="W157" s="59"/>
      <c r="X157" s="59"/>
    </row>
    <row r="158">
      <c r="A158" s="59"/>
      <c r="B158" s="59"/>
      <c r="C158" s="7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88"/>
      <c r="P158" s="90"/>
      <c r="Q158" s="88"/>
      <c r="R158" s="88"/>
      <c r="S158" s="88"/>
      <c r="T158" s="59"/>
      <c r="U158" s="59"/>
      <c r="V158" s="59"/>
      <c r="W158" s="59"/>
      <c r="X158" s="59"/>
    </row>
    <row r="159">
      <c r="A159" s="59"/>
      <c r="B159" s="59"/>
      <c r="C159" s="7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88"/>
      <c r="P159" s="90"/>
      <c r="Q159" s="88"/>
      <c r="R159" s="88"/>
      <c r="S159" s="88"/>
      <c r="T159" s="59"/>
      <c r="U159" s="59"/>
      <c r="V159" s="59"/>
      <c r="W159" s="59"/>
      <c r="X159" s="59"/>
    </row>
    <row r="160">
      <c r="A160" s="59"/>
      <c r="B160" s="59"/>
      <c r="C160" s="7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88"/>
      <c r="P160" s="90"/>
      <c r="Q160" s="88"/>
      <c r="R160" s="88"/>
      <c r="S160" s="88"/>
      <c r="T160" s="59"/>
      <c r="U160" s="59"/>
      <c r="V160" s="59"/>
      <c r="W160" s="59"/>
      <c r="X160" s="59"/>
    </row>
    <row r="161">
      <c r="A161" s="59"/>
      <c r="B161" s="59"/>
      <c r="C161" s="7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88"/>
      <c r="P161" s="90"/>
      <c r="Q161" s="88"/>
      <c r="R161" s="88"/>
      <c r="S161" s="88"/>
      <c r="T161" s="59"/>
      <c r="U161" s="59"/>
      <c r="V161" s="59"/>
      <c r="W161" s="59"/>
      <c r="X161" s="59"/>
    </row>
    <row r="162">
      <c r="A162" s="59"/>
      <c r="B162" s="59"/>
      <c r="C162" s="7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88"/>
      <c r="P162" s="90"/>
      <c r="Q162" s="88"/>
      <c r="R162" s="88"/>
      <c r="S162" s="88"/>
      <c r="T162" s="59"/>
      <c r="U162" s="59"/>
      <c r="V162" s="59"/>
      <c r="W162" s="59"/>
      <c r="X162" s="59"/>
    </row>
    <row r="163">
      <c r="A163" s="59"/>
      <c r="B163" s="59"/>
      <c r="C163" s="7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88"/>
      <c r="P163" s="90"/>
      <c r="Q163" s="88"/>
      <c r="R163" s="88"/>
      <c r="S163" s="88"/>
      <c r="T163" s="59"/>
      <c r="U163" s="59"/>
      <c r="V163" s="59"/>
      <c r="W163" s="59"/>
      <c r="X163" s="59"/>
    </row>
    <row r="164">
      <c r="A164" s="59"/>
      <c r="B164" s="59"/>
      <c r="C164" s="7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88"/>
      <c r="P164" s="90"/>
      <c r="Q164" s="88"/>
      <c r="R164" s="88"/>
      <c r="S164" s="88"/>
      <c r="T164" s="59"/>
      <c r="U164" s="59"/>
      <c r="V164" s="59"/>
      <c r="W164" s="59"/>
      <c r="X164" s="59"/>
    </row>
    <row r="165">
      <c r="A165" s="59"/>
      <c r="B165" s="59"/>
      <c r="C165" s="7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88"/>
      <c r="P165" s="90"/>
      <c r="Q165" s="88"/>
      <c r="R165" s="88"/>
      <c r="S165" s="88"/>
      <c r="T165" s="59"/>
      <c r="U165" s="59"/>
      <c r="V165" s="59"/>
      <c r="W165" s="59"/>
      <c r="X165" s="59"/>
    </row>
    <row r="166">
      <c r="A166" s="59"/>
      <c r="B166" s="59"/>
      <c r="C166" s="7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88"/>
      <c r="P166" s="90"/>
      <c r="Q166" s="88"/>
      <c r="R166" s="88"/>
      <c r="S166" s="88"/>
      <c r="T166" s="59"/>
      <c r="U166" s="59"/>
      <c r="V166" s="59"/>
      <c r="W166" s="59"/>
      <c r="X166" s="59"/>
    </row>
    <row r="167">
      <c r="A167" s="59"/>
      <c r="B167" s="59"/>
      <c r="C167" s="7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88"/>
      <c r="P167" s="90"/>
      <c r="Q167" s="88"/>
      <c r="R167" s="88"/>
      <c r="S167" s="88"/>
      <c r="T167" s="59"/>
      <c r="U167" s="59"/>
      <c r="V167" s="59"/>
      <c r="W167" s="59"/>
      <c r="X167" s="59"/>
    </row>
    <row r="168">
      <c r="A168" s="59"/>
      <c r="B168" s="59"/>
      <c r="C168" s="7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88"/>
      <c r="P168" s="90"/>
      <c r="Q168" s="88"/>
      <c r="R168" s="88"/>
      <c r="S168" s="88"/>
      <c r="T168" s="59"/>
      <c r="U168" s="59"/>
      <c r="V168" s="59"/>
      <c r="W168" s="59"/>
      <c r="X168" s="59"/>
    </row>
    <row r="169">
      <c r="A169" s="59"/>
      <c r="B169" s="59"/>
      <c r="C169" s="7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88"/>
      <c r="P169" s="90"/>
      <c r="Q169" s="88"/>
      <c r="R169" s="88"/>
      <c r="S169" s="88"/>
      <c r="T169" s="59"/>
      <c r="U169" s="59"/>
      <c r="V169" s="59"/>
      <c r="W169" s="59"/>
      <c r="X169" s="59"/>
    </row>
    <row r="170">
      <c r="A170" s="59"/>
      <c r="B170" s="59"/>
      <c r="C170" s="7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88"/>
      <c r="P170" s="90"/>
      <c r="Q170" s="88"/>
      <c r="R170" s="88"/>
      <c r="S170" s="88"/>
      <c r="T170" s="59"/>
      <c r="U170" s="59"/>
      <c r="V170" s="59"/>
      <c r="W170" s="59"/>
      <c r="X170" s="59"/>
    </row>
    <row r="171">
      <c r="A171" s="59"/>
      <c r="B171" s="59"/>
      <c r="C171" s="7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88"/>
      <c r="P171" s="90"/>
      <c r="Q171" s="88"/>
      <c r="R171" s="88"/>
      <c r="S171" s="88"/>
      <c r="T171" s="59"/>
      <c r="U171" s="59"/>
      <c r="V171" s="59"/>
      <c r="W171" s="59"/>
      <c r="X171" s="59"/>
    </row>
    <row r="172">
      <c r="A172" s="59"/>
      <c r="B172" s="59"/>
      <c r="C172" s="7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88"/>
      <c r="P172" s="90"/>
      <c r="Q172" s="88"/>
      <c r="R172" s="88"/>
      <c r="S172" s="88"/>
      <c r="T172" s="59"/>
      <c r="U172" s="59"/>
      <c r="V172" s="59"/>
      <c r="W172" s="59"/>
      <c r="X172" s="59"/>
    </row>
    <row r="173">
      <c r="A173" s="59"/>
      <c r="B173" s="59"/>
      <c r="C173" s="7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88"/>
      <c r="P173" s="90"/>
      <c r="Q173" s="88"/>
      <c r="R173" s="88"/>
      <c r="S173" s="88"/>
      <c r="T173" s="59"/>
      <c r="U173" s="59"/>
      <c r="V173" s="59"/>
      <c r="W173" s="59"/>
      <c r="X173" s="59"/>
    </row>
    <row r="174">
      <c r="A174" s="59"/>
      <c r="B174" s="59"/>
      <c r="C174" s="7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88"/>
      <c r="P174" s="90"/>
      <c r="Q174" s="88"/>
      <c r="R174" s="88"/>
      <c r="S174" s="88"/>
      <c r="T174" s="59"/>
      <c r="U174" s="59"/>
      <c r="V174" s="59"/>
      <c r="W174" s="59"/>
      <c r="X174" s="59"/>
    </row>
    <row r="175">
      <c r="A175" s="59"/>
      <c r="B175" s="59"/>
      <c r="C175" s="7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88"/>
      <c r="P175" s="90"/>
      <c r="Q175" s="88"/>
      <c r="R175" s="88"/>
      <c r="S175" s="88"/>
      <c r="T175" s="59"/>
      <c r="U175" s="59"/>
      <c r="V175" s="59"/>
      <c r="W175" s="59"/>
      <c r="X175" s="59"/>
    </row>
    <row r="176">
      <c r="A176" s="59"/>
      <c r="B176" s="59"/>
      <c r="C176" s="7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88"/>
      <c r="P176" s="90"/>
      <c r="Q176" s="88"/>
      <c r="R176" s="88"/>
      <c r="S176" s="88"/>
      <c r="T176" s="59"/>
      <c r="U176" s="59"/>
      <c r="V176" s="59"/>
      <c r="W176" s="59"/>
      <c r="X176" s="59"/>
    </row>
    <row r="177">
      <c r="A177" s="59"/>
      <c r="B177" s="59"/>
      <c r="C177" s="7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88"/>
      <c r="P177" s="90"/>
      <c r="Q177" s="88"/>
      <c r="R177" s="88"/>
      <c r="S177" s="88"/>
      <c r="T177" s="59"/>
      <c r="U177" s="59"/>
      <c r="V177" s="59"/>
      <c r="W177" s="59"/>
      <c r="X177" s="59"/>
    </row>
    <row r="178">
      <c r="A178" s="59"/>
      <c r="B178" s="59"/>
      <c r="C178" s="7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88"/>
      <c r="P178" s="90"/>
      <c r="Q178" s="88"/>
      <c r="R178" s="88"/>
      <c r="S178" s="88"/>
      <c r="T178" s="59"/>
      <c r="U178" s="59"/>
      <c r="V178" s="59"/>
      <c r="W178" s="59"/>
      <c r="X178" s="59"/>
    </row>
    <row r="179">
      <c r="A179" s="59"/>
      <c r="B179" s="59"/>
      <c r="C179" s="7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88"/>
      <c r="P179" s="90"/>
      <c r="Q179" s="88"/>
      <c r="R179" s="88"/>
      <c r="S179" s="88"/>
      <c r="T179" s="59"/>
      <c r="U179" s="59"/>
      <c r="V179" s="59"/>
      <c r="W179" s="59"/>
      <c r="X179" s="59"/>
    </row>
    <row r="180">
      <c r="A180" s="59"/>
      <c r="B180" s="59"/>
      <c r="C180" s="7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88"/>
      <c r="P180" s="90"/>
      <c r="Q180" s="88"/>
      <c r="R180" s="88"/>
      <c r="S180" s="88"/>
      <c r="T180" s="59"/>
      <c r="U180" s="59"/>
      <c r="V180" s="59"/>
      <c r="W180" s="59"/>
      <c r="X180" s="59"/>
    </row>
    <row r="181">
      <c r="A181" s="59"/>
      <c r="B181" s="59"/>
      <c r="C181" s="7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88"/>
      <c r="P181" s="90"/>
      <c r="Q181" s="88"/>
      <c r="R181" s="88"/>
      <c r="S181" s="88"/>
      <c r="T181" s="59"/>
      <c r="U181" s="59"/>
      <c r="V181" s="59"/>
      <c r="W181" s="59"/>
      <c r="X181" s="59"/>
    </row>
    <row r="182">
      <c r="A182" s="59"/>
      <c r="B182" s="59"/>
      <c r="C182" s="7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88"/>
      <c r="P182" s="90"/>
      <c r="Q182" s="88"/>
      <c r="R182" s="88"/>
      <c r="S182" s="88"/>
      <c r="T182" s="59"/>
      <c r="U182" s="59"/>
      <c r="V182" s="59"/>
      <c r="W182" s="59"/>
      <c r="X182" s="59"/>
    </row>
    <row r="183">
      <c r="A183" s="59"/>
      <c r="B183" s="59"/>
      <c r="C183" s="7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88"/>
      <c r="P183" s="90"/>
      <c r="Q183" s="88"/>
      <c r="R183" s="88"/>
      <c r="S183" s="88"/>
      <c r="T183" s="59"/>
      <c r="U183" s="59"/>
      <c r="V183" s="59"/>
      <c r="W183" s="59"/>
      <c r="X183" s="59"/>
    </row>
    <row r="184">
      <c r="A184" s="59"/>
      <c r="B184" s="59"/>
      <c r="C184" s="7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88"/>
      <c r="P184" s="90"/>
      <c r="Q184" s="88"/>
      <c r="R184" s="88"/>
      <c r="S184" s="88"/>
      <c r="T184" s="59"/>
      <c r="U184" s="59"/>
      <c r="V184" s="59"/>
      <c r="W184" s="59"/>
      <c r="X184" s="59"/>
    </row>
    <row r="185">
      <c r="A185" s="59"/>
      <c r="B185" s="59"/>
      <c r="C185" s="7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88"/>
      <c r="P185" s="90"/>
      <c r="Q185" s="88"/>
      <c r="R185" s="88"/>
      <c r="S185" s="88"/>
      <c r="T185" s="59"/>
      <c r="U185" s="59"/>
      <c r="V185" s="59"/>
      <c r="W185" s="59"/>
      <c r="X185" s="59"/>
    </row>
    <row r="186">
      <c r="A186" s="59"/>
      <c r="B186" s="59"/>
      <c r="C186" s="7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88"/>
      <c r="P186" s="90"/>
      <c r="Q186" s="88"/>
      <c r="R186" s="88"/>
      <c r="S186" s="88"/>
      <c r="T186" s="59"/>
      <c r="U186" s="59"/>
      <c r="V186" s="59"/>
      <c r="W186" s="59"/>
      <c r="X186" s="59"/>
    </row>
    <row r="187">
      <c r="A187" s="59"/>
      <c r="B187" s="59"/>
      <c r="C187" s="7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88"/>
      <c r="P187" s="90"/>
      <c r="Q187" s="88"/>
      <c r="R187" s="88"/>
      <c r="S187" s="88"/>
      <c r="T187" s="59"/>
      <c r="U187" s="59"/>
      <c r="V187" s="59"/>
      <c r="W187" s="59"/>
      <c r="X187" s="59"/>
    </row>
    <row r="188">
      <c r="A188" s="59"/>
      <c r="B188" s="59"/>
      <c r="C188" s="7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88"/>
      <c r="P188" s="90"/>
      <c r="Q188" s="88"/>
      <c r="R188" s="88"/>
      <c r="S188" s="88"/>
      <c r="T188" s="59"/>
      <c r="U188" s="59"/>
      <c r="V188" s="59"/>
      <c r="W188" s="59"/>
      <c r="X188" s="59"/>
    </row>
    <row r="189">
      <c r="A189" s="59"/>
      <c r="B189" s="59"/>
      <c r="C189" s="7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88"/>
      <c r="P189" s="90"/>
      <c r="Q189" s="88"/>
      <c r="R189" s="88"/>
      <c r="S189" s="88"/>
      <c r="T189" s="59"/>
      <c r="U189" s="59"/>
      <c r="V189" s="59"/>
      <c r="W189" s="59"/>
      <c r="X189" s="59"/>
    </row>
    <row r="190">
      <c r="A190" s="59"/>
      <c r="B190" s="59"/>
      <c r="C190" s="7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88"/>
      <c r="P190" s="90"/>
      <c r="Q190" s="88"/>
      <c r="R190" s="88"/>
      <c r="S190" s="88"/>
      <c r="T190" s="59"/>
      <c r="U190" s="59"/>
      <c r="V190" s="59"/>
      <c r="W190" s="59"/>
      <c r="X190" s="59"/>
    </row>
    <row r="191">
      <c r="A191" s="59"/>
      <c r="B191" s="59"/>
      <c r="C191" s="7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88"/>
      <c r="P191" s="90"/>
      <c r="Q191" s="88"/>
      <c r="R191" s="88"/>
      <c r="S191" s="88"/>
      <c r="T191" s="59"/>
      <c r="U191" s="59"/>
      <c r="V191" s="59"/>
      <c r="W191" s="59"/>
      <c r="X191" s="59"/>
    </row>
    <row r="192">
      <c r="A192" s="59"/>
      <c r="B192" s="59"/>
      <c r="C192" s="7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88"/>
      <c r="P192" s="90"/>
      <c r="Q192" s="88"/>
      <c r="R192" s="88"/>
      <c r="S192" s="88"/>
      <c r="T192" s="59"/>
      <c r="U192" s="59"/>
      <c r="V192" s="59"/>
      <c r="W192" s="59"/>
      <c r="X192" s="59"/>
    </row>
    <row r="193">
      <c r="A193" s="59"/>
      <c r="B193" s="59"/>
      <c r="C193" s="7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88"/>
      <c r="P193" s="90"/>
      <c r="Q193" s="88"/>
      <c r="R193" s="88"/>
      <c r="S193" s="88"/>
      <c r="T193" s="59"/>
      <c r="U193" s="59"/>
      <c r="V193" s="59"/>
      <c r="W193" s="59"/>
      <c r="X193" s="59"/>
    </row>
    <row r="194">
      <c r="A194" s="59"/>
      <c r="B194" s="59"/>
      <c r="C194" s="7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88"/>
      <c r="P194" s="90"/>
      <c r="Q194" s="88"/>
      <c r="R194" s="88"/>
      <c r="S194" s="88"/>
      <c r="T194" s="59"/>
      <c r="U194" s="59"/>
      <c r="V194" s="59"/>
      <c r="W194" s="59"/>
      <c r="X194" s="59"/>
    </row>
    <row r="195">
      <c r="A195" s="59"/>
      <c r="B195" s="59"/>
      <c r="C195" s="7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88"/>
      <c r="P195" s="90"/>
      <c r="Q195" s="88"/>
      <c r="R195" s="88"/>
      <c r="S195" s="88"/>
      <c r="T195" s="59"/>
      <c r="U195" s="59"/>
      <c r="V195" s="59"/>
      <c r="W195" s="59"/>
      <c r="X195" s="59"/>
    </row>
    <row r="196">
      <c r="A196" s="59"/>
      <c r="B196" s="59"/>
      <c r="C196" s="7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88"/>
      <c r="P196" s="90"/>
      <c r="Q196" s="88"/>
      <c r="R196" s="88"/>
      <c r="S196" s="88"/>
      <c r="T196" s="59"/>
      <c r="U196" s="59"/>
      <c r="V196" s="59"/>
      <c r="W196" s="59"/>
      <c r="X196" s="59"/>
    </row>
    <row r="197">
      <c r="A197" s="59"/>
      <c r="B197" s="59"/>
      <c r="C197" s="7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88"/>
      <c r="P197" s="90"/>
      <c r="Q197" s="88"/>
      <c r="R197" s="88"/>
      <c r="S197" s="88"/>
      <c r="T197" s="59"/>
      <c r="U197" s="59"/>
      <c r="V197" s="59"/>
      <c r="W197" s="59"/>
      <c r="X197" s="59"/>
    </row>
    <row r="198">
      <c r="A198" s="59"/>
      <c r="B198" s="59"/>
      <c r="C198" s="7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88"/>
      <c r="P198" s="90"/>
      <c r="Q198" s="88"/>
      <c r="R198" s="88"/>
      <c r="S198" s="88"/>
      <c r="T198" s="59"/>
      <c r="U198" s="59"/>
      <c r="V198" s="59"/>
      <c r="W198" s="59"/>
      <c r="X198" s="59"/>
    </row>
    <row r="199">
      <c r="A199" s="59"/>
      <c r="B199" s="59"/>
      <c r="C199" s="7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88"/>
      <c r="P199" s="90"/>
      <c r="Q199" s="88"/>
      <c r="R199" s="88"/>
      <c r="S199" s="88"/>
      <c r="T199" s="59"/>
      <c r="U199" s="59"/>
      <c r="V199" s="59"/>
      <c r="W199" s="59"/>
      <c r="X199" s="59"/>
    </row>
    <row r="200">
      <c r="A200" s="59"/>
      <c r="B200" s="59"/>
      <c r="C200" s="7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88"/>
      <c r="P200" s="90"/>
      <c r="Q200" s="88"/>
      <c r="R200" s="88"/>
      <c r="S200" s="88"/>
      <c r="T200" s="59"/>
      <c r="U200" s="59"/>
      <c r="V200" s="59"/>
      <c r="W200" s="59"/>
      <c r="X200" s="59"/>
    </row>
    <row r="201">
      <c r="A201" s="59"/>
      <c r="B201" s="59"/>
      <c r="C201" s="7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88"/>
      <c r="P201" s="90"/>
      <c r="Q201" s="88"/>
      <c r="R201" s="88"/>
      <c r="S201" s="88"/>
      <c r="T201" s="59"/>
      <c r="U201" s="59"/>
      <c r="V201" s="59"/>
      <c r="W201" s="59"/>
      <c r="X201" s="59"/>
    </row>
    <row r="202">
      <c r="A202" s="59"/>
      <c r="B202" s="59"/>
      <c r="C202" s="7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88"/>
      <c r="P202" s="90"/>
      <c r="Q202" s="88"/>
      <c r="R202" s="88"/>
      <c r="S202" s="88"/>
      <c r="T202" s="59"/>
      <c r="U202" s="59"/>
      <c r="V202" s="59"/>
      <c r="W202" s="59"/>
      <c r="X202" s="59"/>
    </row>
    <row r="203">
      <c r="A203" s="59"/>
      <c r="B203" s="59"/>
      <c r="C203" s="7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88"/>
      <c r="P203" s="90"/>
      <c r="Q203" s="88"/>
      <c r="R203" s="88"/>
      <c r="S203" s="88"/>
      <c r="T203" s="59"/>
      <c r="U203" s="59"/>
      <c r="V203" s="59"/>
      <c r="W203" s="59"/>
      <c r="X203" s="59"/>
    </row>
    <row r="204">
      <c r="A204" s="59"/>
      <c r="B204" s="59"/>
      <c r="C204" s="7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88"/>
      <c r="P204" s="90"/>
      <c r="Q204" s="88"/>
      <c r="R204" s="88"/>
      <c r="S204" s="88"/>
      <c r="T204" s="59"/>
      <c r="U204" s="59"/>
      <c r="V204" s="59"/>
      <c r="W204" s="59"/>
      <c r="X204" s="59"/>
    </row>
    <row r="205">
      <c r="A205" s="59"/>
      <c r="B205" s="59"/>
      <c r="C205" s="7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88"/>
      <c r="P205" s="90"/>
      <c r="Q205" s="88"/>
      <c r="R205" s="88"/>
      <c r="S205" s="88"/>
      <c r="T205" s="59"/>
      <c r="U205" s="59"/>
      <c r="V205" s="59"/>
      <c r="W205" s="59"/>
      <c r="X205" s="59"/>
    </row>
    <row r="206">
      <c r="A206" s="59"/>
      <c r="B206" s="59"/>
      <c r="C206" s="7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88"/>
      <c r="P206" s="90"/>
      <c r="Q206" s="88"/>
      <c r="R206" s="88"/>
      <c r="S206" s="88"/>
      <c r="T206" s="59"/>
      <c r="U206" s="59"/>
      <c r="V206" s="59"/>
      <c r="W206" s="59"/>
      <c r="X206" s="59"/>
    </row>
    <row r="207">
      <c r="A207" s="59"/>
      <c r="B207" s="59"/>
      <c r="C207" s="7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88"/>
      <c r="P207" s="90"/>
      <c r="Q207" s="88"/>
      <c r="R207" s="88"/>
      <c r="S207" s="88"/>
      <c r="T207" s="59"/>
      <c r="U207" s="59"/>
      <c r="V207" s="59"/>
      <c r="W207" s="59"/>
      <c r="X207" s="59"/>
    </row>
    <row r="208">
      <c r="A208" s="59"/>
      <c r="B208" s="59"/>
      <c r="C208" s="7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88"/>
      <c r="P208" s="90"/>
      <c r="Q208" s="88"/>
      <c r="R208" s="88"/>
      <c r="S208" s="88"/>
      <c r="T208" s="59"/>
      <c r="U208" s="59"/>
      <c r="V208" s="59"/>
      <c r="W208" s="59"/>
      <c r="X208" s="59"/>
    </row>
    <row r="209">
      <c r="A209" s="59"/>
      <c r="B209" s="59"/>
      <c r="C209" s="7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88"/>
      <c r="P209" s="90"/>
      <c r="Q209" s="88"/>
      <c r="R209" s="88"/>
      <c r="S209" s="88"/>
      <c r="T209" s="59"/>
      <c r="U209" s="59"/>
      <c r="V209" s="59"/>
      <c r="W209" s="59"/>
      <c r="X209" s="59"/>
    </row>
    <row r="210">
      <c r="A210" s="59"/>
      <c r="B210" s="59"/>
      <c r="C210" s="7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88"/>
      <c r="P210" s="90"/>
      <c r="Q210" s="88"/>
      <c r="R210" s="88"/>
      <c r="S210" s="88"/>
      <c r="T210" s="59"/>
      <c r="U210" s="59"/>
      <c r="V210" s="59"/>
      <c r="W210" s="59"/>
      <c r="X210" s="59"/>
    </row>
    <row r="211">
      <c r="A211" s="59"/>
      <c r="B211" s="59"/>
      <c r="C211" s="7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88"/>
      <c r="P211" s="90"/>
      <c r="Q211" s="88"/>
      <c r="R211" s="88"/>
      <c r="S211" s="88"/>
      <c r="T211" s="59"/>
      <c r="U211" s="59"/>
      <c r="V211" s="59"/>
      <c r="W211" s="59"/>
      <c r="X211" s="59"/>
    </row>
    <row r="212">
      <c r="A212" s="59"/>
      <c r="B212" s="59"/>
      <c r="C212" s="7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88"/>
      <c r="P212" s="90"/>
      <c r="Q212" s="88"/>
      <c r="R212" s="88"/>
      <c r="S212" s="88"/>
      <c r="T212" s="59"/>
      <c r="U212" s="59"/>
      <c r="V212" s="59"/>
      <c r="W212" s="59"/>
      <c r="X212" s="59"/>
    </row>
    <row r="213">
      <c r="A213" s="59"/>
      <c r="B213" s="59"/>
      <c r="C213" s="7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88"/>
      <c r="P213" s="90"/>
      <c r="Q213" s="88"/>
      <c r="R213" s="88"/>
      <c r="S213" s="88"/>
      <c r="T213" s="59"/>
      <c r="U213" s="59"/>
      <c r="V213" s="59"/>
      <c r="W213" s="59"/>
      <c r="X213" s="59"/>
    </row>
    <row r="214">
      <c r="A214" s="59"/>
      <c r="B214" s="59"/>
      <c r="C214" s="7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88"/>
      <c r="P214" s="90"/>
      <c r="Q214" s="88"/>
      <c r="R214" s="88"/>
      <c r="S214" s="88"/>
      <c r="T214" s="59"/>
      <c r="U214" s="59"/>
      <c r="V214" s="59"/>
      <c r="W214" s="59"/>
      <c r="X214" s="59"/>
    </row>
    <row r="215">
      <c r="A215" s="59"/>
      <c r="B215" s="59"/>
      <c r="C215" s="7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88"/>
      <c r="P215" s="90"/>
      <c r="Q215" s="88"/>
      <c r="R215" s="88"/>
      <c r="S215" s="88"/>
      <c r="T215" s="59"/>
      <c r="U215" s="59"/>
      <c r="V215" s="59"/>
      <c r="W215" s="59"/>
      <c r="X215" s="59"/>
    </row>
    <row r="216">
      <c r="A216" s="59"/>
      <c r="B216" s="59"/>
      <c r="C216" s="7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88"/>
      <c r="P216" s="90"/>
      <c r="Q216" s="88"/>
      <c r="R216" s="88"/>
      <c r="S216" s="88"/>
      <c r="T216" s="59"/>
      <c r="U216" s="59"/>
      <c r="V216" s="59"/>
      <c r="W216" s="59"/>
      <c r="X216" s="59"/>
    </row>
    <row r="217">
      <c r="A217" s="59"/>
      <c r="B217" s="59"/>
      <c r="C217" s="7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88"/>
      <c r="P217" s="90"/>
      <c r="Q217" s="88"/>
      <c r="R217" s="88"/>
      <c r="S217" s="88"/>
      <c r="T217" s="59"/>
      <c r="U217" s="59"/>
      <c r="V217" s="59"/>
      <c r="W217" s="59"/>
      <c r="X217" s="59"/>
    </row>
    <row r="218">
      <c r="A218" s="59"/>
      <c r="B218" s="59"/>
      <c r="C218" s="7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88"/>
      <c r="P218" s="90"/>
      <c r="Q218" s="88"/>
      <c r="R218" s="88"/>
      <c r="S218" s="88"/>
      <c r="T218" s="59"/>
      <c r="U218" s="59"/>
      <c r="V218" s="59"/>
      <c r="W218" s="59"/>
      <c r="X218" s="59"/>
    </row>
    <row r="219">
      <c r="A219" s="59"/>
      <c r="B219" s="59"/>
      <c r="C219" s="7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88"/>
      <c r="P219" s="90"/>
      <c r="Q219" s="88"/>
      <c r="R219" s="88"/>
      <c r="S219" s="88"/>
      <c r="T219" s="59"/>
      <c r="U219" s="59"/>
      <c r="V219" s="59"/>
      <c r="W219" s="59"/>
      <c r="X219" s="59"/>
    </row>
    <row r="220">
      <c r="A220" s="59"/>
      <c r="B220" s="59"/>
      <c r="C220" s="7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88"/>
      <c r="P220" s="90"/>
      <c r="Q220" s="88"/>
      <c r="R220" s="88"/>
      <c r="S220" s="88"/>
      <c r="T220" s="59"/>
      <c r="U220" s="59"/>
      <c r="V220" s="59"/>
      <c r="W220" s="59"/>
      <c r="X220" s="59"/>
    </row>
    <row r="221">
      <c r="A221" s="59"/>
      <c r="B221" s="59"/>
      <c r="C221" s="7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88"/>
      <c r="P221" s="90"/>
      <c r="Q221" s="88"/>
      <c r="R221" s="88"/>
      <c r="S221" s="88"/>
      <c r="T221" s="59"/>
      <c r="U221" s="59"/>
      <c r="V221" s="59"/>
      <c r="W221" s="59"/>
      <c r="X221" s="59"/>
    </row>
    <row r="222">
      <c r="A222" s="59"/>
      <c r="B222" s="59"/>
      <c r="C222" s="7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88"/>
      <c r="P222" s="90"/>
      <c r="Q222" s="88"/>
      <c r="R222" s="88"/>
      <c r="S222" s="88"/>
      <c r="T222" s="59"/>
      <c r="U222" s="59"/>
      <c r="V222" s="59"/>
      <c r="W222" s="59"/>
      <c r="X222" s="59"/>
    </row>
    <row r="223">
      <c r="A223" s="59"/>
      <c r="B223" s="59"/>
      <c r="C223" s="7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88"/>
      <c r="P223" s="90"/>
      <c r="Q223" s="88"/>
      <c r="R223" s="88"/>
      <c r="S223" s="88"/>
      <c r="T223" s="59"/>
      <c r="U223" s="59"/>
      <c r="V223" s="59"/>
      <c r="W223" s="59"/>
      <c r="X223" s="59"/>
    </row>
    <row r="224">
      <c r="A224" s="59"/>
      <c r="B224" s="59"/>
      <c r="C224" s="7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88"/>
      <c r="P224" s="90"/>
      <c r="Q224" s="88"/>
      <c r="R224" s="88"/>
      <c r="S224" s="88"/>
      <c r="T224" s="59"/>
      <c r="U224" s="59"/>
      <c r="V224" s="59"/>
      <c r="W224" s="59"/>
      <c r="X224" s="59"/>
    </row>
    <row r="225">
      <c r="A225" s="59"/>
      <c r="B225" s="59"/>
      <c r="C225" s="7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88"/>
      <c r="P225" s="90"/>
      <c r="Q225" s="88"/>
      <c r="R225" s="88"/>
      <c r="S225" s="88"/>
      <c r="T225" s="59"/>
      <c r="U225" s="59"/>
      <c r="V225" s="59"/>
      <c r="W225" s="59"/>
      <c r="X225" s="59"/>
    </row>
    <row r="226">
      <c r="A226" s="59"/>
      <c r="B226" s="59"/>
      <c r="C226" s="7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88"/>
      <c r="P226" s="90"/>
      <c r="Q226" s="88"/>
      <c r="R226" s="88"/>
      <c r="S226" s="88"/>
      <c r="T226" s="59"/>
      <c r="U226" s="59"/>
      <c r="V226" s="59"/>
      <c r="W226" s="59"/>
      <c r="X226" s="59"/>
    </row>
    <row r="227">
      <c r="A227" s="59"/>
      <c r="B227" s="59"/>
      <c r="C227" s="7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88"/>
      <c r="P227" s="90"/>
      <c r="Q227" s="88"/>
      <c r="R227" s="88"/>
      <c r="S227" s="88"/>
      <c r="T227" s="59"/>
      <c r="U227" s="59"/>
      <c r="V227" s="59"/>
      <c r="W227" s="59"/>
      <c r="X227" s="59"/>
    </row>
    <row r="228">
      <c r="A228" s="59"/>
      <c r="B228" s="59"/>
      <c r="C228" s="7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88"/>
      <c r="P228" s="90"/>
      <c r="Q228" s="88"/>
      <c r="R228" s="88"/>
      <c r="S228" s="88"/>
      <c r="T228" s="59"/>
      <c r="U228" s="59"/>
      <c r="V228" s="59"/>
      <c r="W228" s="59"/>
      <c r="X228" s="59"/>
    </row>
    <row r="229">
      <c r="A229" s="59"/>
      <c r="B229" s="59"/>
      <c r="C229" s="7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88"/>
      <c r="P229" s="90"/>
      <c r="Q229" s="88"/>
      <c r="R229" s="88"/>
      <c r="S229" s="88"/>
      <c r="T229" s="59"/>
      <c r="U229" s="59"/>
      <c r="V229" s="59"/>
      <c r="W229" s="59"/>
      <c r="X229" s="59"/>
    </row>
    <row r="230">
      <c r="A230" s="59"/>
      <c r="B230" s="59"/>
      <c r="C230" s="7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88"/>
      <c r="P230" s="90"/>
      <c r="Q230" s="88"/>
      <c r="R230" s="88"/>
      <c r="S230" s="88"/>
      <c r="T230" s="59"/>
      <c r="U230" s="59"/>
      <c r="V230" s="59"/>
      <c r="W230" s="59"/>
      <c r="X230" s="59"/>
    </row>
    <row r="231">
      <c r="A231" s="59"/>
      <c r="B231" s="59"/>
      <c r="C231" s="7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88"/>
      <c r="P231" s="90"/>
      <c r="Q231" s="88"/>
      <c r="R231" s="88"/>
      <c r="S231" s="88"/>
      <c r="T231" s="59"/>
      <c r="U231" s="59"/>
      <c r="V231" s="59"/>
      <c r="W231" s="59"/>
      <c r="X231" s="59"/>
    </row>
    <row r="232">
      <c r="A232" s="59"/>
      <c r="B232" s="59"/>
      <c r="C232" s="7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88"/>
      <c r="P232" s="90"/>
      <c r="Q232" s="88"/>
      <c r="R232" s="88"/>
      <c r="S232" s="88"/>
      <c r="T232" s="59"/>
      <c r="U232" s="59"/>
      <c r="V232" s="59"/>
      <c r="W232" s="59"/>
      <c r="X232" s="59"/>
    </row>
    <row r="233">
      <c r="A233" s="59"/>
      <c r="B233" s="59"/>
      <c r="C233" s="7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88"/>
      <c r="P233" s="90"/>
      <c r="Q233" s="88"/>
      <c r="R233" s="88"/>
      <c r="S233" s="88"/>
      <c r="T233" s="59"/>
      <c r="U233" s="59"/>
      <c r="V233" s="59"/>
      <c r="W233" s="59"/>
      <c r="X233" s="59"/>
    </row>
    <row r="234">
      <c r="A234" s="59"/>
      <c r="B234" s="59"/>
      <c r="C234" s="7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88"/>
      <c r="P234" s="90"/>
      <c r="Q234" s="88"/>
      <c r="R234" s="88"/>
      <c r="S234" s="88"/>
      <c r="T234" s="59"/>
      <c r="U234" s="59"/>
      <c r="V234" s="59"/>
      <c r="W234" s="59"/>
      <c r="X234" s="59"/>
    </row>
    <row r="235">
      <c r="A235" s="59"/>
      <c r="B235" s="59"/>
      <c r="C235" s="7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88"/>
      <c r="P235" s="90"/>
      <c r="Q235" s="88"/>
      <c r="R235" s="88"/>
      <c r="S235" s="88"/>
      <c r="T235" s="59"/>
      <c r="U235" s="59"/>
      <c r="V235" s="59"/>
      <c r="W235" s="59"/>
      <c r="X235" s="59"/>
    </row>
    <row r="236">
      <c r="A236" s="59"/>
      <c r="B236" s="59"/>
      <c r="C236" s="7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88"/>
      <c r="P236" s="90"/>
      <c r="Q236" s="88"/>
      <c r="R236" s="88"/>
      <c r="S236" s="88"/>
      <c r="T236" s="59"/>
      <c r="U236" s="59"/>
      <c r="V236" s="59"/>
      <c r="W236" s="59"/>
      <c r="X236" s="59"/>
    </row>
    <row r="237">
      <c r="A237" s="59"/>
      <c r="B237" s="59"/>
      <c r="C237" s="7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88"/>
      <c r="P237" s="90"/>
      <c r="Q237" s="88"/>
      <c r="R237" s="88"/>
      <c r="S237" s="88"/>
      <c r="T237" s="59"/>
      <c r="U237" s="59"/>
      <c r="V237" s="59"/>
      <c r="W237" s="59"/>
      <c r="X237" s="59"/>
    </row>
    <row r="238">
      <c r="A238" s="59"/>
      <c r="B238" s="59"/>
      <c r="C238" s="7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88"/>
      <c r="P238" s="90"/>
      <c r="Q238" s="88"/>
      <c r="R238" s="88"/>
      <c r="S238" s="88"/>
      <c r="T238" s="59"/>
      <c r="U238" s="59"/>
      <c r="V238" s="59"/>
      <c r="W238" s="59"/>
      <c r="X238" s="59"/>
    </row>
    <row r="239">
      <c r="A239" s="59"/>
      <c r="B239" s="59"/>
      <c r="C239" s="7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88"/>
      <c r="P239" s="90"/>
      <c r="Q239" s="88"/>
      <c r="R239" s="88"/>
      <c r="S239" s="88"/>
      <c r="T239" s="59"/>
      <c r="U239" s="59"/>
      <c r="V239" s="59"/>
      <c r="W239" s="59"/>
      <c r="X239" s="59"/>
    </row>
    <row r="240">
      <c r="A240" s="59"/>
      <c r="B240" s="59"/>
      <c r="C240" s="7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88"/>
      <c r="P240" s="90"/>
      <c r="Q240" s="88"/>
      <c r="R240" s="88"/>
      <c r="S240" s="88"/>
      <c r="T240" s="59"/>
      <c r="U240" s="59"/>
      <c r="V240" s="59"/>
      <c r="W240" s="59"/>
      <c r="X240" s="59"/>
    </row>
    <row r="241">
      <c r="A241" s="59"/>
      <c r="B241" s="59"/>
      <c r="C241" s="7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88"/>
      <c r="P241" s="90"/>
      <c r="Q241" s="88"/>
      <c r="R241" s="88"/>
      <c r="S241" s="88"/>
      <c r="T241" s="59"/>
      <c r="U241" s="59"/>
      <c r="V241" s="59"/>
      <c r="W241" s="59"/>
      <c r="X241" s="59"/>
    </row>
    <row r="242">
      <c r="A242" s="59"/>
      <c r="B242" s="59"/>
      <c r="C242" s="7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88"/>
      <c r="P242" s="90"/>
      <c r="Q242" s="88"/>
      <c r="R242" s="88"/>
      <c r="S242" s="88"/>
      <c r="T242" s="59"/>
      <c r="U242" s="59"/>
      <c r="V242" s="59"/>
      <c r="W242" s="59"/>
      <c r="X242" s="59"/>
    </row>
    <row r="243">
      <c r="A243" s="59"/>
      <c r="B243" s="59"/>
      <c r="C243" s="7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88"/>
      <c r="P243" s="90"/>
      <c r="Q243" s="88"/>
      <c r="R243" s="88"/>
      <c r="S243" s="88"/>
      <c r="T243" s="59"/>
      <c r="U243" s="59"/>
      <c r="V243" s="59"/>
      <c r="W243" s="59"/>
      <c r="X243" s="59"/>
    </row>
    <row r="244">
      <c r="A244" s="59"/>
      <c r="B244" s="59"/>
      <c r="C244" s="7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88"/>
      <c r="P244" s="90"/>
      <c r="Q244" s="88"/>
      <c r="R244" s="88"/>
      <c r="S244" s="88"/>
      <c r="T244" s="59"/>
      <c r="U244" s="59"/>
      <c r="V244" s="59"/>
      <c r="W244" s="59"/>
      <c r="X244" s="59"/>
    </row>
    <row r="245">
      <c r="A245" s="59"/>
      <c r="B245" s="59"/>
      <c r="C245" s="7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88"/>
      <c r="P245" s="90"/>
      <c r="Q245" s="88"/>
      <c r="R245" s="88"/>
      <c r="S245" s="88"/>
      <c r="T245" s="59"/>
      <c r="U245" s="59"/>
      <c r="V245" s="59"/>
      <c r="W245" s="59"/>
      <c r="X245" s="59"/>
    </row>
    <row r="246">
      <c r="A246" s="59"/>
      <c r="B246" s="59"/>
      <c r="C246" s="7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88"/>
      <c r="P246" s="90"/>
      <c r="Q246" s="88"/>
      <c r="R246" s="88"/>
      <c r="S246" s="88"/>
      <c r="T246" s="59"/>
      <c r="U246" s="59"/>
      <c r="V246" s="59"/>
      <c r="W246" s="59"/>
      <c r="X246" s="59"/>
    </row>
    <row r="247">
      <c r="A247" s="59"/>
      <c r="B247" s="59"/>
      <c r="C247" s="7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88"/>
      <c r="P247" s="90"/>
      <c r="Q247" s="88"/>
      <c r="R247" s="88"/>
      <c r="S247" s="88"/>
      <c r="T247" s="59"/>
      <c r="U247" s="59"/>
      <c r="V247" s="59"/>
      <c r="W247" s="59"/>
      <c r="X247" s="59"/>
    </row>
    <row r="248">
      <c r="A248" s="59"/>
      <c r="B248" s="59"/>
      <c r="C248" s="7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88"/>
      <c r="P248" s="90"/>
      <c r="Q248" s="88"/>
      <c r="R248" s="88"/>
      <c r="S248" s="88"/>
      <c r="T248" s="59"/>
      <c r="U248" s="59"/>
      <c r="V248" s="59"/>
      <c r="W248" s="59"/>
      <c r="X248" s="59"/>
    </row>
    <row r="249">
      <c r="A249" s="59"/>
      <c r="B249" s="59"/>
      <c r="C249" s="7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88"/>
      <c r="P249" s="90"/>
      <c r="Q249" s="88"/>
      <c r="R249" s="88"/>
      <c r="S249" s="88"/>
      <c r="T249" s="59"/>
      <c r="U249" s="59"/>
      <c r="V249" s="59"/>
      <c r="W249" s="59"/>
      <c r="X249" s="59"/>
    </row>
    <row r="250">
      <c r="A250" s="59"/>
      <c r="B250" s="59"/>
      <c r="C250" s="7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88"/>
      <c r="P250" s="90"/>
      <c r="Q250" s="88"/>
      <c r="R250" s="88"/>
      <c r="S250" s="88"/>
      <c r="T250" s="59"/>
      <c r="U250" s="59"/>
      <c r="V250" s="59"/>
      <c r="W250" s="59"/>
      <c r="X250" s="59"/>
    </row>
    <row r="251">
      <c r="A251" s="59"/>
      <c r="B251" s="59"/>
      <c r="C251" s="7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88"/>
      <c r="P251" s="90"/>
      <c r="Q251" s="88"/>
      <c r="R251" s="88"/>
      <c r="S251" s="88"/>
      <c r="T251" s="59"/>
      <c r="U251" s="59"/>
      <c r="V251" s="59"/>
      <c r="W251" s="59"/>
      <c r="X251" s="59"/>
    </row>
    <row r="252">
      <c r="A252" s="59"/>
      <c r="B252" s="59"/>
      <c r="C252" s="7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88"/>
      <c r="P252" s="90"/>
      <c r="Q252" s="88"/>
      <c r="R252" s="88"/>
      <c r="S252" s="88"/>
      <c r="T252" s="59"/>
      <c r="U252" s="59"/>
      <c r="V252" s="59"/>
      <c r="W252" s="59"/>
      <c r="X252" s="59"/>
    </row>
    <row r="253">
      <c r="A253" s="59"/>
      <c r="B253" s="59"/>
      <c r="C253" s="7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88"/>
      <c r="P253" s="90"/>
      <c r="Q253" s="88"/>
      <c r="R253" s="88"/>
      <c r="S253" s="88"/>
      <c r="T253" s="59"/>
      <c r="U253" s="59"/>
      <c r="V253" s="59"/>
      <c r="W253" s="59"/>
      <c r="X253" s="59"/>
    </row>
    <row r="254">
      <c r="A254" s="59"/>
      <c r="B254" s="59"/>
      <c r="C254" s="7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88"/>
      <c r="P254" s="90"/>
      <c r="Q254" s="88"/>
      <c r="R254" s="88"/>
      <c r="S254" s="88"/>
      <c r="T254" s="59"/>
      <c r="U254" s="59"/>
      <c r="V254" s="59"/>
      <c r="W254" s="59"/>
      <c r="X254" s="59"/>
    </row>
    <row r="255">
      <c r="A255" s="59"/>
      <c r="B255" s="59"/>
      <c r="C255" s="7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88"/>
      <c r="P255" s="90"/>
      <c r="Q255" s="88"/>
      <c r="R255" s="88"/>
      <c r="S255" s="88"/>
      <c r="T255" s="59"/>
      <c r="U255" s="59"/>
      <c r="V255" s="59"/>
      <c r="W255" s="59"/>
      <c r="X255" s="59"/>
    </row>
    <row r="256">
      <c r="A256" s="59"/>
      <c r="B256" s="59"/>
      <c r="C256" s="7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88"/>
      <c r="P256" s="90"/>
      <c r="Q256" s="88"/>
      <c r="R256" s="88"/>
      <c r="S256" s="88"/>
      <c r="T256" s="59"/>
      <c r="U256" s="59"/>
      <c r="V256" s="59"/>
      <c r="W256" s="59"/>
      <c r="X256" s="59"/>
    </row>
    <row r="257">
      <c r="A257" s="59"/>
      <c r="B257" s="59"/>
      <c r="C257" s="7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88"/>
      <c r="P257" s="90"/>
      <c r="Q257" s="88"/>
      <c r="R257" s="88"/>
      <c r="S257" s="88"/>
      <c r="T257" s="59"/>
      <c r="U257" s="59"/>
      <c r="V257" s="59"/>
      <c r="W257" s="59"/>
      <c r="X257" s="59"/>
    </row>
    <row r="258">
      <c r="A258" s="59"/>
      <c r="B258" s="59"/>
      <c r="C258" s="7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88"/>
      <c r="P258" s="90"/>
      <c r="Q258" s="88"/>
      <c r="R258" s="88"/>
      <c r="S258" s="88"/>
      <c r="T258" s="59"/>
      <c r="U258" s="59"/>
      <c r="V258" s="59"/>
      <c r="W258" s="59"/>
      <c r="X258" s="59"/>
    </row>
    <row r="259">
      <c r="A259" s="59"/>
      <c r="B259" s="59"/>
      <c r="C259" s="7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88"/>
      <c r="P259" s="90"/>
      <c r="Q259" s="88"/>
      <c r="R259" s="88"/>
      <c r="S259" s="88"/>
      <c r="T259" s="59"/>
      <c r="U259" s="59"/>
      <c r="V259" s="59"/>
      <c r="W259" s="59"/>
      <c r="X259" s="59"/>
    </row>
    <row r="260">
      <c r="A260" s="59"/>
      <c r="B260" s="59"/>
      <c r="C260" s="7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88"/>
      <c r="P260" s="90"/>
      <c r="Q260" s="88"/>
      <c r="R260" s="88"/>
      <c r="S260" s="88"/>
      <c r="T260" s="59"/>
      <c r="U260" s="59"/>
      <c r="V260" s="59"/>
      <c r="W260" s="59"/>
      <c r="X260" s="59"/>
    </row>
    <row r="261">
      <c r="A261" s="59"/>
      <c r="B261" s="59"/>
      <c r="C261" s="7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88"/>
      <c r="P261" s="90"/>
      <c r="Q261" s="88"/>
      <c r="R261" s="88"/>
      <c r="S261" s="88"/>
      <c r="T261" s="59"/>
      <c r="U261" s="59"/>
      <c r="V261" s="59"/>
      <c r="W261" s="59"/>
      <c r="X261" s="59"/>
    </row>
    <row r="262">
      <c r="A262" s="59"/>
      <c r="B262" s="59"/>
      <c r="C262" s="7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88"/>
      <c r="P262" s="90"/>
      <c r="Q262" s="88"/>
      <c r="R262" s="88"/>
      <c r="S262" s="88"/>
      <c r="T262" s="59"/>
      <c r="U262" s="59"/>
      <c r="V262" s="59"/>
      <c r="W262" s="59"/>
      <c r="X262" s="59"/>
    </row>
    <row r="263">
      <c r="A263" s="59"/>
      <c r="B263" s="59"/>
      <c r="C263" s="7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88"/>
      <c r="P263" s="90"/>
      <c r="Q263" s="88"/>
      <c r="R263" s="88"/>
      <c r="S263" s="88"/>
      <c r="T263" s="59"/>
      <c r="U263" s="59"/>
      <c r="V263" s="59"/>
      <c r="W263" s="59"/>
      <c r="X263" s="59"/>
    </row>
    <row r="264">
      <c r="A264" s="59"/>
      <c r="B264" s="59"/>
      <c r="C264" s="7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88"/>
      <c r="P264" s="90"/>
      <c r="Q264" s="88"/>
      <c r="R264" s="88"/>
      <c r="S264" s="88"/>
      <c r="T264" s="59"/>
      <c r="U264" s="59"/>
      <c r="V264" s="59"/>
      <c r="W264" s="59"/>
      <c r="X264" s="59"/>
    </row>
    <row r="265">
      <c r="A265" s="59"/>
      <c r="B265" s="59"/>
      <c r="C265" s="7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88"/>
      <c r="P265" s="90"/>
      <c r="Q265" s="88"/>
      <c r="R265" s="88"/>
      <c r="S265" s="88"/>
      <c r="T265" s="59"/>
      <c r="U265" s="59"/>
      <c r="V265" s="59"/>
      <c r="W265" s="59"/>
      <c r="X265" s="59"/>
    </row>
    <row r="266">
      <c r="A266" s="59"/>
      <c r="B266" s="59"/>
      <c r="C266" s="7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88"/>
      <c r="P266" s="90"/>
      <c r="Q266" s="88"/>
      <c r="R266" s="88"/>
      <c r="S266" s="88"/>
      <c r="T266" s="59"/>
      <c r="U266" s="59"/>
      <c r="V266" s="59"/>
      <c r="W266" s="59"/>
      <c r="X266" s="59"/>
    </row>
    <row r="267">
      <c r="A267" s="59"/>
      <c r="B267" s="59"/>
      <c r="C267" s="7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88"/>
      <c r="P267" s="90"/>
      <c r="Q267" s="88"/>
      <c r="R267" s="88"/>
      <c r="S267" s="88"/>
      <c r="T267" s="59"/>
      <c r="U267" s="59"/>
      <c r="V267" s="59"/>
      <c r="W267" s="59"/>
      <c r="X267" s="59"/>
    </row>
    <row r="268">
      <c r="A268" s="59"/>
      <c r="B268" s="59"/>
      <c r="C268" s="7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88"/>
      <c r="P268" s="90"/>
      <c r="Q268" s="88"/>
      <c r="R268" s="88"/>
      <c r="S268" s="88"/>
      <c r="T268" s="59"/>
      <c r="U268" s="59"/>
      <c r="V268" s="59"/>
      <c r="W268" s="59"/>
      <c r="X268" s="59"/>
    </row>
    <row r="269">
      <c r="A269" s="59"/>
      <c r="B269" s="59"/>
      <c r="C269" s="7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88"/>
      <c r="P269" s="90"/>
      <c r="Q269" s="88"/>
      <c r="R269" s="88"/>
      <c r="S269" s="88"/>
      <c r="T269" s="59"/>
      <c r="U269" s="59"/>
      <c r="V269" s="59"/>
      <c r="W269" s="59"/>
      <c r="X269" s="59"/>
    </row>
    <row r="270">
      <c r="A270" s="59"/>
      <c r="B270" s="59"/>
      <c r="C270" s="7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88"/>
      <c r="P270" s="90"/>
      <c r="Q270" s="88"/>
      <c r="R270" s="88"/>
      <c r="S270" s="88"/>
      <c r="T270" s="59"/>
      <c r="U270" s="59"/>
      <c r="V270" s="59"/>
      <c r="W270" s="59"/>
      <c r="X270" s="59"/>
    </row>
    <row r="271">
      <c r="A271" s="59"/>
      <c r="B271" s="59"/>
      <c r="C271" s="7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88"/>
      <c r="P271" s="90"/>
      <c r="Q271" s="88"/>
      <c r="R271" s="88"/>
      <c r="S271" s="88"/>
      <c r="T271" s="59"/>
      <c r="U271" s="59"/>
      <c r="V271" s="59"/>
      <c r="W271" s="59"/>
      <c r="X271" s="59"/>
    </row>
    <row r="272">
      <c r="A272" s="59"/>
      <c r="B272" s="59"/>
      <c r="C272" s="7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88"/>
      <c r="P272" s="90"/>
      <c r="Q272" s="88"/>
      <c r="R272" s="88"/>
      <c r="S272" s="88"/>
      <c r="T272" s="59"/>
      <c r="U272" s="59"/>
      <c r="V272" s="59"/>
      <c r="W272" s="59"/>
      <c r="X272" s="59"/>
    </row>
    <row r="273">
      <c r="A273" s="59"/>
      <c r="B273" s="59"/>
      <c r="C273" s="7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88"/>
      <c r="P273" s="90"/>
      <c r="Q273" s="88"/>
      <c r="R273" s="88"/>
      <c r="S273" s="88"/>
      <c r="T273" s="59"/>
      <c r="U273" s="59"/>
      <c r="V273" s="59"/>
      <c r="W273" s="59"/>
      <c r="X273" s="59"/>
    </row>
    <row r="274">
      <c r="A274" s="59"/>
      <c r="B274" s="59"/>
      <c r="C274" s="7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88"/>
      <c r="P274" s="90"/>
      <c r="Q274" s="88"/>
      <c r="R274" s="88"/>
      <c r="S274" s="88"/>
      <c r="T274" s="59"/>
      <c r="U274" s="59"/>
      <c r="V274" s="59"/>
      <c r="W274" s="59"/>
      <c r="X274" s="59"/>
    </row>
    <row r="275">
      <c r="A275" s="59"/>
      <c r="B275" s="59"/>
      <c r="C275" s="7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88"/>
      <c r="P275" s="90"/>
      <c r="Q275" s="88"/>
      <c r="R275" s="88"/>
      <c r="S275" s="88"/>
      <c r="T275" s="59"/>
      <c r="U275" s="59"/>
      <c r="V275" s="59"/>
      <c r="W275" s="59"/>
      <c r="X275" s="59"/>
    </row>
    <row r="276">
      <c r="A276" s="59"/>
      <c r="B276" s="59"/>
      <c r="C276" s="7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88"/>
      <c r="P276" s="90"/>
      <c r="Q276" s="88"/>
      <c r="R276" s="88"/>
      <c r="S276" s="88"/>
      <c r="T276" s="59"/>
      <c r="U276" s="59"/>
      <c r="V276" s="59"/>
      <c r="W276" s="59"/>
      <c r="X276" s="59"/>
    </row>
    <row r="277">
      <c r="A277" s="59"/>
      <c r="B277" s="59"/>
      <c r="C277" s="7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88"/>
      <c r="P277" s="90"/>
      <c r="Q277" s="88"/>
      <c r="R277" s="88"/>
      <c r="S277" s="88"/>
      <c r="T277" s="59"/>
      <c r="U277" s="59"/>
      <c r="V277" s="59"/>
      <c r="W277" s="59"/>
      <c r="X277" s="59"/>
    </row>
    <row r="278">
      <c r="A278" s="59"/>
      <c r="B278" s="59"/>
      <c r="C278" s="7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88"/>
      <c r="P278" s="90"/>
      <c r="Q278" s="88"/>
      <c r="R278" s="88"/>
      <c r="S278" s="88"/>
      <c r="T278" s="59"/>
      <c r="U278" s="59"/>
      <c r="V278" s="59"/>
      <c r="W278" s="59"/>
      <c r="X278" s="59"/>
    </row>
    <row r="279">
      <c r="A279" s="59"/>
      <c r="B279" s="59"/>
      <c r="C279" s="7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88"/>
      <c r="P279" s="90"/>
      <c r="Q279" s="88"/>
      <c r="R279" s="88"/>
      <c r="S279" s="88"/>
      <c r="T279" s="59"/>
      <c r="U279" s="59"/>
      <c r="V279" s="59"/>
      <c r="W279" s="59"/>
      <c r="X279" s="59"/>
    </row>
    <row r="280">
      <c r="A280" s="59"/>
      <c r="B280" s="59"/>
      <c r="C280" s="7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88"/>
      <c r="P280" s="90"/>
      <c r="Q280" s="88"/>
      <c r="R280" s="88"/>
      <c r="S280" s="88"/>
      <c r="T280" s="59"/>
      <c r="U280" s="59"/>
      <c r="V280" s="59"/>
      <c r="W280" s="59"/>
      <c r="X280" s="59"/>
    </row>
    <row r="281">
      <c r="A281" s="59"/>
      <c r="B281" s="59"/>
      <c r="C281" s="7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88"/>
      <c r="P281" s="90"/>
      <c r="Q281" s="88"/>
      <c r="R281" s="88"/>
      <c r="S281" s="88"/>
      <c r="T281" s="59"/>
      <c r="U281" s="59"/>
      <c r="V281" s="59"/>
      <c r="W281" s="59"/>
      <c r="X281" s="59"/>
    </row>
    <row r="282">
      <c r="A282" s="59"/>
      <c r="B282" s="59"/>
      <c r="C282" s="7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88"/>
      <c r="P282" s="90"/>
      <c r="Q282" s="88"/>
      <c r="R282" s="88"/>
      <c r="S282" s="88"/>
      <c r="T282" s="59"/>
      <c r="U282" s="59"/>
      <c r="V282" s="59"/>
      <c r="W282" s="59"/>
      <c r="X282" s="59"/>
    </row>
    <row r="283">
      <c r="A283" s="59"/>
      <c r="B283" s="59"/>
      <c r="C283" s="7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88"/>
      <c r="P283" s="90"/>
      <c r="Q283" s="88"/>
      <c r="R283" s="88"/>
      <c r="S283" s="88"/>
      <c r="T283" s="59"/>
      <c r="U283" s="59"/>
      <c r="V283" s="59"/>
      <c r="W283" s="59"/>
      <c r="X283" s="59"/>
    </row>
    <row r="284">
      <c r="A284" s="59"/>
      <c r="B284" s="59"/>
      <c r="C284" s="7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88"/>
      <c r="P284" s="90"/>
      <c r="Q284" s="88"/>
      <c r="R284" s="88"/>
      <c r="S284" s="88"/>
      <c r="T284" s="59"/>
      <c r="U284" s="59"/>
      <c r="V284" s="59"/>
      <c r="W284" s="59"/>
      <c r="X284" s="59"/>
    </row>
    <row r="285">
      <c r="A285" s="59"/>
      <c r="B285" s="59"/>
      <c r="C285" s="7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88"/>
      <c r="P285" s="90"/>
      <c r="Q285" s="88"/>
      <c r="R285" s="88"/>
      <c r="S285" s="88"/>
      <c r="T285" s="59"/>
      <c r="U285" s="59"/>
      <c r="V285" s="59"/>
      <c r="W285" s="59"/>
      <c r="X285" s="59"/>
    </row>
    <row r="286">
      <c r="A286" s="59"/>
      <c r="B286" s="59"/>
      <c r="C286" s="7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88"/>
      <c r="P286" s="90"/>
      <c r="Q286" s="88"/>
      <c r="R286" s="88"/>
      <c r="S286" s="88"/>
      <c r="T286" s="59"/>
      <c r="U286" s="59"/>
      <c r="V286" s="59"/>
      <c r="W286" s="59"/>
      <c r="X286" s="59"/>
    </row>
    <row r="287">
      <c r="A287" s="59"/>
      <c r="B287" s="59"/>
      <c r="C287" s="7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88"/>
      <c r="P287" s="90"/>
      <c r="Q287" s="88"/>
      <c r="R287" s="88"/>
      <c r="S287" s="88"/>
      <c r="T287" s="59"/>
      <c r="U287" s="59"/>
      <c r="V287" s="59"/>
      <c r="W287" s="59"/>
      <c r="X287" s="59"/>
    </row>
    <row r="288">
      <c r="A288" s="59"/>
      <c r="B288" s="59"/>
      <c r="C288" s="7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88"/>
      <c r="P288" s="90"/>
      <c r="Q288" s="88"/>
      <c r="R288" s="88"/>
      <c r="S288" s="88"/>
      <c r="T288" s="59"/>
      <c r="U288" s="59"/>
      <c r="V288" s="59"/>
      <c r="W288" s="59"/>
      <c r="X288" s="59"/>
    </row>
    <row r="289">
      <c r="A289" s="59"/>
      <c r="B289" s="59"/>
      <c r="C289" s="7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88"/>
      <c r="P289" s="90"/>
      <c r="Q289" s="88"/>
      <c r="R289" s="88"/>
      <c r="S289" s="88"/>
      <c r="T289" s="59"/>
      <c r="U289" s="59"/>
      <c r="V289" s="59"/>
      <c r="W289" s="59"/>
      <c r="X289" s="59"/>
    </row>
    <row r="290">
      <c r="A290" s="59"/>
      <c r="B290" s="59"/>
      <c r="C290" s="7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88"/>
      <c r="P290" s="90"/>
      <c r="Q290" s="88"/>
      <c r="R290" s="88"/>
      <c r="S290" s="88"/>
      <c r="T290" s="59"/>
      <c r="U290" s="59"/>
      <c r="V290" s="59"/>
      <c r="W290" s="59"/>
      <c r="X290" s="59"/>
    </row>
    <row r="291">
      <c r="A291" s="59"/>
      <c r="B291" s="59"/>
      <c r="C291" s="7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88"/>
      <c r="P291" s="90"/>
      <c r="Q291" s="88"/>
      <c r="R291" s="88"/>
      <c r="S291" s="88"/>
      <c r="T291" s="59"/>
      <c r="U291" s="59"/>
      <c r="V291" s="59"/>
      <c r="W291" s="59"/>
      <c r="X291" s="59"/>
    </row>
    <row r="292">
      <c r="A292" s="59"/>
      <c r="B292" s="59"/>
      <c r="C292" s="7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88"/>
      <c r="P292" s="90"/>
      <c r="Q292" s="88"/>
      <c r="R292" s="88"/>
      <c r="S292" s="88"/>
      <c r="T292" s="59"/>
      <c r="U292" s="59"/>
      <c r="V292" s="59"/>
      <c r="W292" s="59"/>
      <c r="X292" s="59"/>
    </row>
    <row r="293">
      <c r="A293" s="59"/>
      <c r="B293" s="59"/>
      <c r="C293" s="7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88"/>
      <c r="P293" s="90"/>
      <c r="Q293" s="88"/>
      <c r="R293" s="88"/>
      <c r="S293" s="88"/>
      <c r="T293" s="59"/>
      <c r="U293" s="59"/>
      <c r="V293" s="59"/>
      <c r="W293" s="59"/>
      <c r="X293" s="59"/>
    </row>
    <row r="294">
      <c r="A294" s="59"/>
      <c r="B294" s="59"/>
      <c r="C294" s="7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88"/>
      <c r="P294" s="90"/>
      <c r="Q294" s="88"/>
      <c r="R294" s="88"/>
      <c r="S294" s="88"/>
      <c r="T294" s="59"/>
      <c r="U294" s="59"/>
      <c r="V294" s="59"/>
      <c r="W294" s="59"/>
      <c r="X294" s="59"/>
    </row>
    <row r="295">
      <c r="A295" s="59"/>
      <c r="B295" s="59"/>
      <c r="C295" s="7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88"/>
      <c r="P295" s="90"/>
      <c r="Q295" s="88"/>
      <c r="R295" s="88"/>
      <c r="S295" s="88"/>
      <c r="T295" s="59"/>
      <c r="U295" s="59"/>
      <c r="V295" s="59"/>
      <c r="W295" s="59"/>
      <c r="X295" s="59"/>
    </row>
    <row r="296">
      <c r="A296" s="59"/>
      <c r="B296" s="59"/>
      <c r="C296" s="7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88"/>
      <c r="P296" s="90"/>
      <c r="Q296" s="88"/>
      <c r="R296" s="88"/>
      <c r="S296" s="88"/>
      <c r="T296" s="59"/>
      <c r="U296" s="59"/>
      <c r="V296" s="59"/>
      <c r="W296" s="59"/>
      <c r="X296" s="59"/>
    </row>
    <row r="297">
      <c r="A297" s="59"/>
      <c r="B297" s="59"/>
      <c r="C297" s="7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88"/>
      <c r="P297" s="90"/>
      <c r="Q297" s="88"/>
      <c r="R297" s="88"/>
      <c r="S297" s="88"/>
      <c r="T297" s="59"/>
      <c r="U297" s="59"/>
      <c r="V297" s="59"/>
      <c r="W297" s="59"/>
      <c r="X297" s="59"/>
    </row>
    <row r="298">
      <c r="A298" s="59"/>
      <c r="B298" s="59"/>
      <c r="C298" s="7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88"/>
      <c r="P298" s="90"/>
      <c r="Q298" s="88"/>
      <c r="R298" s="88"/>
      <c r="S298" s="88"/>
      <c r="T298" s="59"/>
      <c r="U298" s="59"/>
      <c r="V298" s="59"/>
      <c r="W298" s="59"/>
      <c r="X298" s="59"/>
    </row>
    <row r="299">
      <c r="A299" s="59"/>
      <c r="B299" s="59"/>
      <c r="C299" s="7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88"/>
      <c r="P299" s="90"/>
      <c r="Q299" s="88"/>
      <c r="R299" s="88"/>
      <c r="S299" s="88"/>
      <c r="T299" s="59"/>
      <c r="U299" s="59"/>
      <c r="V299" s="59"/>
      <c r="W299" s="59"/>
      <c r="X299" s="59"/>
    </row>
    <row r="300">
      <c r="A300" s="59"/>
      <c r="B300" s="59"/>
      <c r="C300" s="7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88"/>
      <c r="P300" s="90"/>
      <c r="Q300" s="88"/>
      <c r="R300" s="88"/>
      <c r="S300" s="88"/>
      <c r="T300" s="59"/>
      <c r="U300" s="59"/>
      <c r="V300" s="59"/>
      <c r="W300" s="59"/>
      <c r="X300" s="59"/>
    </row>
    <row r="301">
      <c r="A301" s="59"/>
      <c r="B301" s="59"/>
      <c r="C301" s="7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88"/>
      <c r="P301" s="90"/>
      <c r="Q301" s="88"/>
      <c r="R301" s="88"/>
      <c r="S301" s="88"/>
      <c r="T301" s="59"/>
      <c r="U301" s="59"/>
      <c r="V301" s="59"/>
      <c r="W301" s="59"/>
      <c r="X301" s="59"/>
    </row>
    <row r="302">
      <c r="A302" s="59"/>
      <c r="B302" s="59"/>
      <c r="C302" s="7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88"/>
      <c r="P302" s="90"/>
      <c r="Q302" s="88"/>
      <c r="R302" s="88"/>
      <c r="S302" s="88"/>
      <c r="T302" s="59"/>
      <c r="U302" s="59"/>
      <c r="V302" s="59"/>
      <c r="W302" s="59"/>
      <c r="X302" s="59"/>
    </row>
    <row r="303">
      <c r="A303" s="59"/>
      <c r="B303" s="59"/>
      <c r="C303" s="7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88"/>
      <c r="P303" s="90"/>
      <c r="Q303" s="88"/>
      <c r="R303" s="88"/>
      <c r="S303" s="88"/>
      <c r="T303" s="59"/>
      <c r="U303" s="59"/>
      <c r="V303" s="59"/>
      <c r="W303" s="59"/>
      <c r="X303" s="59"/>
    </row>
    <row r="304">
      <c r="A304" s="59"/>
      <c r="B304" s="59"/>
      <c r="C304" s="7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88"/>
      <c r="P304" s="90"/>
      <c r="Q304" s="88"/>
      <c r="R304" s="88"/>
      <c r="S304" s="88"/>
      <c r="T304" s="59"/>
      <c r="U304" s="59"/>
      <c r="V304" s="59"/>
      <c r="W304" s="59"/>
      <c r="X304" s="59"/>
    </row>
    <row r="305">
      <c r="A305" s="59"/>
      <c r="B305" s="59"/>
      <c r="C305" s="7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88"/>
      <c r="P305" s="90"/>
      <c r="Q305" s="88"/>
      <c r="R305" s="88"/>
      <c r="S305" s="88"/>
      <c r="T305" s="59"/>
      <c r="U305" s="59"/>
      <c r="V305" s="59"/>
      <c r="W305" s="59"/>
      <c r="X305" s="59"/>
    </row>
    <row r="306">
      <c r="A306" s="59"/>
      <c r="B306" s="59"/>
      <c r="C306" s="7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88"/>
      <c r="P306" s="90"/>
      <c r="Q306" s="88"/>
      <c r="R306" s="88"/>
      <c r="S306" s="88"/>
      <c r="T306" s="59"/>
      <c r="U306" s="59"/>
      <c r="V306" s="59"/>
      <c r="W306" s="59"/>
      <c r="X306" s="59"/>
    </row>
    <row r="307">
      <c r="A307" s="59"/>
      <c r="B307" s="59"/>
      <c r="C307" s="7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88"/>
      <c r="P307" s="90"/>
      <c r="Q307" s="88"/>
      <c r="R307" s="88"/>
      <c r="S307" s="88"/>
      <c r="T307" s="59"/>
      <c r="U307" s="59"/>
      <c r="V307" s="59"/>
      <c r="W307" s="59"/>
      <c r="X307" s="59"/>
    </row>
    <row r="308">
      <c r="A308" s="59"/>
      <c r="B308" s="59"/>
      <c r="C308" s="7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88"/>
      <c r="P308" s="90"/>
      <c r="Q308" s="88"/>
      <c r="R308" s="88"/>
      <c r="S308" s="88"/>
      <c r="T308" s="59"/>
      <c r="U308" s="59"/>
      <c r="V308" s="59"/>
      <c r="W308" s="59"/>
      <c r="X308" s="59"/>
    </row>
    <row r="309">
      <c r="A309" s="59"/>
      <c r="B309" s="59"/>
      <c r="C309" s="7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88"/>
      <c r="P309" s="90"/>
      <c r="Q309" s="88"/>
      <c r="R309" s="88"/>
      <c r="S309" s="88"/>
      <c r="T309" s="59"/>
      <c r="U309" s="59"/>
      <c r="V309" s="59"/>
      <c r="W309" s="59"/>
      <c r="X309" s="59"/>
    </row>
    <row r="310">
      <c r="A310" s="59"/>
      <c r="B310" s="59"/>
      <c r="C310" s="7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88"/>
      <c r="P310" s="90"/>
      <c r="Q310" s="88"/>
      <c r="R310" s="88"/>
      <c r="S310" s="88"/>
      <c r="T310" s="59"/>
      <c r="U310" s="59"/>
      <c r="V310" s="59"/>
      <c r="W310" s="59"/>
      <c r="X310" s="59"/>
    </row>
    <row r="311">
      <c r="A311" s="59"/>
      <c r="B311" s="59"/>
      <c r="C311" s="7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88"/>
      <c r="P311" s="90"/>
      <c r="Q311" s="88"/>
      <c r="R311" s="88"/>
      <c r="S311" s="88"/>
      <c r="T311" s="59"/>
      <c r="U311" s="59"/>
      <c r="V311" s="59"/>
      <c r="W311" s="59"/>
      <c r="X311" s="59"/>
    </row>
    <row r="312">
      <c r="A312" s="59"/>
      <c r="B312" s="59"/>
      <c r="C312" s="7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88"/>
      <c r="P312" s="90"/>
      <c r="Q312" s="88"/>
      <c r="R312" s="88"/>
      <c r="S312" s="88"/>
      <c r="T312" s="59"/>
      <c r="U312" s="59"/>
      <c r="V312" s="59"/>
      <c r="W312" s="59"/>
      <c r="X312" s="59"/>
    </row>
    <row r="313">
      <c r="A313" s="59"/>
      <c r="B313" s="59"/>
      <c r="C313" s="7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88"/>
      <c r="P313" s="90"/>
      <c r="Q313" s="88"/>
      <c r="R313" s="88"/>
      <c r="S313" s="88"/>
      <c r="T313" s="59"/>
      <c r="U313" s="59"/>
      <c r="V313" s="59"/>
      <c r="W313" s="59"/>
      <c r="X313" s="59"/>
    </row>
    <row r="314">
      <c r="A314" s="59"/>
      <c r="B314" s="59"/>
      <c r="C314" s="7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88"/>
      <c r="P314" s="90"/>
      <c r="Q314" s="88"/>
      <c r="R314" s="88"/>
      <c r="S314" s="88"/>
      <c r="T314" s="59"/>
      <c r="U314" s="59"/>
      <c r="V314" s="59"/>
      <c r="W314" s="59"/>
      <c r="X314" s="59"/>
    </row>
    <row r="315">
      <c r="A315" s="59"/>
      <c r="B315" s="59"/>
      <c r="C315" s="7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88"/>
      <c r="P315" s="90"/>
      <c r="Q315" s="88"/>
      <c r="R315" s="88"/>
      <c r="S315" s="88"/>
      <c r="T315" s="59"/>
      <c r="U315" s="59"/>
      <c r="V315" s="59"/>
      <c r="W315" s="59"/>
      <c r="X315" s="59"/>
    </row>
    <row r="316">
      <c r="A316" s="59"/>
      <c r="B316" s="59"/>
      <c r="C316" s="7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88"/>
      <c r="P316" s="90"/>
      <c r="Q316" s="88"/>
      <c r="R316" s="88"/>
      <c r="S316" s="88"/>
      <c r="T316" s="59"/>
      <c r="U316" s="59"/>
      <c r="V316" s="59"/>
      <c r="W316" s="59"/>
      <c r="X316" s="59"/>
    </row>
    <row r="317">
      <c r="A317" s="59"/>
      <c r="B317" s="59"/>
      <c r="C317" s="7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88"/>
      <c r="P317" s="90"/>
      <c r="Q317" s="88"/>
      <c r="R317" s="88"/>
      <c r="S317" s="88"/>
      <c r="T317" s="59"/>
      <c r="U317" s="59"/>
      <c r="V317" s="59"/>
      <c r="W317" s="59"/>
      <c r="X317" s="59"/>
    </row>
    <row r="318">
      <c r="A318" s="59"/>
      <c r="B318" s="59"/>
      <c r="C318" s="7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88"/>
      <c r="P318" s="90"/>
      <c r="Q318" s="88"/>
      <c r="R318" s="88"/>
      <c r="S318" s="88"/>
      <c r="T318" s="59"/>
      <c r="U318" s="59"/>
      <c r="V318" s="59"/>
      <c r="W318" s="59"/>
      <c r="X318" s="59"/>
    </row>
    <row r="319">
      <c r="A319" s="59"/>
      <c r="B319" s="59"/>
      <c r="C319" s="7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88"/>
      <c r="P319" s="90"/>
      <c r="Q319" s="88"/>
      <c r="R319" s="88"/>
      <c r="S319" s="88"/>
      <c r="T319" s="59"/>
      <c r="U319" s="59"/>
      <c r="V319" s="59"/>
      <c r="W319" s="59"/>
      <c r="X319" s="59"/>
    </row>
    <row r="320">
      <c r="A320" s="59"/>
      <c r="B320" s="59"/>
      <c r="C320" s="7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88"/>
      <c r="P320" s="90"/>
      <c r="Q320" s="88"/>
      <c r="R320" s="88"/>
      <c r="S320" s="88"/>
      <c r="T320" s="59"/>
      <c r="U320" s="59"/>
      <c r="V320" s="59"/>
      <c r="W320" s="59"/>
      <c r="X320" s="59"/>
    </row>
    <row r="321">
      <c r="A321" s="59"/>
      <c r="B321" s="59"/>
      <c r="C321" s="7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88"/>
      <c r="P321" s="90"/>
      <c r="Q321" s="88"/>
      <c r="R321" s="88"/>
      <c r="S321" s="88"/>
      <c r="T321" s="59"/>
      <c r="U321" s="59"/>
      <c r="V321" s="59"/>
      <c r="W321" s="59"/>
      <c r="X321" s="59"/>
    </row>
    <row r="322">
      <c r="A322" s="59"/>
      <c r="B322" s="59"/>
      <c r="C322" s="7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88"/>
      <c r="P322" s="90"/>
      <c r="Q322" s="88"/>
      <c r="R322" s="88"/>
      <c r="S322" s="88"/>
      <c r="T322" s="59"/>
      <c r="U322" s="59"/>
      <c r="V322" s="59"/>
      <c r="W322" s="59"/>
      <c r="X322" s="59"/>
    </row>
    <row r="323">
      <c r="A323" s="59"/>
      <c r="B323" s="59"/>
      <c r="C323" s="7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88"/>
      <c r="P323" s="90"/>
      <c r="Q323" s="88"/>
      <c r="R323" s="88"/>
      <c r="S323" s="88"/>
      <c r="T323" s="59"/>
      <c r="U323" s="59"/>
      <c r="V323" s="59"/>
      <c r="W323" s="59"/>
      <c r="X323" s="59"/>
    </row>
    <row r="324">
      <c r="A324" s="59"/>
      <c r="B324" s="59"/>
      <c r="C324" s="7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88"/>
      <c r="P324" s="90"/>
      <c r="Q324" s="88"/>
      <c r="R324" s="88"/>
      <c r="S324" s="88"/>
      <c r="T324" s="59"/>
      <c r="U324" s="59"/>
      <c r="V324" s="59"/>
      <c r="W324" s="59"/>
      <c r="X324" s="59"/>
    </row>
    <row r="325">
      <c r="A325" s="59"/>
      <c r="B325" s="59"/>
      <c r="C325" s="7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88"/>
      <c r="P325" s="90"/>
      <c r="Q325" s="88"/>
      <c r="R325" s="88"/>
      <c r="S325" s="88"/>
      <c r="T325" s="59"/>
      <c r="U325" s="59"/>
      <c r="V325" s="59"/>
      <c r="W325" s="59"/>
      <c r="X325" s="59"/>
    </row>
    <row r="326">
      <c r="A326" s="59"/>
      <c r="B326" s="59"/>
      <c r="C326" s="7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88"/>
      <c r="P326" s="90"/>
      <c r="Q326" s="88"/>
      <c r="R326" s="88"/>
      <c r="S326" s="88"/>
      <c r="T326" s="59"/>
      <c r="U326" s="59"/>
      <c r="V326" s="59"/>
      <c r="W326" s="59"/>
      <c r="X326" s="59"/>
    </row>
    <row r="327">
      <c r="A327" s="59"/>
      <c r="B327" s="59"/>
      <c r="C327" s="7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88"/>
      <c r="P327" s="90"/>
      <c r="Q327" s="88"/>
      <c r="R327" s="88"/>
      <c r="S327" s="88"/>
      <c r="T327" s="59"/>
      <c r="U327" s="59"/>
      <c r="V327" s="59"/>
      <c r="W327" s="59"/>
      <c r="X327" s="59"/>
    </row>
    <row r="328">
      <c r="A328" s="59"/>
      <c r="B328" s="59"/>
      <c r="C328" s="7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88"/>
      <c r="P328" s="90"/>
      <c r="Q328" s="88"/>
      <c r="R328" s="88"/>
      <c r="S328" s="88"/>
      <c r="T328" s="59"/>
      <c r="U328" s="59"/>
      <c r="V328" s="59"/>
      <c r="W328" s="59"/>
      <c r="X328" s="59"/>
    </row>
    <row r="329">
      <c r="A329" s="59"/>
      <c r="B329" s="59"/>
      <c r="C329" s="7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88"/>
      <c r="P329" s="90"/>
      <c r="Q329" s="88"/>
      <c r="R329" s="88"/>
      <c r="S329" s="88"/>
      <c r="T329" s="59"/>
      <c r="U329" s="59"/>
      <c r="V329" s="59"/>
      <c r="W329" s="59"/>
      <c r="X329" s="59"/>
    </row>
    <row r="330">
      <c r="A330" s="59"/>
      <c r="B330" s="59"/>
      <c r="C330" s="7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88"/>
      <c r="P330" s="90"/>
      <c r="Q330" s="88"/>
      <c r="R330" s="88"/>
      <c r="S330" s="88"/>
      <c r="T330" s="59"/>
      <c r="U330" s="59"/>
      <c r="V330" s="59"/>
      <c r="W330" s="59"/>
      <c r="X330" s="59"/>
    </row>
    <row r="331">
      <c r="A331" s="59"/>
      <c r="B331" s="59"/>
      <c r="C331" s="7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88"/>
      <c r="P331" s="90"/>
      <c r="Q331" s="88"/>
      <c r="R331" s="88"/>
      <c r="S331" s="88"/>
      <c r="T331" s="59"/>
      <c r="U331" s="59"/>
      <c r="V331" s="59"/>
      <c r="W331" s="59"/>
      <c r="X331" s="59"/>
    </row>
    <row r="332">
      <c r="A332" s="59"/>
      <c r="B332" s="59"/>
      <c r="C332" s="7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88"/>
      <c r="P332" s="90"/>
      <c r="Q332" s="88"/>
      <c r="R332" s="88"/>
      <c r="S332" s="88"/>
      <c r="T332" s="59"/>
      <c r="U332" s="59"/>
      <c r="V332" s="59"/>
      <c r="W332" s="59"/>
      <c r="X332" s="59"/>
    </row>
    <row r="333">
      <c r="A333" s="59"/>
      <c r="B333" s="59"/>
      <c r="C333" s="7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88"/>
      <c r="P333" s="90"/>
      <c r="Q333" s="88"/>
      <c r="R333" s="88"/>
      <c r="S333" s="88"/>
      <c r="T333" s="59"/>
      <c r="U333" s="59"/>
      <c r="V333" s="59"/>
      <c r="W333" s="59"/>
      <c r="X333" s="59"/>
    </row>
    <row r="334">
      <c r="A334" s="59"/>
      <c r="B334" s="59"/>
      <c r="C334" s="7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88"/>
      <c r="P334" s="90"/>
      <c r="Q334" s="88"/>
      <c r="R334" s="88"/>
      <c r="S334" s="88"/>
      <c r="T334" s="59"/>
      <c r="U334" s="59"/>
      <c r="V334" s="59"/>
      <c r="W334" s="59"/>
      <c r="X334" s="59"/>
    </row>
    <row r="335">
      <c r="A335" s="59"/>
      <c r="B335" s="59"/>
      <c r="C335" s="7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88"/>
      <c r="P335" s="90"/>
      <c r="Q335" s="88"/>
      <c r="R335" s="88"/>
      <c r="S335" s="88"/>
      <c r="T335" s="59"/>
      <c r="U335" s="59"/>
      <c r="V335" s="59"/>
      <c r="W335" s="59"/>
      <c r="X335" s="59"/>
    </row>
    <row r="336">
      <c r="A336" s="59"/>
      <c r="B336" s="59"/>
      <c r="C336" s="7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88"/>
      <c r="P336" s="90"/>
      <c r="Q336" s="88"/>
      <c r="R336" s="88"/>
      <c r="S336" s="88"/>
      <c r="T336" s="59"/>
      <c r="U336" s="59"/>
      <c r="V336" s="59"/>
      <c r="W336" s="59"/>
      <c r="X336" s="59"/>
    </row>
    <row r="337">
      <c r="A337" s="59"/>
      <c r="B337" s="59"/>
      <c r="C337" s="7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88"/>
      <c r="P337" s="90"/>
      <c r="Q337" s="88"/>
      <c r="R337" s="88"/>
      <c r="S337" s="88"/>
      <c r="T337" s="59"/>
      <c r="U337" s="59"/>
      <c r="V337" s="59"/>
      <c r="W337" s="59"/>
      <c r="X337" s="59"/>
    </row>
    <row r="338">
      <c r="A338" s="59"/>
      <c r="B338" s="59"/>
      <c r="C338" s="7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88"/>
      <c r="P338" s="90"/>
      <c r="Q338" s="88"/>
      <c r="R338" s="88"/>
      <c r="S338" s="88"/>
      <c r="T338" s="59"/>
      <c r="U338" s="59"/>
      <c r="V338" s="59"/>
      <c r="W338" s="59"/>
      <c r="X338" s="59"/>
    </row>
    <row r="339">
      <c r="A339" s="59"/>
      <c r="B339" s="59"/>
      <c r="C339" s="7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88"/>
      <c r="P339" s="90"/>
      <c r="Q339" s="88"/>
      <c r="R339" s="88"/>
      <c r="S339" s="88"/>
      <c r="T339" s="59"/>
      <c r="U339" s="59"/>
      <c r="V339" s="59"/>
      <c r="W339" s="59"/>
      <c r="X339" s="59"/>
    </row>
    <row r="340">
      <c r="A340" s="59"/>
      <c r="B340" s="59"/>
      <c r="C340" s="7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88"/>
      <c r="P340" s="90"/>
      <c r="Q340" s="88"/>
      <c r="R340" s="88"/>
      <c r="S340" s="88"/>
      <c r="T340" s="59"/>
      <c r="U340" s="59"/>
      <c r="V340" s="59"/>
      <c r="W340" s="59"/>
      <c r="X340" s="59"/>
    </row>
    <row r="341">
      <c r="A341" s="59"/>
      <c r="B341" s="59"/>
      <c r="C341" s="7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88"/>
      <c r="P341" s="90"/>
      <c r="Q341" s="88"/>
      <c r="R341" s="88"/>
      <c r="S341" s="88"/>
      <c r="T341" s="59"/>
      <c r="U341" s="59"/>
      <c r="V341" s="59"/>
      <c r="W341" s="59"/>
      <c r="X341" s="59"/>
    </row>
    <row r="342">
      <c r="A342" s="59"/>
      <c r="B342" s="59"/>
      <c r="C342" s="7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88"/>
      <c r="P342" s="90"/>
      <c r="Q342" s="88"/>
      <c r="R342" s="88"/>
      <c r="S342" s="88"/>
      <c r="T342" s="59"/>
      <c r="U342" s="59"/>
      <c r="V342" s="59"/>
      <c r="W342" s="59"/>
      <c r="X342" s="59"/>
    </row>
    <row r="343">
      <c r="A343" s="59"/>
      <c r="B343" s="59"/>
      <c r="C343" s="7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88"/>
      <c r="P343" s="90"/>
      <c r="Q343" s="88"/>
      <c r="R343" s="88"/>
      <c r="S343" s="88"/>
      <c r="T343" s="59"/>
      <c r="U343" s="59"/>
      <c r="V343" s="59"/>
      <c r="W343" s="59"/>
      <c r="X343" s="59"/>
    </row>
    <row r="344">
      <c r="A344" s="59"/>
      <c r="B344" s="59"/>
      <c r="C344" s="7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88"/>
      <c r="P344" s="90"/>
      <c r="Q344" s="88"/>
      <c r="R344" s="88"/>
      <c r="S344" s="88"/>
      <c r="T344" s="59"/>
      <c r="U344" s="59"/>
      <c r="V344" s="59"/>
      <c r="W344" s="59"/>
      <c r="X344" s="59"/>
    </row>
    <row r="345">
      <c r="A345" s="59"/>
      <c r="B345" s="59"/>
      <c r="C345" s="7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88"/>
      <c r="P345" s="90"/>
      <c r="Q345" s="88"/>
      <c r="R345" s="88"/>
      <c r="S345" s="88"/>
      <c r="T345" s="59"/>
      <c r="U345" s="59"/>
      <c r="V345" s="59"/>
      <c r="W345" s="59"/>
      <c r="X345" s="59"/>
    </row>
    <row r="346">
      <c r="A346" s="59"/>
      <c r="B346" s="59"/>
      <c r="C346" s="7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88"/>
      <c r="P346" s="90"/>
      <c r="Q346" s="88"/>
      <c r="R346" s="88"/>
      <c r="S346" s="88"/>
      <c r="T346" s="59"/>
      <c r="U346" s="59"/>
      <c r="V346" s="59"/>
      <c r="W346" s="59"/>
      <c r="X346" s="59"/>
    </row>
    <row r="347">
      <c r="A347" s="59"/>
      <c r="B347" s="59"/>
      <c r="C347" s="7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88"/>
      <c r="P347" s="90"/>
      <c r="Q347" s="88"/>
      <c r="R347" s="88"/>
      <c r="S347" s="88"/>
      <c r="T347" s="59"/>
      <c r="U347" s="59"/>
      <c r="V347" s="59"/>
      <c r="W347" s="59"/>
      <c r="X347" s="59"/>
    </row>
    <row r="348">
      <c r="A348" s="59"/>
      <c r="B348" s="59"/>
      <c r="C348" s="7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88"/>
      <c r="P348" s="90"/>
      <c r="Q348" s="88"/>
      <c r="R348" s="88"/>
      <c r="S348" s="88"/>
      <c r="T348" s="59"/>
      <c r="U348" s="59"/>
      <c r="V348" s="59"/>
      <c r="W348" s="59"/>
      <c r="X348" s="59"/>
    </row>
    <row r="349">
      <c r="A349" s="59"/>
      <c r="B349" s="59"/>
      <c r="C349" s="7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88"/>
      <c r="P349" s="90"/>
      <c r="Q349" s="88"/>
      <c r="R349" s="88"/>
      <c r="S349" s="88"/>
      <c r="T349" s="59"/>
      <c r="U349" s="59"/>
      <c r="V349" s="59"/>
      <c r="W349" s="59"/>
      <c r="X349" s="59"/>
    </row>
    <row r="350">
      <c r="A350" s="59"/>
      <c r="B350" s="59"/>
      <c r="C350" s="7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88"/>
      <c r="P350" s="90"/>
      <c r="Q350" s="88"/>
      <c r="R350" s="88"/>
      <c r="S350" s="88"/>
      <c r="T350" s="59"/>
      <c r="U350" s="59"/>
      <c r="V350" s="59"/>
      <c r="W350" s="59"/>
      <c r="X350" s="59"/>
    </row>
    <row r="351">
      <c r="A351" s="59"/>
      <c r="B351" s="59"/>
      <c r="C351" s="7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88"/>
      <c r="P351" s="90"/>
      <c r="Q351" s="88"/>
      <c r="R351" s="88"/>
      <c r="S351" s="88"/>
      <c r="T351" s="59"/>
      <c r="U351" s="59"/>
      <c r="V351" s="59"/>
      <c r="W351" s="59"/>
      <c r="X351" s="59"/>
    </row>
    <row r="352">
      <c r="A352" s="59"/>
      <c r="B352" s="59"/>
      <c r="C352" s="7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88"/>
      <c r="P352" s="90"/>
      <c r="Q352" s="88"/>
      <c r="R352" s="88"/>
      <c r="S352" s="88"/>
      <c r="T352" s="59"/>
      <c r="U352" s="59"/>
      <c r="V352" s="59"/>
      <c r="W352" s="59"/>
      <c r="X352" s="59"/>
    </row>
    <row r="353">
      <c r="A353" s="59"/>
      <c r="B353" s="59"/>
      <c r="C353" s="7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88"/>
      <c r="P353" s="90"/>
      <c r="Q353" s="88"/>
      <c r="R353" s="88"/>
      <c r="S353" s="88"/>
      <c r="T353" s="59"/>
      <c r="U353" s="59"/>
      <c r="V353" s="59"/>
      <c r="W353" s="59"/>
      <c r="X353" s="59"/>
    </row>
    <row r="354">
      <c r="A354" s="59"/>
      <c r="B354" s="59"/>
      <c r="C354" s="7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88"/>
      <c r="P354" s="90"/>
      <c r="Q354" s="88"/>
      <c r="R354" s="88"/>
      <c r="S354" s="88"/>
      <c r="T354" s="59"/>
      <c r="U354" s="59"/>
      <c r="V354" s="59"/>
      <c r="W354" s="59"/>
      <c r="X354" s="59"/>
    </row>
    <row r="355">
      <c r="A355" s="59"/>
      <c r="B355" s="59"/>
      <c r="C355" s="7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88"/>
      <c r="P355" s="90"/>
      <c r="Q355" s="88"/>
      <c r="R355" s="88"/>
      <c r="S355" s="88"/>
      <c r="T355" s="59"/>
      <c r="U355" s="59"/>
      <c r="V355" s="59"/>
      <c r="W355" s="59"/>
      <c r="X355" s="59"/>
    </row>
    <row r="356">
      <c r="A356" s="59"/>
      <c r="B356" s="59"/>
      <c r="C356" s="7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88"/>
      <c r="P356" s="90"/>
      <c r="Q356" s="88"/>
      <c r="R356" s="88"/>
      <c r="S356" s="88"/>
      <c r="T356" s="59"/>
      <c r="U356" s="59"/>
      <c r="V356" s="59"/>
      <c r="W356" s="59"/>
      <c r="X356" s="59"/>
    </row>
    <row r="357">
      <c r="A357" s="59"/>
      <c r="B357" s="59"/>
      <c r="C357" s="7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88"/>
      <c r="P357" s="90"/>
      <c r="Q357" s="88"/>
      <c r="R357" s="88"/>
      <c r="S357" s="88"/>
      <c r="T357" s="59"/>
      <c r="U357" s="59"/>
      <c r="V357" s="59"/>
      <c r="W357" s="59"/>
      <c r="X357" s="59"/>
    </row>
    <row r="358">
      <c r="A358" s="59"/>
      <c r="B358" s="59"/>
      <c r="C358" s="7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88"/>
      <c r="P358" s="90"/>
      <c r="Q358" s="88"/>
      <c r="R358" s="88"/>
      <c r="S358" s="88"/>
      <c r="T358" s="59"/>
      <c r="U358" s="59"/>
      <c r="V358" s="59"/>
      <c r="W358" s="59"/>
      <c r="X358" s="59"/>
    </row>
    <row r="359">
      <c r="A359" s="59"/>
      <c r="B359" s="59"/>
      <c r="C359" s="7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88"/>
      <c r="P359" s="90"/>
      <c r="Q359" s="88"/>
      <c r="R359" s="88"/>
      <c r="S359" s="88"/>
      <c r="T359" s="59"/>
      <c r="U359" s="59"/>
      <c r="V359" s="59"/>
      <c r="W359" s="59"/>
      <c r="X359" s="59"/>
    </row>
    <row r="360">
      <c r="A360" s="59"/>
      <c r="B360" s="59"/>
      <c r="C360" s="7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88"/>
      <c r="P360" s="90"/>
      <c r="Q360" s="88"/>
      <c r="R360" s="88"/>
      <c r="S360" s="88"/>
      <c r="T360" s="59"/>
      <c r="U360" s="59"/>
      <c r="V360" s="59"/>
      <c r="W360" s="59"/>
      <c r="X360" s="59"/>
    </row>
    <row r="361">
      <c r="A361" s="59"/>
      <c r="B361" s="59"/>
      <c r="C361" s="7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88"/>
      <c r="P361" s="90"/>
      <c r="Q361" s="88"/>
      <c r="R361" s="88"/>
      <c r="S361" s="88"/>
      <c r="T361" s="59"/>
      <c r="U361" s="59"/>
      <c r="V361" s="59"/>
      <c r="W361" s="59"/>
      <c r="X361" s="59"/>
    </row>
    <row r="362">
      <c r="A362" s="59"/>
      <c r="B362" s="59"/>
      <c r="C362" s="7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88"/>
      <c r="P362" s="90"/>
      <c r="Q362" s="88"/>
      <c r="R362" s="88"/>
      <c r="S362" s="88"/>
      <c r="T362" s="59"/>
      <c r="U362" s="59"/>
      <c r="V362" s="59"/>
      <c r="W362" s="59"/>
      <c r="X362" s="59"/>
    </row>
    <row r="363">
      <c r="A363" s="59"/>
      <c r="B363" s="59"/>
      <c r="C363" s="7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88"/>
      <c r="P363" s="90"/>
      <c r="Q363" s="88"/>
      <c r="R363" s="88"/>
      <c r="S363" s="88"/>
      <c r="T363" s="59"/>
      <c r="U363" s="59"/>
      <c r="V363" s="59"/>
      <c r="W363" s="59"/>
      <c r="X363" s="59"/>
    </row>
    <row r="364">
      <c r="A364" s="59"/>
      <c r="B364" s="59"/>
      <c r="C364" s="7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88"/>
      <c r="P364" s="90"/>
      <c r="Q364" s="88"/>
      <c r="R364" s="88"/>
      <c r="S364" s="88"/>
      <c r="T364" s="59"/>
      <c r="U364" s="59"/>
      <c r="V364" s="59"/>
      <c r="W364" s="59"/>
      <c r="X364" s="59"/>
    </row>
    <row r="365">
      <c r="A365" s="59"/>
      <c r="B365" s="59"/>
      <c r="C365" s="7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88"/>
      <c r="P365" s="90"/>
      <c r="Q365" s="88"/>
      <c r="R365" s="88"/>
      <c r="S365" s="88"/>
      <c r="T365" s="59"/>
      <c r="U365" s="59"/>
      <c r="V365" s="59"/>
      <c r="W365" s="59"/>
      <c r="X365" s="59"/>
    </row>
    <row r="366">
      <c r="A366" s="59"/>
      <c r="B366" s="59"/>
      <c r="C366" s="7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88"/>
      <c r="P366" s="90"/>
      <c r="Q366" s="88"/>
      <c r="R366" s="88"/>
      <c r="S366" s="88"/>
      <c r="T366" s="59"/>
      <c r="U366" s="59"/>
      <c r="V366" s="59"/>
      <c r="W366" s="59"/>
      <c r="X366" s="59"/>
    </row>
    <row r="367">
      <c r="A367" s="59"/>
      <c r="B367" s="59"/>
      <c r="C367" s="7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88"/>
      <c r="P367" s="90"/>
      <c r="Q367" s="88"/>
      <c r="R367" s="88"/>
      <c r="S367" s="88"/>
      <c r="T367" s="59"/>
      <c r="U367" s="59"/>
      <c r="V367" s="59"/>
      <c r="W367" s="59"/>
      <c r="X367" s="59"/>
    </row>
    <row r="368">
      <c r="A368" s="59"/>
      <c r="B368" s="59"/>
      <c r="C368" s="7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88"/>
      <c r="P368" s="90"/>
      <c r="Q368" s="88"/>
      <c r="R368" s="88"/>
      <c r="S368" s="88"/>
      <c r="T368" s="59"/>
      <c r="U368" s="59"/>
      <c r="V368" s="59"/>
      <c r="W368" s="59"/>
      <c r="X368" s="59"/>
    </row>
    <row r="369">
      <c r="A369" s="59"/>
      <c r="B369" s="59"/>
      <c r="C369" s="7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88"/>
      <c r="P369" s="90"/>
      <c r="Q369" s="88"/>
      <c r="R369" s="88"/>
      <c r="S369" s="88"/>
      <c r="T369" s="59"/>
      <c r="U369" s="59"/>
      <c r="V369" s="59"/>
      <c r="W369" s="59"/>
      <c r="X369" s="59"/>
    </row>
    <row r="370">
      <c r="A370" s="59"/>
      <c r="B370" s="59"/>
      <c r="C370" s="7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88"/>
      <c r="P370" s="90"/>
      <c r="Q370" s="88"/>
      <c r="R370" s="88"/>
      <c r="S370" s="88"/>
      <c r="T370" s="59"/>
      <c r="U370" s="59"/>
      <c r="V370" s="59"/>
      <c r="W370" s="59"/>
      <c r="X370" s="59"/>
    </row>
    <row r="371">
      <c r="A371" s="59"/>
      <c r="B371" s="59"/>
      <c r="C371" s="7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88"/>
      <c r="P371" s="90"/>
      <c r="Q371" s="88"/>
      <c r="R371" s="88"/>
      <c r="S371" s="88"/>
      <c r="T371" s="59"/>
      <c r="U371" s="59"/>
      <c r="V371" s="59"/>
      <c r="W371" s="59"/>
      <c r="X371" s="59"/>
    </row>
    <row r="372">
      <c r="A372" s="59"/>
      <c r="B372" s="59"/>
      <c r="C372" s="7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88"/>
      <c r="P372" s="90"/>
      <c r="Q372" s="88"/>
      <c r="R372" s="88"/>
      <c r="S372" s="88"/>
      <c r="T372" s="59"/>
      <c r="U372" s="59"/>
      <c r="V372" s="59"/>
      <c r="W372" s="59"/>
      <c r="X372" s="59"/>
    </row>
    <row r="373">
      <c r="A373" s="59"/>
      <c r="B373" s="59"/>
      <c r="C373" s="7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88"/>
      <c r="P373" s="90"/>
      <c r="Q373" s="88"/>
      <c r="R373" s="88"/>
      <c r="S373" s="88"/>
      <c r="T373" s="59"/>
      <c r="U373" s="59"/>
      <c r="V373" s="59"/>
      <c r="W373" s="59"/>
      <c r="X373" s="59"/>
    </row>
    <row r="374">
      <c r="A374" s="59"/>
      <c r="B374" s="59"/>
      <c r="C374" s="7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88"/>
      <c r="P374" s="90"/>
      <c r="Q374" s="88"/>
      <c r="R374" s="88"/>
      <c r="S374" s="88"/>
      <c r="T374" s="59"/>
      <c r="U374" s="59"/>
      <c r="V374" s="59"/>
      <c r="W374" s="59"/>
      <c r="X374" s="59"/>
    </row>
    <row r="375">
      <c r="A375" s="59"/>
      <c r="B375" s="59"/>
      <c r="C375" s="7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88"/>
      <c r="P375" s="90"/>
      <c r="Q375" s="88"/>
      <c r="R375" s="88"/>
      <c r="S375" s="88"/>
      <c r="T375" s="59"/>
      <c r="U375" s="59"/>
      <c r="V375" s="59"/>
      <c r="W375" s="59"/>
      <c r="X375" s="59"/>
    </row>
    <row r="376">
      <c r="A376" s="59"/>
      <c r="B376" s="59"/>
      <c r="C376" s="7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88"/>
      <c r="P376" s="90"/>
      <c r="Q376" s="88"/>
      <c r="R376" s="88"/>
      <c r="S376" s="88"/>
      <c r="T376" s="59"/>
      <c r="U376" s="59"/>
      <c r="V376" s="59"/>
      <c r="W376" s="59"/>
      <c r="X376" s="59"/>
    </row>
    <row r="377">
      <c r="A377" s="59"/>
      <c r="B377" s="59"/>
      <c r="C377" s="7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88"/>
      <c r="P377" s="90"/>
      <c r="Q377" s="88"/>
      <c r="R377" s="88"/>
      <c r="S377" s="88"/>
      <c r="T377" s="59"/>
      <c r="U377" s="59"/>
      <c r="V377" s="59"/>
      <c r="W377" s="59"/>
      <c r="X377" s="59"/>
    </row>
    <row r="378">
      <c r="A378" s="59"/>
      <c r="B378" s="59"/>
      <c r="C378" s="7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88"/>
      <c r="P378" s="90"/>
      <c r="Q378" s="88"/>
      <c r="R378" s="88"/>
      <c r="S378" s="88"/>
      <c r="T378" s="59"/>
      <c r="U378" s="59"/>
      <c r="V378" s="59"/>
      <c r="W378" s="59"/>
      <c r="X378" s="59"/>
    </row>
    <row r="379">
      <c r="A379" s="59"/>
      <c r="B379" s="59"/>
      <c r="C379" s="7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88"/>
      <c r="P379" s="90"/>
      <c r="Q379" s="88"/>
      <c r="R379" s="88"/>
      <c r="S379" s="88"/>
      <c r="T379" s="59"/>
      <c r="U379" s="59"/>
      <c r="V379" s="59"/>
      <c r="W379" s="59"/>
      <c r="X379" s="59"/>
    </row>
    <row r="380">
      <c r="A380" s="59"/>
      <c r="B380" s="59"/>
      <c r="C380" s="7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88"/>
      <c r="P380" s="90"/>
      <c r="Q380" s="88"/>
      <c r="R380" s="88"/>
      <c r="S380" s="88"/>
      <c r="T380" s="59"/>
      <c r="U380" s="59"/>
      <c r="V380" s="59"/>
      <c r="W380" s="59"/>
      <c r="X380" s="59"/>
    </row>
    <row r="381">
      <c r="A381" s="59"/>
      <c r="B381" s="59"/>
      <c r="C381" s="7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88"/>
      <c r="P381" s="90"/>
      <c r="Q381" s="88"/>
      <c r="R381" s="88"/>
      <c r="S381" s="88"/>
      <c r="T381" s="59"/>
      <c r="U381" s="59"/>
      <c r="V381" s="59"/>
      <c r="W381" s="59"/>
      <c r="X381" s="59"/>
    </row>
    <row r="382">
      <c r="A382" s="59"/>
      <c r="B382" s="59"/>
      <c r="C382" s="7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88"/>
      <c r="P382" s="90"/>
      <c r="Q382" s="88"/>
      <c r="R382" s="88"/>
      <c r="S382" s="88"/>
      <c r="T382" s="59"/>
      <c r="U382" s="59"/>
      <c r="V382" s="59"/>
      <c r="W382" s="59"/>
      <c r="X382" s="59"/>
    </row>
    <row r="383">
      <c r="A383" s="59"/>
      <c r="B383" s="59"/>
      <c r="C383" s="7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88"/>
      <c r="P383" s="90"/>
      <c r="Q383" s="88"/>
      <c r="R383" s="88"/>
      <c r="S383" s="88"/>
      <c r="T383" s="59"/>
      <c r="U383" s="59"/>
      <c r="V383" s="59"/>
      <c r="W383" s="59"/>
      <c r="X383" s="59"/>
    </row>
    <row r="384">
      <c r="A384" s="59"/>
      <c r="B384" s="59"/>
      <c r="C384" s="7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88"/>
      <c r="P384" s="90"/>
      <c r="Q384" s="88"/>
      <c r="R384" s="88"/>
      <c r="S384" s="88"/>
      <c r="T384" s="59"/>
      <c r="U384" s="59"/>
      <c r="V384" s="59"/>
      <c r="W384" s="59"/>
      <c r="X384" s="59"/>
    </row>
    <row r="385">
      <c r="A385" s="59"/>
      <c r="B385" s="59"/>
      <c r="C385" s="7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88"/>
      <c r="P385" s="90"/>
      <c r="Q385" s="88"/>
      <c r="R385" s="88"/>
      <c r="S385" s="88"/>
      <c r="T385" s="59"/>
      <c r="U385" s="59"/>
      <c r="V385" s="59"/>
      <c r="W385" s="59"/>
      <c r="X385" s="59"/>
    </row>
    <row r="386">
      <c r="A386" s="59"/>
      <c r="B386" s="59"/>
      <c r="C386" s="7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88"/>
      <c r="P386" s="90"/>
      <c r="Q386" s="88"/>
      <c r="R386" s="88"/>
      <c r="S386" s="88"/>
      <c r="T386" s="59"/>
      <c r="U386" s="59"/>
      <c r="V386" s="59"/>
      <c r="W386" s="59"/>
      <c r="X386" s="59"/>
    </row>
    <row r="387">
      <c r="A387" s="59"/>
      <c r="B387" s="59"/>
      <c r="C387" s="7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88"/>
      <c r="P387" s="90"/>
      <c r="Q387" s="88"/>
      <c r="R387" s="88"/>
      <c r="S387" s="88"/>
      <c r="T387" s="59"/>
      <c r="U387" s="59"/>
      <c r="V387" s="59"/>
      <c r="W387" s="59"/>
      <c r="X387" s="59"/>
    </row>
    <row r="388">
      <c r="A388" s="59"/>
      <c r="B388" s="59"/>
      <c r="C388" s="7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88"/>
      <c r="P388" s="90"/>
      <c r="Q388" s="88"/>
      <c r="R388" s="88"/>
      <c r="S388" s="88"/>
      <c r="T388" s="59"/>
      <c r="U388" s="59"/>
      <c r="V388" s="59"/>
      <c r="W388" s="59"/>
      <c r="X388" s="59"/>
    </row>
    <row r="389">
      <c r="A389" s="59"/>
      <c r="B389" s="59"/>
      <c r="C389" s="7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88"/>
      <c r="P389" s="90"/>
      <c r="Q389" s="88"/>
      <c r="R389" s="88"/>
      <c r="S389" s="88"/>
      <c r="T389" s="59"/>
      <c r="U389" s="59"/>
      <c r="V389" s="59"/>
      <c r="W389" s="59"/>
      <c r="X389" s="59"/>
    </row>
    <row r="390">
      <c r="A390" s="59"/>
      <c r="B390" s="59"/>
      <c r="C390" s="7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88"/>
      <c r="P390" s="90"/>
      <c r="Q390" s="88"/>
      <c r="R390" s="88"/>
      <c r="S390" s="88"/>
      <c r="T390" s="59"/>
      <c r="U390" s="59"/>
      <c r="V390" s="59"/>
      <c r="W390" s="59"/>
      <c r="X390" s="59"/>
    </row>
    <row r="391">
      <c r="A391" s="59"/>
      <c r="B391" s="59"/>
      <c r="C391" s="7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88"/>
      <c r="P391" s="90"/>
      <c r="Q391" s="88"/>
      <c r="R391" s="88"/>
      <c r="S391" s="88"/>
      <c r="T391" s="59"/>
      <c r="U391" s="59"/>
      <c r="V391" s="59"/>
      <c r="W391" s="59"/>
      <c r="X391" s="59"/>
    </row>
    <row r="392">
      <c r="A392" s="59"/>
      <c r="B392" s="59"/>
      <c r="C392" s="7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88"/>
      <c r="P392" s="90"/>
      <c r="Q392" s="88"/>
      <c r="R392" s="88"/>
      <c r="S392" s="88"/>
      <c r="T392" s="59"/>
      <c r="U392" s="59"/>
      <c r="V392" s="59"/>
      <c r="W392" s="59"/>
      <c r="X392" s="59"/>
    </row>
    <row r="393">
      <c r="A393" s="59"/>
      <c r="B393" s="59"/>
      <c r="C393" s="7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88"/>
      <c r="P393" s="90"/>
      <c r="Q393" s="88"/>
      <c r="R393" s="88"/>
      <c r="S393" s="88"/>
      <c r="T393" s="59"/>
      <c r="U393" s="59"/>
      <c r="V393" s="59"/>
      <c r="W393" s="59"/>
      <c r="X393" s="59"/>
    </row>
    <row r="394">
      <c r="A394" s="59"/>
      <c r="B394" s="59"/>
      <c r="C394" s="7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88"/>
      <c r="P394" s="90"/>
      <c r="Q394" s="88"/>
      <c r="R394" s="88"/>
      <c r="S394" s="88"/>
      <c r="T394" s="59"/>
      <c r="U394" s="59"/>
      <c r="V394" s="59"/>
      <c r="W394" s="59"/>
      <c r="X394" s="59"/>
    </row>
    <row r="395">
      <c r="A395" s="59"/>
      <c r="B395" s="59"/>
      <c r="C395" s="7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88"/>
      <c r="P395" s="90"/>
      <c r="Q395" s="88"/>
      <c r="R395" s="88"/>
      <c r="S395" s="88"/>
      <c r="T395" s="59"/>
      <c r="U395" s="59"/>
      <c r="V395" s="59"/>
      <c r="W395" s="59"/>
      <c r="X395" s="59"/>
    </row>
    <row r="396">
      <c r="A396" s="59"/>
      <c r="B396" s="59"/>
      <c r="C396" s="7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88"/>
      <c r="P396" s="90"/>
      <c r="Q396" s="88"/>
      <c r="R396" s="88"/>
      <c r="S396" s="88"/>
      <c r="T396" s="59"/>
      <c r="U396" s="59"/>
      <c r="V396" s="59"/>
      <c r="W396" s="59"/>
      <c r="X396" s="59"/>
    </row>
    <row r="397">
      <c r="A397" s="59"/>
      <c r="B397" s="59"/>
      <c r="C397" s="7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88"/>
      <c r="P397" s="90"/>
      <c r="Q397" s="88"/>
      <c r="R397" s="88"/>
      <c r="S397" s="88"/>
      <c r="T397" s="59"/>
      <c r="U397" s="59"/>
      <c r="V397" s="59"/>
      <c r="W397" s="59"/>
      <c r="X397" s="59"/>
    </row>
    <row r="398">
      <c r="A398" s="59"/>
      <c r="B398" s="59"/>
      <c r="C398" s="7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88"/>
      <c r="P398" s="90"/>
      <c r="Q398" s="88"/>
      <c r="R398" s="88"/>
      <c r="S398" s="88"/>
      <c r="T398" s="59"/>
      <c r="U398" s="59"/>
      <c r="V398" s="59"/>
      <c r="W398" s="59"/>
      <c r="X398" s="59"/>
    </row>
    <row r="399">
      <c r="A399" s="59"/>
      <c r="B399" s="59"/>
      <c r="C399" s="7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88"/>
      <c r="P399" s="90"/>
      <c r="Q399" s="88"/>
      <c r="R399" s="88"/>
      <c r="S399" s="88"/>
      <c r="T399" s="59"/>
      <c r="U399" s="59"/>
      <c r="V399" s="59"/>
      <c r="W399" s="59"/>
      <c r="X399" s="59"/>
    </row>
    <row r="400">
      <c r="A400" s="59"/>
      <c r="B400" s="59"/>
      <c r="C400" s="7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88"/>
      <c r="P400" s="90"/>
      <c r="Q400" s="88"/>
      <c r="R400" s="88"/>
      <c r="S400" s="88"/>
      <c r="T400" s="59"/>
      <c r="U400" s="59"/>
      <c r="V400" s="59"/>
      <c r="W400" s="59"/>
      <c r="X400" s="59"/>
    </row>
    <row r="401">
      <c r="A401" s="59"/>
      <c r="B401" s="59"/>
      <c r="C401" s="7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88"/>
      <c r="P401" s="90"/>
      <c r="Q401" s="88"/>
      <c r="R401" s="88"/>
      <c r="S401" s="88"/>
      <c r="T401" s="59"/>
      <c r="U401" s="59"/>
      <c r="V401" s="59"/>
      <c r="W401" s="59"/>
      <c r="X401" s="59"/>
    </row>
    <row r="402">
      <c r="A402" s="59"/>
      <c r="B402" s="59"/>
      <c r="C402" s="7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88"/>
      <c r="P402" s="90"/>
      <c r="Q402" s="88"/>
      <c r="R402" s="88"/>
      <c r="S402" s="88"/>
      <c r="T402" s="59"/>
      <c r="U402" s="59"/>
      <c r="V402" s="59"/>
      <c r="W402" s="59"/>
      <c r="X402" s="59"/>
    </row>
    <row r="403">
      <c r="A403" s="59"/>
      <c r="B403" s="59"/>
      <c r="C403" s="7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88"/>
      <c r="P403" s="90"/>
      <c r="Q403" s="88"/>
      <c r="R403" s="88"/>
      <c r="S403" s="88"/>
      <c r="T403" s="59"/>
      <c r="U403" s="59"/>
      <c r="V403" s="59"/>
      <c r="W403" s="59"/>
      <c r="X403" s="59"/>
    </row>
    <row r="404">
      <c r="A404" s="59"/>
      <c r="B404" s="59"/>
      <c r="C404" s="7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88"/>
      <c r="P404" s="90"/>
      <c r="Q404" s="88"/>
      <c r="R404" s="88"/>
      <c r="S404" s="88"/>
      <c r="T404" s="59"/>
      <c r="U404" s="59"/>
      <c r="V404" s="59"/>
      <c r="W404" s="59"/>
      <c r="X404" s="59"/>
    </row>
    <row r="405">
      <c r="A405" s="59"/>
      <c r="B405" s="59"/>
      <c r="C405" s="7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88"/>
      <c r="P405" s="90"/>
      <c r="Q405" s="88"/>
      <c r="R405" s="88"/>
      <c r="S405" s="88"/>
      <c r="T405" s="59"/>
      <c r="U405" s="59"/>
      <c r="V405" s="59"/>
      <c r="W405" s="59"/>
      <c r="X405" s="59"/>
    </row>
    <row r="406">
      <c r="A406" s="59"/>
      <c r="B406" s="59"/>
      <c r="C406" s="70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88"/>
      <c r="P406" s="90"/>
      <c r="Q406" s="88"/>
      <c r="R406" s="88"/>
      <c r="S406" s="88"/>
      <c r="T406" s="59"/>
      <c r="U406" s="59"/>
      <c r="V406" s="59"/>
      <c r="W406" s="59"/>
      <c r="X406" s="59"/>
    </row>
    <row r="407">
      <c r="A407" s="59"/>
      <c r="B407" s="59"/>
      <c r="C407" s="70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88"/>
      <c r="P407" s="90"/>
      <c r="Q407" s="88"/>
      <c r="R407" s="88"/>
      <c r="S407" s="88"/>
      <c r="T407" s="59"/>
      <c r="U407" s="59"/>
      <c r="V407" s="59"/>
      <c r="W407" s="59"/>
      <c r="X407" s="59"/>
    </row>
    <row r="408">
      <c r="A408" s="59"/>
      <c r="B408" s="59"/>
      <c r="C408" s="70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88"/>
      <c r="P408" s="90"/>
      <c r="Q408" s="88"/>
      <c r="R408" s="88"/>
      <c r="S408" s="88"/>
      <c r="T408" s="59"/>
      <c r="U408" s="59"/>
      <c r="V408" s="59"/>
      <c r="W408" s="59"/>
      <c r="X408" s="59"/>
    </row>
    <row r="409">
      <c r="A409" s="59"/>
      <c r="B409" s="59"/>
      <c r="C409" s="70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88"/>
      <c r="P409" s="90"/>
      <c r="Q409" s="88"/>
      <c r="R409" s="88"/>
      <c r="S409" s="88"/>
      <c r="T409" s="59"/>
      <c r="U409" s="59"/>
      <c r="V409" s="59"/>
      <c r="W409" s="59"/>
      <c r="X409" s="59"/>
    </row>
    <row r="410">
      <c r="A410" s="59"/>
      <c r="B410" s="59"/>
      <c r="C410" s="70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88"/>
      <c r="P410" s="90"/>
      <c r="Q410" s="88"/>
      <c r="R410" s="88"/>
      <c r="S410" s="88"/>
      <c r="T410" s="59"/>
      <c r="U410" s="59"/>
      <c r="V410" s="59"/>
      <c r="W410" s="59"/>
      <c r="X410" s="59"/>
    </row>
    <row r="411">
      <c r="A411" s="59"/>
      <c r="B411" s="59"/>
      <c r="C411" s="70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88"/>
      <c r="P411" s="90"/>
      <c r="Q411" s="88"/>
      <c r="R411" s="88"/>
      <c r="S411" s="88"/>
      <c r="T411" s="59"/>
      <c r="U411" s="59"/>
      <c r="V411" s="59"/>
      <c r="W411" s="59"/>
      <c r="X411" s="59"/>
    </row>
    <row r="412">
      <c r="A412" s="59"/>
      <c r="B412" s="59"/>
      <c r="C412" s="70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88"/>
      <c r="P412" s="90"/>
      <c r="Q412" s="88"/>
      <c r="R412" s="88"/>
      <c r="S412" s="88"/>
      <c r="T412" s="59"/>
      <c r="U412" s="59"/>
      <c r="V412" s="59"/>
      <c r="W412" s="59"/>
      <c r="X412" s="59"/>
    </row>
    <row r="413">
      <c r="A413" s="59"/>
      <c r="B413" s="59"/>
      <c r="C413" s="70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88"/>
      <c r="P413" s="90"/>
      <c r="Q413" s="88"/>
      <c r="R413" s="88"/>
      <c r="S413" s="88"/>
      <c r="T413" s="59"/>
      <c r="U413" s="59"/>
      <c r="V413" s="59"/>
      <c r="W413" s="59"/>
      <c r="X413" s="59"/>
    </row>
    <row r="414">
      <c r="A414" s="59"/>
      <c r="B414" s="59"/>
      <c r="C414" s="70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88"/>
      <c r="P414" s="90"/>
      <c r="Q414" s="88"/>
      <c r="R414" s="88"/>
      <c r="S414" s="88"/>
      <c r="T414" s="59"/>
      <c r="U414" s="59"/>
      <c r="V414" s="59"/>
      <c r="W414" s="59"/>
      <c r="X414" s="59"/>
    </row>
    <row r="415">
      <c r="A415" s="59"/>
      <c r="B415" s="59"/>
      <c r="C415" s="70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88"/>
      <c r="P415" s="90"/>
      <c r="Q415" s="88"/>
      <c r="R415" s="88"/>
      <c r="S415" s="88"/>
      <c r="T415" s="59"/>
      <c r="U415" s="59"/>
      <c r="V415" s="59"/>
      <c r="W415" s="59"/>
      <c r="X415" s="59"/>
    </row>
    <row r="416">
      <c r="A416" s="59"/>
      <c r="B416" s="59"/>
      <c r="C416" s="70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88"/>
      <c r="P416" s="90"/>
      <c r="Q416" s="88"/>
      <c r="R416" s="88"/>
      <c r="S416" s="88"/>
      <c r="T416" s="59"/>
      <c r="U416" s="59"/>
      <c r="V416" s="59"/>
      <c r="W416" s="59"/>
      <c r="X416" s="59"/>
    </row>
    <row r="417">
      <c r="A417" s="59"/>
      <c r="B417" s="59"/>
      <c r="C417" s="70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88"/>
      <c r="P417" s="90"/>
      <c r="Q417" s="88"/>
      <c r="R417" s="88"/>
      <c r="S417" s="88"/>
      <c r="T417" s="59"/>
      <c r="U417" s="59"/>
      <c r="V417" s="59"/>
      <c r="W417" s="59"/>
      <c r="X417" s="59"/>
    </row>
    <row r="418">
      <c r="A418" s="59"/>
      <c r="B418" s="59"/>
      <c r="C418" s="70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88"/>
      <c r="P418" s="90"/>
      <c r="Q418" s="88"/>
      <c r="R418" s="88"/>
      <c r="S418" s="88"/>
      <c r="T418" s="59"/>
      <c r="U418" s="59"/>
      <c r="V418" s="59"/>
      <c r="W418" s="59"/>
      <c r="X418" s="59"/>
    </row>
    <row r="419">
      <c r="A419" s="59"/>
      <c r="B419" s="59"/>
      <c r="C419" s="70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88"/>
      <c r="P419" s="90"/>
      <c r="Q419" s="88"/>
      <c r="R419" s="88"/>
      <c r="S419" s="88"/>
      <c r="T419" s="59"/>
      <c r="U419" s="59"/>
      <c r="V419" s="59"/>
      <c r="W419" s="59"/>
      <c r="X419" s="59"/>
    </row>
    <row r="420">
      <c r="A420" s="59"/>
      <c r="B420" s="59"/>
      <c r="C420" s="70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88"/>
      <c r="P420" s="90"/>
      <c r="Q420" s="88"/>
      <c r="R420" s="88"/>
      <c r="S420" s="88"/>
      <c r="T420" s="59"/>
      <c r="U420" s="59"/>
      <c r="V420" s="59"/>
      <c r="W420" s="59"/>
      <c r="X420" s="59"/>
    </row>
    <row r="421">
      <c r="A421" s="59"/>
      <c r="B421" s="59"/>
      <c r="C421" s="70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88"/>
      <c r="P421" s="90"/>
      <c r="Q421" s="88"/>
      <c r="R421" s="88"/>
      <c r="S421" s="88"/>
      <c r="T421" s="59"/>
      <c r="U421" s="59"/>
      <c r="V421" s="59"/>
      <c r="W421" s="59"/>
      <c r="X421" s="59"/>
    </row>
    <row r="422">
      <c r="A422" s="59"/>
      <c r="B422" s="59"/>
      <c r="C422" s="70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88"/>
      <c r="P422" s="90"/>
      <c r="Q422" s="88"/>
      <c r="R422" s="88"/>
      <c r="S422" s="88"/>
      <c r="T422" s="59"/>
      <c r="U422" s="59"/>
      <c r="V422" s="59"/>
      <c r="W422" s="59"/>
      <c r="X422" s="59"/>
    </row>
    <row r="423">
      <c r="A423" s="59"/>
      <c r="B423" s="59"/>
      <c r="C423" s="70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88"/>
      <c r="P423" s="90"/>
      <c r="Q423" s="88"/>
      <c r="R423" s="88"/>
      <c r="S423" s="88"/>
      <c r="T423" s="59"/>
      <c r="U423" s="59"/>
      <c r="V423" s="59"/>
      <c r="W423" s="59"/>
      <c r="X423" s="59"/>
    </row>
    <row r="424">
      <c r="A424" s="59"/>
      <c r="B424" s="59"/>
      <c r="C424" s="70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88"/>
      <c r="P424" s="90"/>
      <c r="Q424" s="88"/>
      <c r="R424" s="88"/>
      <c r="S424" s="88"/>
      <c r="T424" s="59"/>
      <c r="U424" s="59"/>
      <c r="V424" s="59"/>
      <c r="W424" s="59"/>
      <c r="X424" s="59"/>
    </row>
    <row r="425">
      <c r="A425" s="59"/>
      <c r="B425" s="59"/>
      <c r="C425" s="70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88"/>
      <c r="P425" s="90"/>
      <c r="Q425" s="88"/>
      <c r="R425" s="88"/>
      <c r="S425" s="88"/>
      <c r="T425" s="59"/>
      <c r="U425" s="59"/>
      <c r="V425" s="59"/>
      <c r="W425" s="59"/>
      <c r="X425" s="59"/>
    </row>
    <row r="426">
      <c r="A426" s="59"/>
      <c r="B426" s="59"/>
      <c r="C426" s="70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88"/>
      <c r="P426" s="90"/>
      <c r="Q426" s="88"/>
      <c r="R426" s="88"/>
      <c r="S426" s="88"/>
      <c r="T426" s="59"/>
      <c r="U426" s="59"/>
      <c r="V426" s="59"/>
      <c r="W426" s="59"/>
      <c r="X426" s="59"/>
    </row>
    <row r="427">
      <c r="A427" s="59"/>
      <c r="B427" s="59"/>
      <c r="C427" s="70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88"/>
      <c r="P427" s="90"/>
      <c r="Q427" s="88"/>
      <c r="R427" s="88"/>
      <c r="S427" s="88"/>
      <c r="T427" s="59"/>
      <c r="U427" s="59"/>
      <c r="V427" s="59"/>
      <c r="W427" s="59"/>
      <c r="X427" s="59"/>
    </row>
    <row r="428">
      <c r="A428" s="59"/>
      <c r="B428" s="59"/>
      <c r="C428" s="70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88"/>
      <c r="P428" s="90"/>
      <c r="Q428" s="88"/>
      <c r="R428" s="88"/>
      <c r="S428" s="88"/>
      <c r="T428" s="59"/>
      <c r="U428" s="59"/>
      <c r="V428" s="59"/>
      <c r="W428" s="59"/>
      <c r="X428" s="59"/>
    </row>
    <row r="429">
      <c r="A429" s="59"/>
      <c r="B429" s="59"/>
      <c r="C429" s="70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88"/>
      <c r="P429" s="90"/>
      <c r="Q429" s="88"/>
      <c r="R429" s="88"/>
      <c r="S429" s="88"/>
      <c r="T429" s="59"/>
      <c r="U429" s="59"/>
      <c r="V429" s="59"/>
      <c r="W429" s="59"/>
      <c r="X429" s="59"/>
    </row>
    <row r="430">
      <c r="A430" s="59"/>
      <c r="B430" s="59"/>
      <c r="C430" s="70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88"/>
      <c r="P430" s="90"/>
      <c r="Q430" s="88"/>
      <c r="R430" s="88"/>
      <c r="S430" s="88"/>
      <c r="T430" s="59"/>
      <c r="U430" s="59"/>
      <c r="V430" s="59"/>
      <c r="W430" s="59"/>
      <c r="X430" s="59"/>
    </row>
    <row r="431">
      <c r="A431" s="59"/>
      <c r="B431" s="59"/>
      <c r="C431" s="70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88"/>
      <c r="P431" s="90"/>
      <c r="Q431" s="88"/>
      <c r="R431" s="88"/>
      <c r="S431" s="88"/>
      <c r="T431" s="59"/>
      <c r="U431" s="59"/>
      <c r="V431" s="59"/>
      <c r="W431" s="59"/>
      <c r="X431" s="59"/>
    </row>
    <row r="432">
      <c r="A432" s="59"/>
      <c r="B432" s="59"/>
      <c r="C432" s="70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88"/>
      <c r="P432" s="90"/>
      <c r="Q432" s="88"/>
      <c r="R432" s="88"/>
      <c r="S432" s="88"/>
      <c r="T432" s="59"/>
      <c r="U432" s="59"/>
      <c r="V432" s="59"/>
      <c r="W432" s="59"/>
      <c r="X432" s="59"/>
    </row>
    <row r="433">
      <c r="A433" s="59"/>
      <c r="B433" s="59"/>
      <c r="C433" s="70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88"/>
      <c r="P433" s="90"/>
      <c r="Q433" s="88"/>
      <c r="R433" s="88"/>
      <c r="S433" s="88"/>
      <c r="T433" s="59"/>
      <c r="U433" s="59"/>
      <c r="V433" s="59"/>
      <c r="W433" s="59"/>
      <c r="X433" s="59"/>
    </row>
    <row r="434">
      <c r="A434" s="59"/>
      <c r="B434" s="59"/>
      <c r="C434" s="70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88"/>
      <c r="P434" s="90"/>
      <c r="Q434" s="88"/>
      <c r="R434" s="88"/>
      <c r="S434" s="88"/>
      <c r="T434" s="59"/>
      <c r="U434" s="59"/>
      <c r="V434" s="59"/>
      <c r="W434" s="59"/>
      <c r="X434" s="59"/>
    </row>
    <row r="435">
      <c r="A435" s="59"/>
      <c r="B435" s="59"/>
      <c r="C435" s="70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88"/>
      <c r="P435" s="90"/>
      <c r="Q435" s="88"/>
      <c r="R435" s="88"/>
      <c r="S435" s="88"/>
      <c r="T435" s="59"/>
      <c r="U435" s="59"/>
      <c r="V435" s="59"/>
      <c r="W435" s="59"/>
      <c r="X435" s="59"/>
    </row>
    <row r="436">
      <c r="A436" s="59"/>
      <c r="B436" s="59"/>
      <c r="C436" s="70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88"/>
      <c r="P436" s="90"/>
      <c r="Q436" s="88"/>
      <c r="R436" s="88"/>
      <c r="S436" s="88"/>
      <c r="T436" s="59"/>
      <c r="U436" s="59"/>
      <c r="V436" s="59"/>
      <c r="W436" s="59"/>
      <c r="X436" s="59"/>
    </row>
    <row r="437">
      <c r="A437" s="59"/>
      <c r="B437" s="59"/>
      <c r="C437" s="70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88"/>
      <c r="P437" s="90"/>
      <c r="Q437" s="88"/>
      <c r="R437" s="88"/>
      <c r="S437" s="88"/>
      <c r="T437" s="59"/>
      <c r="U437" s="59"/>
      <c r="V437" s="59"/>
      <c r="W437" s="59"/>
      <c r="X437" s="59"/>
    </row>
    <row r="438">
      <c r="A438" s="59"/>
      <c r="B438" s="59"/>
      <c r="C438" s="70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88"/>
      <c r="P438" s="90"/>
      <c r="Q438" s="88"/>
      <c r="R438" s="88"/>
      <c r="S438" s="88"/>
      <c r="T438" s="59"/>
      <c r="U438" s="59"/>
      <c r="V438" s="59"/>
      <c r="W438" s="59"/>
      <c r="X438" s="59"/>
    </row>
    <row r="439">
      <c r="A439" s="59"/>
      <c r="B439" s="59"/>
      <c r="C439" s="70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88"/>
      <c r="P439" s="90"/>
      <c r="Q439" s="88"/>
      <c r="R439" s="88"/>
      <c r="S439" s="88"/>
      <c r="T439" s="59"/>
      <c r="U439" s="59"/>
      <c r="V439" s="59"/>
      <c r="W439" s="59"/>
      <c r="X439" s="59"/>
    </row>
    <row r="440">
      <c r="A440" s="59"/>
      <c r="B440" s="59"/>
      <c r="C440" s="70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88"/>
      <c r="P440" s="90"/>
      <c r="Q440" s="88"/>
      <c r="R440" s="88"/>
      <c r="S440" s="88"/>
      <c r="T440" s="59"/>
      <c r="U440" s="59"/>
      <c r="V440" s="59"/>
      <c r="W440" s="59"/>
      <c r="X440" s="59"/>
    </row>
    <row r="441">
      <c r="A441" s="59"/>
      <c r="B441" s="59"/>
      <c r="C441" s="70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88"/>
      <c r="P441" s="90"/>
      <c r="Q441" s="88"/>
      <c r="R441" s="88"/>
      <c r="S441" s="88"/>
      <c r="T441" s="59"/>
      <c r="U441" s="59"/>
      <c r="V441" s="59"/>
      <c r="W441" s="59"/>
      <c r="X441" s="59"/>
    </row>
    <row r="442">
      <c r="A442" s="59"/>
      <c r="B442" s="59"/>
      <c r="C442" s="70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88"/>
      <c r="P442" s="90"/>
      <c r="Q442" s="88"/>
      <c r="R442" s="88"/>
      <c r="S442" s="88"/>
      <c r="T442" s="59"/>
      <c r="U442" s="59"/>
      <c r="V442" s="59"/>
      <c r="W442" s="59"/>
      <c r="X442" s="59"/>
    </row>
    <row r="443">
      <c r="A443" s="59"/>
      <c r="B443" s="59"/>
      <c r="C443" s="70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88"/>
      <c r="P443" s="90"/>
      <c r="Q443" s="88"/>
      <c r="R443" s="88"/>
      <c r="S443" s="88"/>
      <c r="T443" s="59"/>
      <c r="U443" s="59"/>
      <c r="V443" s="59"/>
      <c r="W443" s="59"/>
      <c r="X443" s="59"/>
    </row>
    <row r="444">
      <c r="A444" s="59"/>
      <c r="B444" s="59"/>
      <c r="C444" s="70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88"/>
      <c r="P444" s="90"/>
      <c r="Q444" s="88"/>
      <c r="R444" s="88"/>
      <c r="S444" s="88"/>
      <c r="T444" s="59"/>
      <c r="U444" s="59"/>
      <c r="V444" s="59"/>
      <c r="W444" s="59"/>
      <c r="X444" s="59"/>
    </row>
    <row r="445">
      <c r="A445" s="59"/>
      <c r="B445" s="59"/>
      <c r="C445" s="70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88"/>
      <c r="P445" s="90"/>
      <c r="Q445" s="88"/>
      <c r="R445" s="88"/>
      <c r="S445" s="88"/>
      <c r="T445" s="59"/>
      <c r="U445" s="59"/>
      <c r="V445" s="59"/>
      <c r="W445" s="59"/>
      <c r="X445" s="59"/>
    </row>
    <row r="446">
      <c r="A446" s="59"/>
      <c r="B446" s="59"/>
      <c r="C446" s="70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88"/>
      <c r="P446" s="90"/>
      <c r="Q446" s="88"/>
      <c r="R446" s="88"/>
      <c r="S446" s="88"/>
      <c r="T446" s="59"/>
      <c r="U446" s="59"/>
      <c r="V446" s="59"/>
      <c r="W446" s="59"/>
      <c r="X446" s="59"/>
    </row>
    <row r="447">
      <c r="A447" s="59"/>
      <c r="B447" s="59"/>
      <c r="C447" s="70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88"/>
      <c r="P447" s="90"/>
      <c r="Q447" s="88"/>
      <c r="R447" s="88"/>
      <c r="S447" s="88"/>
      <c r="T447" s="59"/>
      <c r="U447" s="59"/>
      <c r="V447" s="59"/>
      <c r="W447" s="59"/>
      <c r="X447" s="59"/>
    </row>
    <row r="448">
      <c r="A448" s="59"/>
      <c r="B448" s="59"/>
      <c r="C448" s="70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88"/>
      <c r="P448" s="90"/>
      <c r="Q448" s="88"/>
      <c r="R448" s="88"/>
      <c r="S448" s="88"/>
      <c r="T448" s="59"/>
      <c r="U448" s="59"/>
      <c r="V448" s="59"/>
      <c r="W448" s="59"/>
      <c r="X448" s="59"/>
    </row>
    <row r="449">
      <c r="A449" s="59"/>
      <c r="B449" s="59"/>
      <c r="C449" s="70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88"/>
      <c r="P449" s="90"/>
      <c r="Q449" s="88"/>
      <c r="R449" s="88"/>
      <c r="S449" s="88"/>
      <c r="T449" s="59"/>
      <c r="U449" s="59"/>
      <c r="V449" s="59"/>
      <c r="W449" s="59"/>
      <c r="X449" s="59"/>
    </row>
    <row r="450">
      <c r="A450" s="59"/>
      <c r="B450" s="59"/>
      <c r="C450" s="70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88"/>
      <c r="P450" s="90"/>
      <c r="Q450" s="88"/>
      <c r="R450" s="88"/>
      <c r="S450" s="88"/>
      <c r="T450" s="59"/>
      <c r="U450" s="59"/>
      <c r="V450" s="59"/>
      <c r="W450" s="59"/>
      <c r="X450" s="59"/>
    </row>
    <row r="451">
      <c r="A451" s="59"/>
      <c r="B451" s="59"/>
      <c r="C451" s="70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88"/>
      <c r="P451" s="90"/>
      <c r="Q451" s="88"/>
      <c r="R451" s="88"/>
      <c r="S451" s="88"/>
      <c r="T451" s="59"/>
      <c r="U451" s="59"/>
      <c r="V451" s="59"/>
      <c r="W451" s="59"/>
      <c r="X451" s="59"/>
    </row>
    <row r="452">
      <c r="A452" s="59"/>
      <c r="B452" s="59"/>
      <c r="C452" s="70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88"/>
      <c r="P452" s="90"/>
      <c r="Q452" s="88"/>
      <c r="R452" s="88"/>
      <c r="S452" s="88"/>
      <c r="T452" s="59"/>
      <c r="U452" s="59"/>
      <c r="V452" s="59"/>
      <c r="W452" s="59"/>
      <c r="X452" s="59"/>
    </row>
    <row r="453">
      <c r="A453" s="59"/>
      <c r="B453" s="59"/>
      <c r="C453" s="70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88"/>
      <c r="P453" s="90"/>
      <c r="Q453" s="88"/>
      <c r="R453" s="88"/>
      <c r="S453" s="88"/>
      <c r="T453" s="59"/>
      <c r="U453" s="59"/>
      <c r="V453" s="59"/>
      <c r="W453" s="59"/>
      <c r="X453" s="59"/>
    </row>
    <row r="454">
      <c r="A454" s="59"/>
      <c r="B454" s="59"/>
      <c r="C454" s="70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88"/>
      <c r="P454" s="90"/>
      <c r="Q454" s="88"/>
      <c r="R454" s="88"/>
      <c r="S454" s="88"/>
      <c r="T454" s="59"/>
      <c r="U454" s="59"/>
      <c r="V454" s="59"/>
      <c r="W454" s="59"/>
      <c r="X454" s="59"/>
    </row>
    <row r="455">
      <c r="A455" s="59"/>
      <c r="B455" s="59"/>
      <c r="C455" s="70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88"/>
      <c r="P455" s="90"/>
      <c r="Q455" s="88"/>
      <c r="R455" s="88"/>
      <c r="S455" s="88"/>
      <c r="T455" s="59"/>
      <c r="U455" s="59"/>
      <c r="V455" s="59"/>
      <c r="W455" s="59"/>
      <c r="X455" s="59"/>
    </row>
    <row r="456">
      <c r="A456" s="59"/>
      <c r="B456" s="59"/>
      <c r="C456" s="70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88"/>
      <c r="P456" s="90"/>
      <c r="Q456" s="88"/>
      <c r="R456" s="88"/>
      <c r="S456" s="88"/>
      <c r="T456" s="59"/>
      <c r="U456" s="59"/>
      <c r="V456" s="59"/>
      <c r="W456" s="59"/>
      <c r="X456" s="59"/>
    </row>
    <row r="457">
      <c r="A457" s="59"/>
      <c r="B457" s="59"/>
      <c r="C457" s="70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88"/>
      <c r="P457" s="90"/>
      <c r="Q457" s="88"/>
      <c r="R457" s="88"/>
      <c r="S457" s="88"/>
      <c r="T457" s="59"/>
      <c r="U457" s="59"/>
      <c r="V457" s="59"/>
      <c r="W457" s="59"/>
      <c r="X457" s="59"/>
    </row>
    <row r="458">
      <c r="A458" s="59"/>
      <c r="B458" s="59"/>
      <c r="C458" s="70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88"/>
      <c r="P458" s="90"/>
      <c r="Q458" s="88"/>
      <c r="R458" s="88"/>
      <c r="S458" s="88"/>
      <c r="T458" s="59"/>
      <c r="U458" s="59"/>
      <c r="V458" s="59"/>
      <c r="W458" s="59"/>
      <c r="X458" s="59"/>
    </row>
    <row r="459">
      <c r="A459" s="59"/>
      <c r="B459" s="59"/>
      <c r="C459" s="70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88"/>
      <c r="P459" s="90"/>
      <c r="Q459" s="88"/>
      <c r="R459" s="88"/>
      <c r="S459" s="88"/>
      <c r="T459" s="59"/>
      <c r="U459" s="59"/>
      <c r="V459" s="59"/>
      <c r="W459" s="59"/>
      <c r="X459" s="59"/>
    </row>
    <row r="460">
      <c r="A460" s="59"/>
      <c r="B460" s="59"/>
      <c r="C460" s="70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88"/>
      <c r="P460" s="90"/>
      <c r="Q460" s="88"/>
      <c r="R460" s="88"/>
      <c r="S460" s="88"/>
      <c r="T460" s="59"/>
      <c r="U460" s="59"/>
      <c r="V460" s="59"/>
      <c r="W460" s="59"/>
      <c r="X460" s="59"/>
    </row>
    <row r="461">
      <c r="A461" s="59"/>
      <c r="B461" s="59"/>
      <c r="C461" s="70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88"/>
      <c r="P461" s="90"/>
      <c r="Q461" s="88"/>
      <c r="R461" s="88"/>
      <c r="S461" s="88"/>
      <c r="T461" s="59"/>
      <c r="U461" s="59"/>
      <c r="V461" s="59"/>
      <c r="W461" s="59"/>
      <c r="X461" s="59"/>
    </row>
    <row r="462">
      <c r="A462" s="59"/>
      <c r="B462" s="59"/>
      <c r="C462" s="70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88"/>
      <c r="P462" s="90"/>
      <c r="Q462" s="88"/>
      <c r="R462" s="88"/>
      <c r="S462" s="88"/>
      <c r="T462" s="59"/>
      <c r="U462" s="59"/>
      <c r="V462" s="59"/>
      <c r="W462" s="59"/>
      <c r="X462" s="59"/>
    </row>
    <row r="463">
      <c r="A463" s="59"/>
      <c r="B463" s="59"/>
      <c r="C463" s="70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88"/>
      <c r="P463" s="90"/>
      <c r="Q463" s="88"/>
      <c r="R463" s="88"/>
      <c r="S463" s="88"/>
      <c r="T463" s="59"/>
      <c r="U463" s="59"/>
      <c r="V463" s="59"/>
      <c r="W463" s="59"/>
      <c r="X463" s="59"/>
    </row>
    <row r="464">
      <c r="A464" s="59"/>
      <c r="B464" s="59"/>
      <c r="C464" s="70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88"/>
      <c r="P464" s="90"/>
      <c r="Q464" s="88"/>
      <c r="R464" s="88"/>
      <c r="S464" s="88"/>
      <c r="T464" s="59"/>
      <c r="U464" s="59"/>
      <c r="V464" s="59"/>
      <c r="W464" s="59"/>
      <c r="X464" s="59"/>
    </row>
    <row r="465">
      <c r="A465" s="59"/>
      <c r="B465" s="59"/>
      <c r="C465" s="70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88"/>
      <c r="P465" s="90"/>
      <c r="Q465" s="88"/>
      <c r="R465" s="88"/>
      <c r="S465" s="88"/>
      <c r="T465" s="59"/>
      <c r="U465" s="59"/>
      <c r="V465" s="59"/>
      <c r="W465" s="59"/>
      <c r="X465" s="59"/>
    </row>
    <row r="466">
      <c r="A466" s="59"/>
      <c r="B466" s="59"/>
      <c r="C466" s="70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88"/>
      <c r="P466" s="90"/>
      <c r="Q466" s="88"/>
      <c r="R466" s="88"/>
      <c r="S466" s="88"/>
      <c r="T466" s="59"/>
      <c r="U466" s="59"/>
      <c r="V466" s="59"/>
      <c r="W466" s="59"/>
      <c r="X466" s="59"/>
    </row>
    <row r="467">
      <c r="A467" s="59"/>
      <c r="B467" s="59"/>
      <c r="C467" s="70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88"/>
      <c r="P467" s="90"/>
      <c r="Q467" s="88"/>
      <c r="R467" s="88"/>
      <c r="S467" s="88"/>
      <c r="T467" s="59"/>
      <c r="U467" s="59"/>
      <c r="V467" s="59"/>
      <c r="W467" s="59"/>
      <c r="X467" s="59"/>
    </row>
    <row r="468">
      <c r="A468" s="59"/>
      <c r="B468" s="59"/>
      <c r="C468" s="70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88"/>
      <c r="P468" s="90"/>
      <c r="Q468" s="88"/>
      <c r="R468" s="88"/>
      <c r="S468" s="88"/>
      <c r="T468" s="59"/>
      <c r="U468" s="59"/>
      <c r="V468" s="59"/>
      <c r="W468" s="59"/>
      <c r="X468" s="59"/>
    </row>
    <row r="469">
      <c r="A469" s="59"/>
      <c r="B469" s="59"/>
      <c r="C469" s="70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88"/>
      <c r="P469" s="90"/>
      <c r="Q469" s="88"/>
      <c r="R469" s="88"/>
      <c r="S469" s="88"/>
      <c r="T469" s="59"/>
      <c r="U469" s="59"/>
      <c r="V469" s="59"/>
      <c r="W469" s="59"/>
      <c r="X469" s="59"/>
    </row>
    <row r="470">
      <c r="A470" s="59"/>
      <c r="B470" s="59"/>
      <c r="C470" s="70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88"/>
      <c r="P470" s="90"/>
      <c r="Q470" s="88"/>
      <c r="R470" s="88"/>
      <c r="S470" s="88"/>
      <c r="T470" s="59"/>
      <c r="U470" s="59"/>
      <c r="V470" s="59"/>
      <c r="W470" s="59"/>
      <c r="X470" s="59"/>
    </row>
    <row r="471">
      <c r="A471" s="59"/>
      <c r="B471" s="59"/>
      <c r="C471" s="70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88"/>
      <c r="P471" s="90"/>
      <c r="Q471" s="88"/>
      <c r="R471" s="88"/>
      <c r="S471" s="88"/>
      <c r="T471" s="59"/>
      <c r="U471" s="59"/>
      <c r="V471" s="59"/>
      <c r="W471" s="59"/>
      <c r="X471" s="59"/>
    </row>
    <row r="472">
      <c r="A472" s="59"/>
      <c r="B472" s="59"/>
      <c r="C472" s="70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88"/>
      <c r="P472" s="90"/>
      <c r="Q472" s="88"/>
      <c r="R472" s="88"/>
      <c r="S472" s="88"/>
      <c r="T472" s="59"/>
      <c r="U472" s="59"/>
      <c r="V472" s="59"/>
      <c r="W472" s="59"/>
      <c r="X472" s="59"/>
    </row>
    <row r="473">
      <c r="A473" s="59"/>
      <c r="B473" s="59"/>
      <c r="C473" s="70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88"/>
      <c r="P473" s="90"/>
      <c r="Q473" s="88"/>
      <c r="R473" s="88"/>
      <c r="S473" s="88"/>
      <c r="T473" s="59"/>
      <c r="U473" s="59"/>
      <c r="V473" s="59"/>
      <c r="W473" s="59"/>
      <c r="X473" s="59"/>
    </row>
    <row r="474">
      <c r="A474" s="59"/>
      <c r="B474" s="59"/>
      <c r="C474" s="70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88"/>
      <c r="P474" s="90"/>
      <c r="Q474" s="88"/>
      <c r="R474" s="88"/>
      <c r="S474" s="88"/>
      <c r="T474" s="59"/>
      <c r="U474" s="59"/>
      <c r="V474" s="59"/>
      <c r="W474" s="59"/>
      <c r="X474" s="59"/>
    </row>
    <row r="475">
      <c r="A475" s="59"/>
      <c r="B475" s="59"/>
      <c r="C475" s="70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88"/>
      <c r="P475" s="90"/>
      <c r="Q475" s="88"/>
      <c r="R475" s="88"/>
      <c r="S475" s="88"/>
      <c r="T475" s="59"/>
      <c r="U475" s="59"/>
      <c r="V475" s="59"/>
      <c r="W475" s="59"/>
      <c r="X475" s="59"/>
    </row>
    <row r="476">
      <c r="A476" s="59"/>
      <c r="B476" s="59"/>
      <c r="C476" s="70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88"/>
      <c r="P476" s="90"/>
      <c r="Q476" s="88"/>
      <c r="R476" s="88"/>
      <c r="S476" s="88"/>
      <c r="T476" s="59"/>
      <c r="U476" s="59"/>
      <c r="V476" s="59"/>
      <c r="W476" s="59"/>
      <c r="X476" s="59"/>
    </row>
    <row r="477">
      <c r="A477" s="59"/>
      <c r="B477" s="59"/>
      <c r="C477" s="70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88"/>
      <c r="P477" s="90"/>
      <c r="Q477" s="88"/>
      <c r="R477" s="88"/>
      <c r="S477" s="88"/>
      <c r="T477" s="59"/>
      <c r="U477" s="59"/>
      <c r="V477" s="59"/>
      <c r="W477" s="59"/>
      <c r="X477" s="59"/>
    </row>
    <row r="478">
      <c r="A478" s="59"/>
      <c r="B478" s="59"/>
      <c r="C478" s="70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88"/>
      <c r="P478" s="90"/>
      <c r="Q478" s="88"/>
      <c r="R478" s="88"/>
      <c r="S478" s="88"/>
      <c r="T478" s="59"/>
      <c r="U478" s="59"/>
      <c r="V478" s="59"/>
      <c r="W478" s="59"/>
      <c r="X478" s="59"/>
    </row>
    <row r="479">
      <c r="A479" s="59"/>
      <c r="B479" s="59"/>
      <c r="C479" s="70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88"/>
      <c r="P479" s="90"/>
      <c r="Q479" s="88"/>
      <c r="R479" s="88"/>
      <c r="S479" s="88"/>
      <c r="T479" s="59"/>
      <c r="U479" s="59"/>
      <c r="V479" s="59"/>
      <c r="W479" s="59"/>
      <c r="X479" s="59"/>
    </row>
    <row r="480">
      <c r="A480" s="59"/>
      <c r="B480" s="59"/>
      <c r="C480" s="70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88"/>
      <c r="P480" s="90"/>
      <c r="Q480" s="88"/>
      <c r="R480" s="88"/>
      <c r="S480" s="88"/>
      <c r="T480" s="59"/>
      <c r="U480" s="59"/>
      <c r="V480" s="59"/>
      <c r="W480" s="59"/>
      <c r="X480" s="59"/>
    </row>
    <row r="481">
      <c r="A481" s="59"/>
      <c r="B481" s="59"/>
      <c r="C481" s="70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88"/>
      <c r="P481" s="90"/>
      <c r="Q481" s="88"/>
      <c r="R481" s="88"/>
      <c r="S481" s="88"/>
      <c r="T481" s="59"/>
      <c r="U481" s="59"/>
      <c r="V481" s="59"/>
      <c r="W481" s="59"/>
      <c r="X481" s="59"/>
    </row>
    <row r="482">
      <c r="A482" s="59"/>
      <c r="B482" s="59"/>
      <c r="C482" s="70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88"/>
      <c r="P482" s="90"/>
      <c r="Q482" s="88"/>
      <c r="R482" s="88"/>
      <c r="S482" s="88"/>
      <c r="T482" s="59"/>
      <c r="U482" s="59"/>
      <c r="V482" s="59"/>
      <c r="W482" s="59"/>
      <c r="X482" s="59"/>
    </row>
    <row r="483">
      <c r="A483" s="59"/>
      <c r="B483" s="59"/>
      <c r="C483" s="70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88"/>
      <c r="P483" s="90"/>
      <c r="Q483" s="88"/>
      <c r="R483" s="88"/>
      <c r="S483" s="88"/>
      <c r="T483" s="59"/>
      <c r="U483" s="59"/>
      <c r="V483" s="59"/>
      <c r="W483" s="59"/>
      <c r="X483" s="59"/>
    </row>
    <row r="484">
      <c r="A484" s="59"/>
      <c r="B484" s="59"/>
      <c r="C484" s="70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88"/>
      <c r="P484" s="90"/>
      <c r="Q484" s="88"/>
      <c r="R484" s="88"/>
      <c r="S484" s="88"/>
      <c r="T484" s="59"/>
      <c r="U484" s="59"/>
      <c r="V484" s="59"/>
      <c r="W484" s="59"/>
      <c r="X484" s="59"/>
    </row>
    <row r="485">
      <c r="A485" s="59"/>
      <c r="B485" s="59"/>
      <c r="C485" s="70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88"/>
      <c r="P485" s="90"/>
      <c r="Q485" s="88"/>
      <c r="R485" s="88"/>
      <c r="S485" s="88"/>
      <c r="T485" s="59"/>
      <c r="U485" s="59"/>
      <c r="V485" s="59"/>
      <c r="W485" s="59"/>
      <c r="X485" s="59"/>
    </row>
    <row r="486">
      <c r="A486" s="59"/>
      <c r="B486" s="59"/>
      <c r="C486" s="70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88"/>
      <c r="P486" s="90"/>
      <c r="Q486" s="88"/>
      <c r="R486" s="88"/>
      <c r="S486" s="88"/>
      <c r="T486" s="59"/>
      <c r="U486" s="59"/>
      <c r="V486" s="59"/>
      <c r="W486" s="59"/>
      <c r="X486" s="59"/>
    </row>
    <row r="487">
      <c r="A487" s="59"/>
      <c r="B487" s="59"/>
      <c r="C487" s="70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88"/>
      <c r="P487" s="90"/>
      <c r="Q487" s="88"/>
      <c r="R487" s="88"/>
      <c r="S487" s="88"/>
      <c r="T487" s="59"/>
      <c r="U487" s="59"/>
      <c r="V487" s="59"/>
      <c r="W487" s="59"/>
      <c r="X487" s="59"/>
    </row>
    <row r="488">
      <c r="A488" s="59"/>
      <c r="B488" s="59"/>
      <c r="C488" s="70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88"/>
      <c r="P488" s="90"/>
      <c r="Q488" s="88"/>
      <c r="R488" s="88"/>
      <c r="S488" s="88"/>
      <c r="T488" s="59"/>
      <c r="U488" s="59"/>
      <c r="V488" s="59"/>
      <c r="W488" s="59"/>
      <c r="X488" s="59"/>
    </row>
    <row r="489">
      <c r="A489" s="59"/>
      <c r="B489" s="59"/>
      <c r="C489" s="70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88"/>
      <c r="P489" s="90"/>
      <c r="Q489" s="88"/>
      <c r="R489" s="88"/>
      <c r="S489" s="88"/>
      <c r="T489" s="59"/>
      <c r="U489" s="59"/>
      <c r="V489" s="59"/>
      <c r="W489" s="59"/>
      <c r="X489" s="59"/>
    </row>
    <row r="490">
      <c r="A490" s="59"/>
      <c r="B490" s="59"/>
      <c r="C490" s="70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88"/>
      <c r="P490" s="90"/>
      <c r="Q490" s="88"/>
      <c r="R490" s="88"/>
      <c r="S490" s="88"/>
      <c r="T490" s="59"/>
      <c r="U490" s="59"/>
      <c r="V490" s="59"/>
      <c r="W490" s="59"/>
      <c r="X490" s="59"/>
    </row>
    <row r="491">
      <c r="A491" s="59"/>
      <c r="B491" s="59"/>
      <c r="C491" s="70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88"/>
      <c r="P491" s="90"/>
      <c r="Q491" s="88"/>
      <c r="R491" s="88"/>
      <c r="S491" s="88"/>
      <c r="T491" s="59"/>
      <c r="U491" s="59"/>
      <c r="V491" s="59"/>
      <c r="W491" s="59"/>
      <c r="X491" s="59"/>
    </row>
    <row r="492">
      <c r="A492" s="59"/>
      <c r="B492" s="59"/>
      <c r="C492" s="70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88"/>
      <c r="P492" s="90"/>
      <c r="Q492" s="88"/>
      <c r="R492" s="88"/>
      <c r="S492" s="88"/>
      <c r="T492" s="59"/>
      <c r="U492" s="59"/>
      <c r="V492" s="59"/>
      <c r="W492" s="59"/>
      <c r="X492" s="59"/>
    </row>
    <row r="493">
      <c r="A493" s="59"/>
      <c r="B493" s="59"/>
      <c r="C493" s="70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88"/>
      <c r="P493" s="90"/>
      <c r="Q493" s="88"/>
      <c r="R493" s="88"/>
      <c r="S493" s="88"/>
      <c r="T493" s="59"/>
      <c r="U493" s="59"/>
      <c r="V493" s="59"/>
      <c r="W493" s="59"/>
      <c r="X493" s="59"/>
    </row>
    <row r="494">
      <c r="A494" s="59"/>
      <c r="B494" s="59"/>
      <c r="C494" s="70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88"/>
      <c r="P494" s="90"/>
      <c r="Q494" s="88"/>
      <c r="R494" s="88"/>
      <c r="S494" s="88"/>
      <c r="T494" s="59"/>
      <c r="U494" s="59"/>
      <c r="V494" s="59"/>
      <c r="W494" s="59"/>
      <c r="X494" s="59"/>
    </row>
    <row r="495">
      <c r="A495" s="59"/>
      <c r="B495" s="59"/>
      <c r="C495" s="70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88"/>
      <c r="P495" s="90"/>
      <c r="Q495" s="88"/>
      <c r="R495" s="88"/>
      <c r="S495" s="88"/>
      <c r="T495" s="59"/>
      <c r="U495" s="59"/>
      <c r="V495" s="59"/>
      <c r="W495" s="59"/>
      <c r="X495" s="59"/>
    </row>
    <row r="496">
      <c r="A496" s="59"/>
      <c r="B496" s="59"/>
      <c r="C496" s="70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88"/>
      <c r="P496" s="90"/>
      <c r="Q496" s="88"/>
      <c r="R496" s="88"/>
      <c r="S496" s="88"/>
      <c r="T496" s="59"/>
      <c r="U496" s="59"/>
      <c r="V496" s="59"/>
      <c r="W496" s="59"/>
      <c r="X496" s="59"/>
    </row>
    <row r="497">
      <c r="A497" s="59"/>
      <c r="B497" s="59"/>
      <c r="C497" s="70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88"/>
      <c r="P497" s="90"/>
      <c r="Q497" s="88"/>
      <c r="R497" s="88"/>
      <c r="S497" s="88"/>
      <c r="T497" s="59"/>
      <c r="U497" s="59"/>
      <c r="V497" s="59"/>
      <c r="W497" s="59"/>
      <c r="X497" s="59"/>
    </row>
    <row r="498">
      <c r="A498" s="59"/>
      <c r="B498" s="59"/>
      <c r="C498" s="70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88"/>
      <c r="P498" s="90"/>
      <c r="Q498" s="88"/>
      <c r="R498" s="88"/>
      <c r="S498" s="88"/>
      <c r="T498" s="59"/>
      <c r="U498" s="59"/>
      <c r="V498" s="59"/>
      <c r="W498" s="59"/>
      <c r="X498" s="59"/>
    </row>
    <row r="499">
      <c r="A499" s="59"/>
      <c r="B499" s="59"/>
      <c r="C499" s="70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88"/>
      <c r="P499" s="90"/>
      <c r="Q499" s="88"/>
      <c r="R499" s="88"/>
      <c r="S499" s="88"/>
      <c r="T499" s="59"/>
      <c r="U499" s="59"/>
      <c r="V499" s="59"/>
      <c r="W499" s="59"/>
      <c r="X499" s="59"/>
    </row>
    <row r="500">
      <c r="A500" s="59"/>
      <c r="B500" s="59"/>
      <c r="C500" s="70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88"/>
      <c r="P500" s="90"/>
      <c r="Q500" s="88"/>
      <c r="R500" s="88"/>
      <c r="S500" s="88"/>
      <c r="T500" s="59"/>
      <c r="U500" s="59"/>
      <c r="V500" s="59"/>
      <c r="W500" s="59"/>
      <c r="X500" s="59"/>
    </row>
    <row r="501">
      <c r="A501" s="59"/>
      <c r="B501" s="59"/>
      <c r="C501" s="70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88"/>
      <c r="P501" s="90"/>
      <c r="Q501" s="88"/>
      <c r="R501" s="88"/>
      <c r="S501" s="88"/>
      <c r="T501" s="59"/>
      <c r="U501" s="59"/>
      <c r="V501" s="59"/>
      <c r="W501" s="59"/>
      <c r="X501" s="59"/>
    </row>
    <row r="502">
      <c r="A502" s="59"/>
      <c r="B502" s="59"/>
      <c r="C502" s="70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88"/>
      <c r="P502" s="90"/>
      <c r="Q502" s="88"/>
      <c r="R502" s="88"/>
      <c r="S502" s="88"/>
      <c r="T502" s="59"/>
      <c r="U502" s="59"/>
      <c r="V502" s="59"/>
      <c r="W502" s="59"/>
      <c r="X502" s="59"/>
    </row>
    <row r="503">
      <c r="A503" s="59"/>
      <c r="B503" s="59"/>
      <c r="C503" s="70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88"/>
      <c r="P503" s="90"/>
      <c r="Q503" s="88"/>
      <c r="R503" s="88"/>
      <c r="S503" s="88"/>
      <c r="T503" s="59"/>
      <c r="U503" s="59"/>
      <c r="V503" s="59"/>
      <c r="W503" s="59"/>
      <c r="X503" s="59"/>
    </row>
    <row r="504">
      <c r="A504" s="59"/>
      <c r="B504" s="59"/>
      <c r="C504" s="70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88"/>
      <c r="P504" s="90"/>
      <c r="Q504" s="88"/>
      <c r="R504" s="88"/>
      <c r="S504" s="88"/>
      <c r="T504" s="59"/>
      <c r="U504" s="59"/>
      <c r="V504" s="59"/>
      <c r="W504" s="59"/>
      <c r="X504" s="59"/>
    </row>
    <row r="505">
      <c r="A505" s="59"/>
      <c r="B505" s="59"/>
      <c r="C505" s="70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88"/>
      <c r="P505" s="90"/>
      <c r="Q505" s="88"/>
      <c r="R505" s="88"/>
      <c r="S505" s="88"/>
      <c r="T505" s="59"/>
      <c r="U505" s="59"/>
      <c r="V505" s="59"/>
      <c r="W505" s="59"/>
      <c r="X505" s="59"/>
    </row>
    <row r="506">
      <c r="A506" s="59"/>
      <c r="B506" s="59"/>
      <c r="C506" s="70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88"/>
      <c r="P506" s="90"/>
      <c r="Q506" s="88"/>
      <c r="R506" s="88"/>
      <c r="S506" s="88"/>
      <c r="T506" s="59"/>
      <c r="U506" s="59"/>
      <c r="V506" s="59"/>
      <c r="W506" s="59"/>
      <c r="X506" s="59"/>
    </row>
    <row r="507">
      <c r="A507" s="59"/>
      <c r="B507" s="59"/>
      <c r="C507" s="70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88"/>
      <c r="P507" s="90"/>
      <c r="Q507" s="88"/>
      <c r="R507" s="88"/>
      <c r="S507" s="88"/>
      <c r="T507" s="59"/>
      <c r="U507" s="59"/>
      <c r="V507" s="59"/>
      <c r="W507" s="59"/>
      <c r="X507" s="59"/>
    </row>
    <row r="508">
      <c r="A508" s="59"/>
      <c r="B508" s="59"/>
      <c r="C508" s="70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88"/>
      <c r="P508" s="90"/>
      <c r="Q508" s="88"/>
      <c r="R508" s="88"/>
      <c r="S508" s="88"/>
      <c r="T508" s="59"/>
      <c r="U508" s="59"/>
      <c r="V508" s="59"/>
      <c r="W508" s="59"/>
      <c r="X508" s="59"/>
    </row>
    <row r="509">
      <c r="A509" s="59"/>
      <c r="B509" s="59"/>
      <c r="C509" s="70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88"/>
      <c r="P509" s="90"/>
      <c r="Q509" s="88"/>
      <c r="R509" s="88"/>
      <c r="S509" s="88"/>
      <c r="T509" s="59"/>
      <c r="U509" s="59"/>
      <c r="V509" s="59"/>
      <c r="W509" s="59"/>
      <c r="X509" s="59"/>
    </row>
    <row r="510">
      <c r="A510" s="59"/>
      <c r="B510" s="59"/>
      <c r="C510" s="70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88"/>
      <c r="P510" s="90"/>
      <c r="Q510" s="88"/>
      <c r="R510" s="88"/>
      <c r="S510" s="88"/>
      <c r="T510" s="59"/>
      <c r="U510" s="59"/>
      <c r="V510" s="59"/>
      <c r="W510" s="59"/>
      <c r="X510" s="59"/>
    </row>
    <row r="511">
      <c r="A511" s="59"/>
      <c r="B511" s="59"/>
      <c r="C511" s="70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88"/>
      <c r="P511" s="90"/>
      <c r="Q511" s="88"/>
      <c r="R511" s="88"/>
      <c r="S511" s="88"/>
      <c r="T511" s="59"/>
      <c r="U511" s="59"/>
      <c r="V511" s="59"/>
      <c r="W511" s="59"/>
      <c r="X511" s="59"/>
    </row>
    <row r="512">
      <c r="A512" s="59"/>
      <c r="B512" s="59"/>
      <c r="C512" s="70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88"/>
      <c r="P512" s="90"/>
      <c r="Q512" s="88"/>
      <c r="R512" s="88"/>
      <c r="S512" s="88"/>
      <c r="T512" s="59"/>
      <c r="U512" s="59"/>
      <c r="V512" s="59"/>
      <c r="W512" s="59"/>
      <c r="X512" s="59"/>
    </row>
    <row r="513">
      <c r="A513" s="59"/>
      <c r="B513" s="59"/>
      <c r="C513" s="70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88"/>
      <c r="P513" s="90"/>
      <c r="Q513" s="88"/>
      <c r="R513" s="88"/>
      <c r="S513" s="88"/>
      <c r="T513" s="59"/>
      <c r="U513" s="59"/>
      <c r="V513" s="59"/>
      <c r="W513" s="59"/>
      <c r="X513" s="59"/>
    </row>
    <row r="514">
      <c r="A514" s="59"/>
      <c r="B514" s="59"/>
      <c r="C514" s="70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88"/>
      <c r="P514" s="90"/>
      <c r="Q514" s="88"/>
      <c r="R514" s="88"/>
      <c r="S514" s="88"/>
      <c r="T514" s="59"/>
      <c r="U514" s="59"/>
      <c r="V514" s="59"/>
      <c r="W514" s="59"/>
      <c r="X514" s="59"/>
    </row>
    <row r="515">
      <c r="A515" s="59"/>
      <c r="B515" s="59"/>
      <c r="C515" s="70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88"/>
      <c r="P515" s="90"/>
      <c r="Q515" s="88"/>
      <c r="R515" s="88"/>
      <c r="S515" s="88"/>
      <c r="T515" s="59"/>
      <c r="U515" s="59"/>
      <c r="V515" s="59"/>
      <c r="W515" s="59"/>
      <c r="X515" s="59"/>
    </row>
    <row r="516">
      <c r="A516" s="59"/>
      <c r="B516" s="59"/>
      <c r="C516" s="70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88"/>
      <c r="P516" s="90"/>
      <c r="Q516" s="88"/>
      <c r="R516" s="88"/>
      <c r="S516" s="88"/>
      <c r="T516" s="59"/>
      <c r="U516" s="59"/>
      <c r="V516" s="59"/>
      <c r="W516" s="59"/>
      <c r="X516" s="59"/>
    </row>
    <row r="517">
      <c r="A517" s="59"/>
      <c r="B517" s="59"/>
      <c r="C517" s="70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88"/>
      <c r="P517" s="90"/>
      <c r="Q517" s="88"/>
      <c r="R517" s="88"/>
      <c r="S517" s="88"/>
      <c r="T517" s="59"/>
      <c r="U517" s="59"/>
      <c r="V517" s="59"/>
      <c r="W517" s="59"/>
      <c r="X517" s="59"/>
    </row>
    <row r="518">
      <c r="A518" s="59"/>
      <c r="B518" s="59"/>
      <c r="C518" s="70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88"/>
      <c r="P518" s="90"/>
      <c r="Q518" s="88"/>
      <c r="R518" s="88"/>
      <c r="S518" s="88"/>
      <c r="T518" s="59"/>
      <c r="U518" s="59"/>
      <c r="V518" s="59"/>
      <c r="W518" s="59"/>
      <c r="X518" s="59"/>
    </row>
    <row r="519">
      <c r="A519" s="59"/>
      <c r="B519" s="59"/>
      <c r="C519" s="70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88"/>
      <c r="P519" s="90"/>
      <c r="Q519" s="88"/>
      <c r="R519" s="88"/>
      <c r="S519" s="88"/>
      <c r="T519" s="59"/>
      <c r="U519" s="59"/>
      <c r="V519" s="59"/>
      <c r="W519" s="59"/>
      <c r="X519" s="59"/>
    </row>
    <row r="520">
      <c r="A520" s="59"/>
      <c r="B520" s="59"/>
      <c r="C520" s="70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88"/>
      <c r="P520" s="90"/>
      <c r="Q520" s="88"/>
      <c r="R520" s="88"/>
      <c r="S520" s="88"/>
      <c r="T520" s="59"/>
      <c r="U520" s="59"/>
      <c r="V520" s="59"/>
      <c r="W520" s="59"/>
      <c r="X520" s="59"/>
    </row>
    <row r="521">
      <c r="A521" s="59"/>
      <c r="B521" s="59"/>
      <c r="C521" s="70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88"/>
      <c r="P521" s="90"/>
      <c r="Q521" s="88"/>
      <c r="R521" s="88"/>
      <c r="S521" s="88"/>
      <c r="T521" s="59"/>
      <c r="U521" s="59"/>
      <c r="V521" s="59"/>
      <c r="W521" s="59"/>
      <c r="X521" s="59"/>
    </row>
    <row r="522">
      <c r="A522" s="59"/>
      <c r="B522" s="59"/>
      <c r="C522" s="70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88"/>
      <c r="P522" s="90"/>
      <c r="Q522" s="88"/>
      <c r="R522" s="88"/>
      <c r="S522" s="88"/>
      <c r="T522" s="59"/>
      <c r="U522" s="59"/>
      <c r="V522" s="59"/>
      <c r="W522" s="59"/>
      <c r="X522" s="59"/>
    </row>
    <row r="523">
      <c r="A523" s="59"/>
      <c r="B523" s="59"/>
      <c r="C523" s="70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88"/>
      <c r="P523" s="90"/>
      <c r="Q523" s="88"/>
      <c r="R523" s="88"/>
      <c r="S523" s="88"/>
      <c r="T523" s="59"/>
      <c r="U523" s="59"/>
      <c r="V523" s="59"/>
      <c r="W523" s="59"/>
      <c r="X523" s="59"/>
    </row>
    <row r="524">
      <c r="A524" s="59"/>
      <c r="B524" s="59"/>
      <c r="C524" s="70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88"/>
      <c r="P524" s="90"/>
      <c r="Q524" s="88"/>
      <c r="R524" s="88"/>
      <c r="S524" s="88"/>
      <c r="T524" s="59"/>
      <c r="U524" s="59"/>
      <c r="V524" s="59"/>
      <c r="W524" s="59"/>
      <c r="X524" s="59"/>
    </row>
    <row r="525">
      <c r="A525" s="59"/>
      <c r="B525" s="59"/>
      <c r="C525" s="70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88"/>
      <c r="P525" s="90"/>
      <c r="Q525" s="88"/>
      <c r="R525" s="88"/>
      <c r="S525" s="88"/>
      <c r="T525" s="59"/>
      <c r="U525" s="59"/>
      <c r="V525" s="59"/>
      <c r="W525" s="59"/>
      <c r="X525" s="59"/>
    </row>
    <row r="526">
      <c r="A526" s="59"/>
      <c r="B526" s="59"/>
      <c r="C526" s="70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88"/>
      <c r="P526" s="90"/>
      <c r="Q526" s="88"/>
      <c r="R526" s="88"/>
      <c r="S526" s="88"/>
      <c r="T526" s="59"/>
      <c r="U526" s="59"/>
      <c r="V526" s="59"/>
      <c r="W526" s="59"/>
      <c r="X526" s="59"/>
    </row>
    <row r="527">
      <c r="A527" s="59"/>
      <c r="B527" s="59"/>
      <c r="C527" s="70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88"/>
      <c r="P527" s="90"/>
      <c r="Q527" s="88"/>
      <c r="R527" s="88"/>
      <c r="S527" s="88"/>
      <c r="T527" s="59"/>
      <c r="U527" s="59"/>
      <c r="V527" s="59"/>
      <c r="W527" s="59"/>
      <c r="X527" s="59"/>
    </row>
    <row r="528">
      <c r="A528" s="59"/>
      <c r="B528" s="59"/>
      <c r="C528" s="70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88"/>
      <c r="P528" s="90"/>
      <c r="Q528" s="88"/>
      <c r="R528" s="88"/>
      <c r="S528" s="88"/>
      <c r="T528" s="59"/>
      <c r="U528" s="59"/>
      <c r="V528" s="59"/>
      <c r="W528" s="59"/>
      <c r="X528" s="59"/>
    </row>
    <row r="529">
      <c r="A529" s="59"/>
      <c r="B529" s="59"/>
      <c r="C529" s="70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88"/>
      <c r="P529" s="90"/>
      <c r="Q529" s="88"/>
      <c r="R529" s="88"/>
      <c r="S529" s="88"/>
      <c r="T529" s="59"/>
      <c r="U529" s="59"/>
      <c r="V529" s="59"/>
      <c r="W529" s="59"/>
      <c r="X529" s="59"/>
    </row>
    <row r="530">
      <c r="A530" s="59"/>
      <c r="B530" s="59"/>
      <c r="C530" s="70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88"/>
      <c r="P530" s="90"/>
      <c r="Q530" s="88"/>
      <c r="R530" s="88"/>
      <c r="S530" s="88"/>
      <c r="T530" s="59"/>
      <c r="U530" s="59"/>
      <c r="V530" s="59"/>
      <c r="W530" s="59"/>
      <c r="X530" s="59"/>
    </row>
    <row r="531">
      <c r="A531" s="59"/>
      <c r="B531" s="59"/>
      <c r="C531" s="70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88"/>
      <c r="P531" s="90"/>
      <c r="Q531" s="88"/>
      <c r="R531" s="88"/>
      <c r="S531" s="88"/>
      <c r="T531" s="59"/>
      <c r="U531" s="59"/>
      <c r="V531" s="59"/>
      <c r="W531" s="59"/>
      <c r="X531" s="59"/>
    </row>
    <row r="532">
      <c r="A532" s="59"/>
      <c r="B532" s="59"/>
      <c r="C532" s="70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88"/>
      <c r="P532" s="90"/>
      <c r="Q532" s="88"/>
      <c r="R532" s="88"/>
      <c r="S532" s="88"/>
      <c r="T532" s="59"/>
      <c r="U532" s="59"/>
      <c r="V532" s="59"/>
      <c r="W532" s="59"/>
      <c r="X532" s="59"/>
    </row>
    <row r="533">
      <c r="A533" s="59"/>
      <c r="B533" s="59"/>
      <c r="C533" s="70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88"/>
      <c r="P533" s="90"/>
      <c r="Q533" s="88"/>
      <c r="R533" s="88"/>
      <c r="S533" s="88"/>
      <c r="T533" s="59"/>
      <c r="U533" s="59"/>
      <c r="V533" s="59"/>
      <c r="W533" s="59"/>
      <c r="X533" s="59"/>
    </row>
    <row r="534">
      <c r="A534" s="59"/>
      <c r="B534" s="59"/>
      <c r="C534" s="70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88"/>
      <c r="P534" s="90"/>
      <c r="Q534" s="88"/>
      <c r="R534" s="88"/>
      <c r="S534" s="88"/>
      <c r="T534" s="59"/>
      <c r="U534" s="59"/>
      <c r="V534" s="59"/>
      <c r="W534" s="59"/>
      <c r="X534" s="59"/>
    </row>
    <row r="535">
      <c r="A535" s="59"/>
      <c r="B535" s="59"/>
      <c r="C535" s="70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88"/>
      <c r="P535" s="90"/>
      <c r="Q535" s="88"/>
      <c r="R535" s="88"/>
      <c r="S535" s="88"/>
      <c r="T535" s="59"/>
      <c r="U535" s="59"/>
      <c r="V535" s="59"/>
      <c r="W535" s="59"/>
      <c r="X535" s="59"/>
    </row>
    <row r="536">
      <c r="A536" s="59"/>
      <c r="B536" s="59"/>
      <c r="C536" s="70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88"/>
      <c r="P536" s="90"/>
      <c r="Q536" s="88"/>
      <c r="R536" s="88"/>
      <c r="S536" s="88"/>
      <c r="T536" s="59"/>
      <c r="U536" s="59"/>
      <c r="V536" s="59"/>
      <c r="W536" s="59"/>
      <c r="X536" s="59"/>
    </row>
    <row r="537">
      <c r="A537" s="59"/>
      <c r="B537" s="59"/>
      <c r="C537" s="70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88"/>
      <c r="P537" s="90"/>
      <c r="Q537" s="88"/>
      <c r="R537" s="88"/>
      <c r="S537" s="88"/>
      <c r="T537" s="59"/>
      <c r="U537" s="59"/>
      <c r="V537" s="59"/>
      <c r="W537" s="59"/>
      <c r="X537" s="59"/>
    </row>
    <row r="538">
      <c r="A538" s="59"/>
      <c r="B538" s="59"/>
      <c r="C538" s="70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88"/>
      <c r="P538" s="90"/>
      <c r="Q538" s="88"/>
      <c r="R538" s="88"/>
      <c r="S538" s="88"/>
      <c r="T538" s="59"/>
      <c r="U538" s="59"/>
      <c r="V538" s="59"/>
      <c r="W538" s="59"/>
      <c r="X538" s="59"/>
    </row>
    <row r="539">
      <c r="A539" s="59"/>
      <c r="B539" s="59"/>
      <c r="C539" s="70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88"/>
      <c r="P539" s="90"/>
      <c r="Q539" s="88"/>
      <c r="R539" s="88"/>
      <c r="S539" s="88"/>
      <c r="T539" s="59"/>
      <c r="U539" s="59"/>
      <c r="V539" s="59"/>
      <c r="W539" s="59"/>
      <c r="X539" s="59"/>
    </row>
    <row r="540">
      <c r="A540" s="59"/>
      <c r="B540" s="59"/>
      <c r="C540" s="70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88"/>
      <c r="P540" s="90"/>
      <c r="Q540" s="88"/>
      <c r="R540" s="88"/>
      <c r="S540" s="88"/>
      <c r="T540" s="59"/>
      <c r="U540" s="59"/>
      <c r="V540" s="59"/>
      <c r="W540" s="59"/>
      <c r="X540" s="59"/>
    </row>
    <row r="541">
      <c r="A541" s="59"/>
      <c r="B541" s="59"/>
      <c r="C541" s="70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88"/>
      <c r="P541" s="90"/>
      <c r="Q541" s="88"/>
      <c r="R541" s="88"/>
      <c r="S541" s="88"/>
      <c r="T541" s="59"/>
      <c r="U541" s="59"/>
      <c r="V541" s="59"/>
      <c r="W541" s="59"/>
      <c r="X541" s="59"/>
    </row>
    <row r="542">
      <c r="A542" s="59"/>
      <c r="B542" s="59"/>
      <c r="C542" s="70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88"/>
      <c r="P542" s="90"/>
      <c r="Q542" s="88"/>
      <c r="R542" s="88"/>
      <c r="S542" s="88"/>
      <c r="T542" s="59"/>
      <c r="U542" s="59"/>
      <c r="V542" s="59"/>
      <c r="W542" s="59"/>
      <c r="X542" s="59"/>
    </row>
    <row r="543">
      <c r="A543" s="59"/>
      <c r="B543" s="59"/>
      <c r="C543" s="70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88"/>
      <c r="P543" s="90"/>
      <c r="Q543" s="88"/>
      <c r="R543" s="88"/>
      <c r="S543" s="88"/>
      <c r="T543" s="59"/>
      <c r="U543" s="59"/>
      <c r="V543" s="59"/>
      <c r="W543" s="59"/>
      <c r="X543" s="59"/>
    </row>
    <row r="544">
      <c r="A544" s="59"/>
      <c r="B544" s="59"/>
      <c r="C544" s="70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88"/>
      <c r="P544" s="90"/>
      <c r="Q544" s="88"/>
      <c r="R544" s="88"/>
      <c r="S544" s="88"/>
      <c r="T544" s="59"/>
      <c r="U544" s="59"/>
      <c r="V544" s="59"/>
      <c r="W544" s="59"/>
      <c r="X544" s="59"/>
    </row>
    <row r="545">
      <c r="A545" s="59"/>
      <c r="B545" s="59"/>
      <c r="C545" s="70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88"/>
      <c r="P545" s="90"/>
      <c r="Q545" s="88"/>
      <c r="R545" s="88"/>
      <c r="S545" s="88"/>
      <c r="T545" s="59"/>
      <c r="U545" s="59"/>
      <c r="V545" s="59"/>
      <c r="W545" s="59"/>
      <c r="X545" s="59"/>
    </row>
    <row r="546">
      <c r="A546" s="59"/>
      <c r="B546" s="59"/>
      <c r="C546" s="70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88"/>
      <c r="P546" s="90"/>
      <c r="Q546" s="88"/>
      <c r="R546" s="88"/>
      <c r="S546" s="88"/>
      <c r="T546" s="59"/>
      <c r="U546" s="59"/>
      <c r="V546" s="59"/>
      <c r="W546" s="59"/>
      <c r="X546" s="59"/>
    </row>
    <row r="547">
      <c r="A547" s="59"/>
      <c r="B547" s="59"/>
      <c r="C547" s="70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88"/>
      <c r="P547" s="90"/>
      <c r="Q547" s="88"/>
      <c r="R547" s="88"/>
      <c r="S547" s="88"/>
      <c r="T547" s="59"/>
      <c r="U547" s="59"/>
      <c r="V547" s="59"/>
      <c r="W547" s="59"/>
      <c r="X547" s="59"/>
    </row>
    <row r="548">
      <c r="A548" s="59"/>
      <c r="B548" s="59"/>
      <c r="C548" s="70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88"/>
      <c r="P548" s="90"/>
      <c r="Q548" s="88"/>
      <c r="R548" s="88"/>
      <c r="S548" s="88"/>
      <c r="T548" s="59"/>
      <c r="U548" s="59"/>
      <c r="V548" s="59"/>
      <c r="W548" s="59"/>
      <c r="X548" s="59"/>
    </row>
    <row r="549">
      <c r="A549" s="59"/>
      <c r="B549" s="59"/>
      <c r="C549" s="70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88"/>
      <c r="P549" s="90"/>
      <c r="Q549" s="88"/>
      <c r="R549" s="88"/>
      <c r="S549" s="88"/>
      <c r="T549" s="59"/>
      <c r="U549" s="59"/>
      <c r="V549" s="59"/>
      <c r="W549" s="59"/>
      <c r="X549" s="59"/>
    </row>
    <row r="550">
      <c r="A550" s="59"/>
      <c r="B550" s="59"/>
      <c r="C550" s="70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88"/>
      <c r="P550" s="90"/>
      <c r="Q550" s="88"/>
      <c r="R550" s="88"/>
      <c r="S550" s="88"/>
      <c r="T550" s="59"/>
      <c r="U550" s="59"/>
      <c r="V550" s="59"/>
      <c r="W550" s="59"/>
      <c r="X550" s="59"/>
    </row>
    <row r="551">
      <c r="A551" s="59"/>
      <c r="B551" s="59"/>
      <c r="C551" s="70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88"/>
      <c r="P551" s="90"/>
      <c r="Q551" s="88"/>
      <c r="R551" s="88"/>
      <c r="S551" s="88"/>
      <c r="T551" s="59"/>
      <c r="U551" s="59"/>
      <c r="V551" s="59"/>
      <c r="W551" s="59"/>
      <c r="X551" s="59"/>
    </row>
    <row r="552">
      <c r="A552" s="59"/>
      <c r="B552" s="59"/>
      <c r="C552" s="70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88"/>
      <c r="P552" s="90"/>
      <c r="Q552" s="88"/>
      <c r="R552" s="88"/>
      <c r="S552" s="88"/>
      <c r="T552" s="59"/>
      <c r="U552" s="59"/>
      <c r="V552" s="59"/>
      <c r="W552" s="59"/>
      <c r="X552" s="59"/>
    </row>
    <row r="553">
      <c r="A553" s="59"/>
      <c r="B553" s="59"/>
      <c r="C553" s="70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88"/>
      <c r="P553" s="90"/>
      <c r="Q553" s="88"/>
      <c r="R553" s="88"/>
      <c r="S553" s="88"/>
      <c r="T553" s="59"/>
      <c r="U553" s="59"/>
      <c r="V553" s="59"/>
      <c r="W553" s="59"/>
      <c r="X553" s="59"/>
    </row>
    <row r="554">
      <c r="A554" s="59"/>
      <c r="B554" s="59"/>
      <c r="C554" s="7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88"/>
      <c r="P554" s="90"/>
      <c r="Q554" s="88"/>
      <c r="R554" s="88"/>
      <c r="S554" s="88"/>
      <c r="T554" s="59"/>
      <c r="U554" s="59"/>
      <c r="V554" s="59"/>
      <c r="W554" s="59"/>
      <c r="X554" s="59"/>
    </row>
    <row r="555">
      <c r="A555" s="59"/>
      <c r="B555" s="59"/>
      <c r="C555" s="70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88"/>
      <c r="P555" s="90"/>
      <c r="Q555" s="88"/>
      <c r="R555" s="88"/>
      <c r="S555" s="88"/>
      <c r="T555" s="59"/>
      <c r="U555" s="59"/>
      <c r="V555" s="59"/>
      <c r="W555" s="59"/>
      <c r="X555" s="59"/>
    </row>
    <row r="556">
      <c r="A556" s="59"/>
      <c r="B556" s="59"/>
      <c r="C556" s="70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88"/>
      <c r="P556" s="90"/>
      <c r="Q556" s="88"/>
      <c r="R556" s="88"/>
      <c r="S556" s="88"/>
      <c r="T556" s="59"/>
      <c r="U556" s="59"/>
      <c r="V556" s="59"/>
      <c r="W556" s="59"/>
      <c r="X556" s="59"/>
    </row>
    <row r="557">
      <c r="A557" s="59"/>
      <c r="B557" s="59"/>
      <c r="C557" s="70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88"/>
      <c r="P557" s="90"/>
      <c r="Q557" s="88"/>
      <c r="R557" s="88"/>
      <c r="S557" s="88"/>
      <c r="T557" s="59"/>
      <c r="U557" s="59"/>
      <c r="V557" s="59"/>
      <c r="W557" s="59"/>
      <c r="X557" s="59"/>
    </row>
    <row r="558">
      <c r="A558" s="59"/>
      <c r="B558" s="59"/>
      <c r="C558" s="70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88"/>
      <c r="P558" s="90"/>
      <c r="Q558" s="88"/>
      <c r="R558" s="88"/>
      <c r="S558" s="88"/>
      <c r="T558" s="59"/>
      <c r="U558" s="59"/>
      <c r="V558" s="59"/>
      <c r="W558" s="59"/>
      <c r="X558" s="59"/>
    </row>
    <row r="559">
      <c r="A559" s="59"/>
      <c r="B559" s="59"/>
      <c r="C559" s="70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88"/>
      <c r="P559" s="90"/>
      <c r="Q559" s="88"/>
      <c r="R559" s="88"/>
      <c r="S559" s="88"/>
      <c r="T559" s="59"/>
      <c r="U559" s="59"/>
      <c r="V559" s="59"/>
      <c r="W559" s="59"/>
      <c r="X559" s="59"/>
    </row>
    <row r="560">
      <c r="A560" s="59"/>
      <c r="B560" s="59"/>
      <c r="C560" s="70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88"/>
      <c r="P560" s="90"/>
      <c r="Q560" s="88"/>
      <c r="R560" s="88"/>
      <c r="S560" s="88"/>
      <c r="T560" s="59"/>
      <c r="U560" s="59"/>
      <c r="V560" s="59"/>
      <c r="W560" s="59"/>
      <c r="X560" s="59"/>
    </row>
    <row r="561">
      <c r="A561" s="59"/>
      <c r="B561" s="59"/>
      <c r="C561" s="70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88"/>
      <c r="P561" s="90"/>
      <c r="Q561" s="88"/>
      <c r="R561" s="88"/>
      <c r="S561" s="88"/>
      <c r="T561" s="59"/>
      <c r="U561" s="59"/>
      <c r="V561" s="59"/>
      <c r="W561" s="59"/>
      <c r="X561" s="59"/>
    </row>
    <row r="562">
      <c r="A562" s="59"/>
      <c r="B562" s="59"/>
      <c r="C562" s="70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88"/>
      <c r="P562" s="90"/>
      <c r="Q562" s="88"/>
      <c r="R562" s="88"/>
      <c r="S562" s="88"/>
      <c r="T562" s="59"/>
      <c r="U562" s="59"/>
      <c r="V562" s="59"/>
      <c r="W562" s="59"/>
      <c r="X562" s="59"/>
    </row>
    <row r="563">
      <c r="A563" s="59"/>
      <c r="B563" s="59"/>
      <c r="C563" s="70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88"/>
      <c r="P563" s="90"/>
      <c r="Q563" s="88"/>
      <c r="R563" s="88"/>
      <c r="S563" s="88"/>
      <c r="T563" s="59"/>
      <c r="U563" s="59"/>
      <c r="V563" s="59"/>
      <c r="W563" s="59"/>
      <c r="X563" s="59"/>
    </row>
    <row r="564">
      <c r="A564" s="59"/>
      <c r="B564" s="59"/>
      <c r="C564" s="70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88"/>
      <c r="P564" s="90"/>
      <c r="Q564" s="88"/>
      <c r="R564" s="88"/>
      <c r="S564" s="88"/>
      <c r="T564" s="59"/>
      <c r="U564" s="59"/>
      <c r="V564" s="59"/>
      <c r="W564" s="59"/>
      <c r="X564" s="59"/>
    </row>
    <row r="565">
      <c r="A565" s="59"/>
      <c r="B565" s="59"/>
      <c r="C565" s="70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88"/>
      <c r="P565" s="90"/>
      <c r="Q565" s="88"/>
      <c r="R565" s="88"/>
      <c r="S565" s="88"/>
      <c r="T565" s="59"/>
      <c r="U565" s="59"/>
      <c r="V565" s="59"/>
      <c r="W565" s="59"/>
      <c r="X565" s="59"/>
    </row>
    <row r="566">
      <c r="A566" s="59"/>
      <c r="B566" s="59"/>
      <c r="C566" s="70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88"/>
      <c r="P566" s="90"/>
      <c r="Q566" s="88"/>
      <c r="R566" s="88"/>
      <c r="S566" s="88"/>
      <c r="T566" s="59"/>
      <c r="U566" s="59"/>
      <c r="V566" s="59"/>
      <c r="W566" s="59"/>
      <c r="X566" s="59"/>
    </row>
    <row r="567">
      <c r="A567" s="59"/>
      <c r="B567" s="59"/>
      <c r="C567" s="70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88"/>
      <c r="P567" s="90"/>
      <c r="Q567" s="88"/>
      <c r="R567" s="88"/>
      <c r="S567" s="88"/>
      <c r="T567" s="59"/>
      <c r="U567" s="59"/>
      <c r="V567" s="59"/>
      <c r="W567" s="59"/>
      <c r="X567" s="59"/>
    </row>
    <row r="568">
      <c r="A568" s="59"/>
      <c r="B568" s="59"/>
      <c r="C568" s="70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88"/>
      <c r="P568" s="90"/>
      <c r="Q568" s="88"/>
      <c r="R568" s="88"/>
      <c r="S568" s="88"/>
      <c r="T568" s="59"/>
      <c r="U568" s="59"/>
      <c r="V568" s="59"/>
      <c r="W568" s="59"/>
      <c r="X568" s="59"/>
    </row>
    <row r="569">
      <c r="A569" s="59"/>
      <c r="B569" s="59"/>
      <c r="C569" s="70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88"/>
      <c r="P569" s="90"/>
      <c r="Q569" s="88"/>
      <c r="R569" s="88"/>
      <c r="S569" s="88"/>
      <c r="T569" s="59"/>
      <c r="U569" s="59"/>
      <c r="V569" s="59"/>
      <c r="W569" s="59"/>
      <c r="X569" s="59"/>
    </row>
    <row r="570">
      <c r="A570" s="59"/>
      <c r="B570" s="59"/>
      <c r="C570" s="7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88"/>
      <c r="P570" s="90"/>
      <c r="Q570" s="88"/>
      <c r="R570" s="88"/>
      <c r="S570" s="88"/>
      <c r="T570" s="59"/>
      <c r="U570" s="59"/>
      <c r="V570" s="59"/>
      <c r="W570" s="59"/>
      <c r="X570" s="59"/>
    </row>
    <row r="571">
      <c r="A571" s="59"/>
      <c r="B571" s="59"/>
      <c r="C571" s="7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88"/>
      <c r="P571" s="90"/>
      <c r="Q571" s="88"/>
      <c r="R571" s="88"/>
      <c r="S571" s="88"/>
      <c r="T571" s="59"/>
      <c r="U571" s="59"/>
      <c r="V571" s="59"/>
      <c r="W571" s="59"/>
      <c r="X571" s="59"/>
    </row>
    <row r="572">
      <c r="A572" s="59"/>
      <c r="B572" s="59"/>
      <c r="C572" s="7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88"/>
      <c r="P572" s="90"/>
      <c r="Q572" s="88"/>
      <c r="R572" s="88"/>
      <c r="S572" s="88"/>
      <c r="T572" s="59"/>
      <c r="U572" s="59"/>
      <c r="V572" s="59"/>
      <c r="W572" s="59"/>
      <c r="X572" s="59"/>
    </row>
    <row r="573">
      <c r="A573" s="59"/>
      <c r="B573" s="59"/>
      <c r="C573" s="70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88"/>
      <c r="P573" s="90"/>
      <c r="Q573" s="88"/>
      <c r="R573" s="88"/>
      <c r="S573" s="88"/>
      <c r="T573" s="59"/>
      <c r="U573" s="59"/>
      <c r="V573" s="59"/>
      <c r="W573" s="59"/>
      <c r="X573" s="59"/>
    </row>
    <row r="574">
      <c r="A574" s="59"/>
      <c r="B574" s="59"/>
      <c r="C574" s="70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88"/>
      <c r="P574" s="90"/>
      <c r="Q574" s="88"/>
      <c r="R574" s="88"/>
      <c r="S574" s="88"/>
      <c r="T574" s="59"/>
      <c r="U574" s="59"/>
      <c r="V574" s="59"/>
      <c r="W574" s="59"/>
      <c r="X574" s="59"/>
    </row>
    <row r="575">
      <c r="A575" s="59"/>
      <c r="B575" s="59"/>
      <c r="C575" s="70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88"/>
      <c r="P575" s="90"/>
      <c r="Q575" s="88"/>
      <c r="R575" s="88"/>
      <c r="S575" s="88"/>
      <c r="T575" s="59"/>
      <c r="U575" s="59"/>
      <c r="V575" s="59"/>
      <c r="W575" s="59"/>
      <c r="X575" s="59"/>
    </row>
    <row r="576">
      <c r="A576" s="59"/>
      <c r="B576" s="59"/>
      <c r="C576" s="70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88"/>
      <c r="P576" s="90"/>
      <c r="Q576" s="88"/>
      <c r="R576" s="88"/>
      <c r="S576" s="88"/>
      <c r="T576" s="59"/>
      <c r="U576" s="59"/>
      <c r="V576" s="59"/>
      <c r="W576" s="59"/>
      <c r="X576" s="59"/>
    </row>
    <row r="577">
      <c r="A577" s="59"/>
      <c r="B577" s="59"/>
      <c r="C577" s="70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88"/>
      <c r="P577" s="90"/>
      <c r="Q577" s="88"/>
      <c r="R577" s="88"/>
      <c r="S577" s="88"/>
      <c r="T577" s="59"/>
      <c r="U577" s="59"/>
      <c r="V577" s="59"/>
      <c r="W577" s="59"/>
      <c r="X577" s="59"/>
    </row>
    <row r="578">
      <c r="A578" s="59"/>
      <c r="B578" s="59"/>
      <c r="C578" s="70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88"/>
      <c r="P578" s="90"/>
      <c r="Q578" s="88"/>
      <c r="R578" s="88"/>
      <c r="S578" s="88"/>
      <c r="T578" s="59"/>
      <c r="U578" s="59"/>
      <c r="V578" s="59"/>
      <c r="W578" s="59"/>
      <c r="X578" s="59"/>
    </row>
    <row r="579">
      <c r="A579" s="59"/>
      <c r="B579" s="59"/>
      <c r="C579" s="70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88"/>
      <c r="P579" s="90"/>
      <c r="Q579" s="88"/>
      <c r="R579" s="88"/>
      <c r="S579" s="88"/>
      <c r="T579" s="59"/>
      <c r="U579" s="59"/>
      <c r="V579" s="59"/>
      <c r="W579" s="59"/>
      <c r="X579" s="59"/>
    </row>
    <row r="580">
      <c r="A580" s="59"/>
      <c r="B580" s="59"/>
      <c r="C580" s="70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88"/>
      <c r="P580" s="90"/>
      <c r="Q580" s="88"/>
      <c r="R580" s="88"/>
      <c r="S580" s="88"/>
      <c r="T580" s="59"/>
      <c r="U580" s="59"/>
      <c r="V580" s="59"/>
      <c r="W580" s="59"/>
      <c r="X580" s="59"/>
    </row>
    <row r="581">
      <c r="A581" s="59"/>
      <c r="B581" s="59"/>
      <c r="C581" s="70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88"/>
      <c r="P581" s="90"/>
      <c r="Q581" s="88"/>
      <c r="R581" s="88"/>
      <c r="S581" s="88"/>
      <c r="T581" s="59"/>
      <c r="U581" s="59"/>
      <c r="V581" s="59"/>
      <c r="W581" s="59"/>
      <c r="X581" s="59"/>
    </row>
    <row r="582">
      <c r="A582" s="59"/>
      <c r="B582" s="59"/>
      <c r="C582" s="70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88"/>
      <c r="P582" s="90"/>
      <c r="Q582" s="88"/>
      <c r="R582" s="88"/>
      <c r="S582" s="88"/>
      <c r="T582" s="59"/>
      <c r="U582" s="59"/>
      <c r="V582" s="59"/>
      <c r="W582" s="59"/>
      <c r="X582" s="59"/>
    </row>
    <row r="583">
      <c r="A583" s="59"/>
      <c r="B583" s="59"/>
      <c r="C583" s="70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88"/>
      <c r="P583" s="90"/>
      <c r="Q583" s="88"/>
      <c r="R583" s="88"/>
      <c r="S583" s="88"/>
      <c r="T583" s="59"/>
      <c r="U583" s="59"/>
      <c r="V583" s="59"/>
      <c r="W583" s="59"/>
      <c r="X583" s="59"/>
    </row>
    <row r="584">
      <c r="A584" s="59"/>
      <c r="B584" s="59"/>
      <c r="C584" s="70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88"/>
      <c r="P584" s="90"/>
      <c r="Q584" s="88"/>
      <c r="R584" s="88"/>
      <c r="S584" s="88"/>
      <c r="T584" s="59"/>
      <c r="U584" s="59"/>
      <c r="V584" s="59"/>
      <c r="W584" s="59"/>
      <c r="X584" s="59"/>
    </row>
    <row r="585">
      <c r="A585" s="59"/>
      <c r="B585" s="59"/>
      <c r="C585" s="70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88"/>
      <c r="P585" s="90"/>
      <c r="Q585" s="88"/>
      <c r="R585" s="88"/>
      <c r="S585" s="88"/>
      <c r="T585" s="59"/>
      <c r="U585" s="59"/>
      <c r="V585" s="59"/>
      <c r="W585" s="59"/>
      <c r="X585" s="59"/>
    </row>
    <row r="586">
      <c r="A586" s="59"/>
      <c r="B586" s="59"/>
      <c r="C586" s="70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88"/>
      <c r="P586" s="90"/>
      <c r="Q586" s="88"/>
      <c r="R586" s="88"/>
      <c r="S586" s="88"/>
      <c r="T586" s="59"/>
      <c r="U586" s="59"/>
      <c r="V586" s="59"/>
      <c r="W586" s="59"/>
      <c r="X586" s="59"/>
    </row>
    <row r="587">
      <c r="A587" s="59"/>
      <c r="B587" s="59"/>
      <c r="C587" s="70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88"/>
      <c r="P587" s="90"/>
      <c r="Q587" s="88"/>
      <c r="R587" s="88"/>
      <c r="S587" s="88"/>
      <c r="T587" s="59"/>
      <c r="U587" s="59"/>
      <c r="V587" s="59"/>
      <c r="W587" s="59"/>
      <c r="X587" s="59"/>
    </row>
    <row r="588">
      <c r="A588" s="59"/>
      <c r="B588" s="59"/>
      <c r="C588" s="70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88"/>
      <c r="P588" s="90"/>
      <c r="Q588" s="88"/>
      <c r="R588" s="88"/>
      <c r="S588" s="88"/>
      <c r="T588" s="59"/>
      <c r="U588" s="59"/>
      <c r="V588" s="59"/>
      <c r="W588" s="59"/>
      <c r="X588" s="59"/>
    </row>
    <row r="589">
      <c r="A589" s="59"/>
      <c r="B589" s="59"/>
      <c r="C589" s="70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88"/>
      <c r="P589" s="90"/>
      <c r="Q589" s="88"/>
      <c r="R589" s="88"/>
      <c r="S589" s="88"/>
      <c r="T589" s="59"/>
      <c r="U589" s="59"/>
      <c r="V589" s="59"/>
      <c r="W589" s="59"/>
      <c r="X589" s="59"/>
    </row>
    <row r="590">
      <c r="A590" s="59"/>
      <c r="B590" s="59"/>
      <c r="C590" s="70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88"/>
      <c r="P590" s="90"/>
      <c r="Q590" s="88"/>
      <c r="R590" s="88"/>
      <c r="S590" s="88"/>
      <c r="T590" s="59"/>
      <c r="U590" s="59"/>
      <c r="V590" s="59"/>
      <c r="W590" s="59"/>
      <c r="X590" s="59"/>
    </row>
    <row r="591">
      <c r="A591" s="59"/>
      <c r="B591" s="59"/>
      <c r="C591" s="70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88"/>
      <c r="P591" s="90"/>
      <c r="Q591" s="88"/>
      <c r="R591" s="88"/>
      <c r="S591" s="88"/>
      <c r="T591" s="59"/>
      <c r="U591" s="59"/>
      <c r="V591" s="59"/>
      <c r="W591" s="59"/>
      <c r="X591" s="59"/>
    </row>
    <row r="592">
      <c r="A592" s="59"/>
      <c r="B592" s="59"/>
      <c r="C592" s="70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88"/>
      <c r="P592" s="90"/>
      <c r="Q592" s="88"/>
      <c r="R592" s="88"/>
      <c r="S592" s="88"/>
      <c r="T592" s="59"/>
      <c r="U592" s="59"/>
      <c r="V592" s="59"/>
      <c r="W592" s="59"/>
      <c r="X592" s="59"/>
    </row>
    <row r="593">
      <c r="A593" s="59"/>
      <c r="B593" s="59"/>
      <c r="C593" s="70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88"/>
      <c r="P593" s="90"/>
      <c r="Q593" s="88"/>
      <c r="R593" s="88"/>
      <c r="S593" s="88"/>
      <c r="T593" s="59"/>
      <c r="U593" s="59"/>
      <c r="V593" s="59"/>
      <c r="W593" s="59"/>
      <c r="X593" s="59"/>
    </row>
    <row r="594">
      <c r="A594" s="59"/>
      <c r="B594" s="59"/>
      <c r="C594" s="70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88"/>
      <c r="P594" s="90"/>
      <c r="Q594" s="88"/>
      <c r="R594" s="88"/>
      <c r="S594" s="88"/>
      <c r="T594" s="59"/>
      <c r="U594" s="59"/>
      <c r="V594" s="59"/>
      <c r="W594" s="59"/>
      <c r="X594" s="59"/>
    </row>
    <row r="595">
      <c r="A595" s="59"/>
      <c r="B595" s="59"/>
      <c r="C595" s="70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88"/>
      <c r="P595" s="90"/>
      <c r="Q595" s="88"/>
      <c r="R595" s="88"/>
      <c r="S595" s="88"/>
      <c r="T595" s="59"/>
      <c r="U595" s="59"/>
      <c r="V595" s="59"/>
      <c r="W595" s="59"/>
      <c r="X595" s="59"/>
    </row>
    <row r="596">
      <c r="A596" s="59"/>
      <c r="B596" s="59"/>
      <c r="C596" s="70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88"/>
      <c r="P596" s="90"/>
      <c r="Q596" s="88"/>
      <c r="R596" s="88"/>
      <c r="S596" s="88"/>
      <c r="T596" s="59"/>
      <c r="U596" s="59"/>
      <c r="V596" s="59"/>
      <c r="W596" s="59"/>
      <c r="X596" s="59"/>
    </row>
    <row r="597">
      <c r="A597" s="59"/>
      <c r="B597" s="59"/>
      <c r="C597" s="70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88"/>
      <c r="P597" s="90"/>
      <c r="Q597" s="88"/>
      <c r="R597" s="88"/>
      <c r="S597" s="88"/>
      <c r="T597" s="59"/>
      <c r="U597" s="59"/>
      <c r="V597" s="59"/>
      <c r="W597" s="59"/>
      <c r="X597" s="59"/>
    </row>
    <row r="598">
      <c r="A598" s="59"/>
      <c r="B598" s="59"/>
      <c r="C598" s="70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88"/>
      <c r="P598" s="90"/>
      <c r="Q598" s="88"/>
      <c r="R598" s="88"/>
      <c r="S598" s="88"/>
      <c r="T598" s="59"/>
      <c r="U598" s="59"/>
      <c r="V598" s="59"/>
      <c r="W598" s="59"/>
      <c r="X598" s="59"/>
    </row>
    <row r="599">
      <c r="A599" s="59"/>
      <c r="B599" s="59"/>
      <c r="C599" s="70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88"/>
      <c r="P599" s="90"/>
      <c r="Q599" s="88"/>
      <c r="R599" s="88"/>
      <c r="S599" s="88"/>
      <c r="T599" s="59"/>
      <c r="U599" s="59"/>
      <c r="V599" s="59"/>
      <c r="W599" s="59"/>
      <c r="X599" s="59"/>
    </row>
    <row r="600">
      <c r="A600" s="59"/>
      <c r="B600" s="59"/>
      <c r="C600" s="70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88"/>
      <c r="P600" s="90"/>
      <c r="Q600" s="88"/>
      <c r="R600" s="88"/>
      <c r="S600" s="88"/>
      <c r="T600" s="59"/>
      <c r="U600" s="59"/>
      <c r="V600" s="59"/>
      <c r="W600" s="59"/>
      <c r="X600" s="59"/>
    </row>
    <row r="601">
      <c r="A601" s="59"/>
      <c r="B601" s="59"/>
      <c r="C601" s="70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88"/>
      <c r="P601" s="90"/>
      <c r="Q601" s="88"/>
      <c r="R601" s="88"/>
      <c r="S601" s="88"/>
      <c r="T601" s="59"/>
      <c r="U601" s="59"/>
      <c r="V601" s="59"/>
      <c r="W601" s="59"/>
      <c r="X601" s="59"/>
    </row>
    <row r="602">
      <c r="A602" s="59"/>
      <c r="B602" s="59"/>
      <c r="C602" s="70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88"/>
      <c r="P602" s="90"/>
      <c r="Q602" s="88"/>
      <c r="R602" s="88"/>
      <c r="S602" s="88"/>
      <c r="T602" s="59"/>
      <c r="U602" s="59"/>
      <c r="V602" s="59"/>
      <c r="W602" s="59"/>
      <c r="X602" s="59"/>
    </row>
    <row r="603">
      <c r="A603" s="59"/>
      <c r="B603" s="59"/>
      <c r="C603" s="70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88"/>
      <c r="P603" s="90"/>
      <c r="Q603" s="88"/>
      <c r="R603" s="88"/>
      <c r="S603" s="88"/>
      <c r="T603" s="59"/>
      <c r="U603" s="59"/>
      <c r="V603" s="59"/>
      <c r="W603" s="59"/>
      <c r="X603" s="59"/>
    </row>
    <row r="604">
      <c r="A604" s="59"/>
      <c r="B604" s="59"/>
      <c r="C604" s="70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88"/>
      <c r="P604" s="90"/>
      <c r="Q604" s="88"/>
      <c r="R604" s="88"/>
      <c r="S604" s="88"/>
      <c r="T604" s="59"/>
      <c r="U604" s="59"/>
      <c r="V604" s="59"/>
      <c r="W604" s="59"/>
      <c r="X604" s="59"/>
    </row>
    <row r="605">
      <c r="A605" s="59"/>
      <c r="B605" s="59"/>
      <c r="C605" s="70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88"/>
      <c r="P605" s="90"/>
      <c r="Q605" s="88"/>
      <c r="R605" s="88"/>
      <c r="S605" s="88"/>
      <c r="T605" s="59"/>
      <c r="U605" s="59"/>
      <c r="V605" s="59"/>
      <c r="W605" s="59"/>
      <c r="X605" s="59"/>
    </row>
    <row r="606">
      <c r="A606" s="59"/>
      <c r="B606" s="59"/>
      <c r="C606" s="70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88"/>
      <c r="P606" s="90"/>
      <c r="Q606" s="88"/>
      <c r="R606" s="88"/>
      <c r="S606" s="88"/>
      <c r="T606" s="59"/>
      <c r="U606" s="59"/>
      <c r="V606" s="59"/>
      <c r="W606" s="59"/>
      <c r="X606" s="59"/>
    </row>
    <row r="607">
      <c r="A607" s="59"/>
      <c r="B607" s="59"/>
      <c r="C607" s="70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88"/>
      <c r="P607" s="90"/>
      <c r="Q607" s="88"/>
      <c r="R607" s="88"/>
      <c r="S607" s="88"/>
      <c r="T607" s="59"/>
      <c r="U607" s="59"/>
      <c r="V607" s="59"/>
      <c r="W607" s="59"/>
      <c r="X607" s="59"/>
    </row>
    <row r="608">
      <c r="A608" s="59"/>
      <c r="B608" s="59"/>
      <c r="C608" s="70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88"/>
      <c r="P608" s="90"/>
      <c r="Q608" s="88"/>
      <c r="R608" s="88"/>
      <c r="S608" s="88"/>
      <c r="T608" s="59"/>
      <c r="U608" s="59"/>
      <c r="V608" s="59"/>
      <c r="W608" s="59"/>
      <c r="X608" s="59"/>
    </row>
    <row r="609">
      <c r="A609" s="59"/>
      <c r="B609" s="59"/>
      <c r="C609" s="70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88"/>
      <c r="P609" s="90"/>
      <c r="Q609" s="88"/>
      <c r="R609" s="88"/>
      <c r="S609" s="88"/>
      <c r="T609" s="59"/>
      <c r="U609" s="59"/>
      <c r="V609" s="59"/>
      <c r="W609" s="59"/>
      <c r="X609" s="59"/>
    </row>
    <row r="610">
      <c r="A610" s="59"/>
      <c r="B610" s="59"/>
      <c r="C610" s="70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88"/>
      <c r="P610" s="90"/>
      <c r="Q610" s="88"/>
      <c r="R610" s="88"/>
      <c r="S610" s="88"/>
      <c r="T610" s="59"/>
      <c r="U610" s="59"/>
      <c r="V610" s="59"/>
      <c r="W610" s="59"/>
      <c r="X610" s="59"/>
    </row>
    <row r="611">
      <c r="A611" s="59"/>
      <c r="B611" s="59"/>
      <c r="C611" s="70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88"/>
      <c r="P611" s="90"/>
      <c r="Q611" s="88"/>
      <c r="R611" s="88"/>
      <c r="S611" s="88"/>
      <c r="T611" s="59"/>
      <c r="U611" s="59"/>
      <c r="V611" s="59"/>
      <c r="W611" s="59"/>
      <c r="X611" s="59"/>
    </row>
    <row r="612">
      <c r="A612" s="59"/>
      <c r="B612" s="59"/>
      <c r="C612" s="70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88"/>
      <c r="P612" s="90"/>
      <c r="Q612" s="88"/>
      <c r="R612" s="88"/>
      <c r="S612" s="88"/>
      <c r="T612" s="59"/>
      <c r="U612" s="59"/>
      <c r="V612" s="59"/>
      <c r="W612" s="59"/>
      <c r="X612" s="59"/>
    </row>
    <row r="613">
      <c r="A613" s="59"/>
      <c r="B613" s="59"/>
      <c r="C613" s="70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88"/>
      <c r="P613" s="90"/>
      <c r="Q613" s="88"/>
      <c r="R613" s="88"/>
      <c r="S613" s="88"/>
      <c r="T613" s="59"/>
      <c r="U613" s="59"/>
      <c r="V613" s="59"/>
      <c r="W613" s="59"/>
      <c r="X613" s="59"/>
    </row>
    <row r="614">
      <c r="A614" s="59"/>
      <c r="B614" s="59"/>
      <c r="C614" s="70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88"/>
      <c r="P614" s="90"/>
      <c r="Q614" s="88"/>
      <c r="R614" s="88"/>
      <c r="S614" s="88"/>
      <c r="T614" s="59"/>
      <c r="U614" s="59"/>
      <c r="V614" s="59"/>
      <c r="W614" s="59"/>
      <c r="X614" s="59"/>
    </row>
    <row r="615">
      <c r="A615" s="59"/>
      <c r="B615" s="59"/>
      <c r="C615" s="70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88"/>
      <c r="P615" s="90"/>
      <c r="Q615" s="88"/>
      <c r="R615" s="88"/>
      <c r="S615" s="88"/>
      <c r="T615" s="59"/>
      <c r="U615" s="59"/>
      <c r="V615" s="59"/>
      <c r="W615" s="59"/>
      <c r="X615" s="59"/>
    </row>
    <row r="616">
      <c r="A616" s="59"/>
      <c r="B616" s="59"/>
      <c r="C616" s="70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88"/>
      <c r="P616" s="90"/>
      <c r="Q616" s="88"/>
      <c r="R616" s="88"/>
      <c r="S616" s="88"/>
      <c r="T616" s="59"/>
      <c r="U616" s="59"/>
      <c r="V616" s="59"/>
      <c r="W616" s="59"/>
      <c r="X616" s="59"/>
    </row>
    <row r="617">
      <c r="A617" s="59"/>
      <c r="B617" s="59"/>
      <c r="C617" s="70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88"/>
      <c r="P617" s="90"/>
      <c r="Q617" s="88"/>
      <c r="R617" s="88"/>
      <c r="S617" s="88"/>
      <c r="T617" s="59"/>
      <c r="U617" s="59"/>
      <c r="V617" s="59"/>
      <c r="W617" s="59"/>
      <c r="X617" s="59"/>
    </row>
    <row r="618">
      <c r="A618" s="59"/>
      <c r="B618" s="59"/>
      <c r="C618" s="70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88"/>
      <c r="P618" s="90"/>
      <c r="Q618" s="88"/>
      <c r="R618" s="88"/>
      <c r="S618" s="88"/>
      <c r="T618" s="59"/>
      <c r="U618" s="59"/>
      <c r="V618" s="59"/>
      <c r="W618" s="59"/>
      <c r="X618" s="59"/>
    </row>
    <row r="619">
      <c r="A619" s="59"/>
      <c r="B619" s="59"/>
      <c r="C619" s="70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88"/>
      <c r="P619" s="90"/>
      <c r="Q619" s="88"/>
      <c r="R619" s="88"/>
      <c r="S619" s="88"/>
      <c r="T619" s="59"/>
      <c r="U619" s="59"/>
      <c r="V619" s="59"/>
      <c r="W619" s="59"/>
      <c r="X619" s="59"/>
    </row>
    <row r="620">
      <c r="A620" s="59"/>
      <c r="B620" s="59"/>
      <c r="C620" s="70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88"/>
      <c r="P620" s="90"/>
      <c r="Q620" s="88"/>
      <c r="R620" s="88"/>
      <c r="S620" s="88"/>
      <c r="T620" s="59"/>
      <c r="U620" s="59"/>
      <c r="V620" s="59"/>
      <c r="W620" s="59"/>
      <c r="X620" s="59"/>
    </row>
    <row r="621">
      <c r="A621" s="59"/>
      <c r="B621" s="59"/>
      <c r="C621" s="70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88"/>
      <c r="P621" s="90"/>
      <c r="Q621" s="88"/>
      <c r="R621" s="88"/>
      <c r="S621" s="88"/>
      <c r="T621" s="59"/>
      <c r="U621" s="59"/>
      <c r="V621" s="59"/>
      <c r="W621" s="59"/>
      <c r="X621" s="59"/>
    </row>
    <row r="622">
      <c r="A622" s="59"/>
      <c r="B622" s="59"/>
      <c r="C622" s="70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88"/>
      <c r="P622" s="90"/>
      <c r="Q622" s="88"/>
      <c r="R622" s="88"/>
      <c r="S622" s="88"/>
      <c r="T622" s="59"/>
      <c r="U622" s="59"/>
      <c r="V622" s="59"/>
      <c r="W622" s="59"/>
      <c r="X622" s="59"/>
    </row>
    <row r="623">
      <c r="A623" s="59"/>
      <c r="B623" s="59"/>
      <c r="C623" s="70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88"/>
      <c r="P623" s="90"/>
      <c r="Q623" s="88"/>
      <c r="R623" s="88"/>
      <c r="S623" s="88"/>
      <c r="T623" s="59"/>
      <c r="U623" s="59"/>
      <c r="V623" s="59"/>
      <c r="W623" s="59"/>
      <c r="X623" s="59"/>
    </row>
    <row r="624">
      <c r="A624" s="59"/>
      <c r="B624" s="59"/>
      <c r="C624" s="70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88"/>
      <c r="P624" s="90"/>
      <c r="Q624" s="88"/>
      <c r="R624" s="88"/>
      <c r="S624" s="88"/>
      <c r="T624" s="59"/>
      <c r="U624" s="59"/>
      <c r="V624" s="59"/>
      <c r="W624" s="59"/>
      <c r="X624" s="59"/>
    </row>
    <row r="625">
      <c r="A625" s="59"/>
      <c r="B625" s="59"/>
      <c r="C625" s="70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88"/>
      <c r="P625" s="90"/>
      <c r="Q625" s="88"/>
      <c r="R625" s="88"/>
      <c r="S625" s="88"/>
      <c r="T625" s="59"/>
      <c r="U625" s="59"/>
      <c r="V625" s="59"/>
      <c r="W625" s="59"/>
      <c r="X625" s="59"/>
    </row>
    <row r="626">
      <c r="A626" s="59"/>
      <c r="B626" s="59"/>
      <c r="C626" s="70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88"/>
      <c r="P626" s="90"/>
      <c r="Q626" s="88"/>
      <c r="R626" s="88"/>
      <c r="S626" s="88"/>
      <c r="T626" s="59"/>
      <c r="U626" s="59"/>
      <c r="V626" s="59"/>
      <c r="W626" s="59"/>
      <c r="X626" s="59"/>
    </row>
    <row r="627">
      <c r="A627" s="59"/>
      <c r="B627" s="59"/>
      <c r="C627" s="70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88"/>
      <c r="P627" s="90"/>
      <c r="Q627" s="88"/>
      <c r="R627" s="88"/>
      <c r="S627" s="88"/>
      <c r="T627" s="59"/>
      <c r="U627" s="59"/>
      <c r="V627" s="59"/>
      <c r="W627" s="59"/>
      <c r="X627" s="59"/>
    </row>
    <row r="628">
      <c r="A628" s="59"/>
      <c r="B628" s="59"/>
      <c r="C628" s="70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88"/>
      <c r="P628" s="90"/>
      <c r="Q628" s="88"/>
      <c r="R628" s="88"/>
      <c r="S628" s="88"/>
      <c r="T628" s="59"/>
      <c r="U628" s="59"/>
      <c r="V628" s="59"/>
      <c r="W628" s="59"/>
      <c r="X628" s="59"/>
    </row>
    <row r="629">
      <c r="A629" s="59"/>
      <c r="B629" s="59"/>
      <c r="C629" s="70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88"/>
      <c r="P629" s="90"/>
      <c r="Q629" s="88"/>
      <c r="R629" s="88"/>
      <c r="S629" s="88"/>
      <c r="T629" s="59"/>
      <c r="U629" s="59"/>
      <c r="V629" s="59"/>
      <c r="W629" s="59"/>
      <c r="X629" s="59"/>
    </row>
    <row r="630">
      <c r="A630" s="59"/>
      <c r="B630" s="59"/>
      <c r="C630" s="70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88"/>
      <c r="P630" s="90"/>
      <c r="Q630" s="88"/>
      <c r="R630" s="88"/>
      <c r="S630" s="88"/>
      <c r="T630" s="59"/>
      <c r="U630" s="59"/>
      <c r="V630" s="59"/>
      <c r="W630" s="59"/>
      <c r="X630" s="59"/>
    </row>
    <row r="631">
      <c r="A631" s="59"/>
      <c r="B631" s="59"/>
      <c r="C631" s="70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88"/>
      <c r="P631" s="90"/>
      <c r="Q631" s="88"/>
      <c r="R631" s="88"/>
      <c r="S631" s="88"/>
      <c r="T631" s="59"/>
      <c r="U631" s="59"/>
      <c r="V631" s="59"/>
      <c r="W631" s="59"/>
      <c r="X631" s="59"/>
    </row>
    <row r="632">
      <c r="A632" s="59"/>
      <c r="B632" s="59"/>
      <c r="C632" s="70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88"/>
      <c r="P632" s="90"/>
      <c r="Q632" s="88"/>
      <c r="R632" s="88"/>
      <c r="S632" s="88"/>
      <c r="T632" s="59"/>
      <c r="U632" s="59"/>
      <c r="V632" s="59"/>
      <c r="W632" s="59"/>
      <c r="X632" s="59"/>
    </row>
    <row r="633">
      <c r="A633" s="59"/>
      <c r="B633" s="59"/>
      <c r="C633" s="70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88"/>
      <c r="P633" s="90"/>
      <c r="Q633" s="88"/>
      <c r="R633" s="88"/>
      <c r="S633" s="88"/>
      <c r="T633" s="59"/>
      <c r="U633" s="59"/>
      <c r="V633" s="59"/>
      <c r="W633" s="59"/>
      <c r="X633" s="59"/>
    </row>
    <row r="634">
      <c r="A634" s="59"/>
      <c r="B634" s="59"/>
      <c r="C634" s="70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88"/>
      <c r="P634" s="90"/>
      <c r="Q634" s="88"/>
      <c r="R634" s="88"/>
      <c r="S634" s="88"/>
      <c r="T634" s="59"/>
      <c r="U634" s="59"/>
      <c r="V634" s="59"/>
      <c r="W634" s="59"/>
      <c r="X634" s="59"/>
    </row>
    <row r="635">
      <c r="A635" s="59"/>
      <c r="B635" s="59"/>
      <c r="C635" s="70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88"/>
      <c r="P635" s="90"/>
      <c r="Q635" s="88"/>
      <c r="R635" s="88"/>
      <c r="S635" s="88"/>
      <c r="T635" s="59"/>
      <c r="U635" s="59"/>
      <c r="V635" s="59"/>
      <c r="W635" s="59"/>
      <c r="X635" s="59"/>
    </row>
    <row r="636">
      <c r="A636" s="59"/>
      <c r="B636" s="59"/>
      <c r="C636" s="70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88"/>
      <c r="P636" s="90"/>
      <c r="Q636" s="88"/>
      <c r="R636" s="88"/>
      <c r="S636" s="88"/>
      <c r="T636" s="59"/>
      <c r="U636" s="59"/>
      <c r="V636" s="59"/>
      <c r="W636" s="59"/>
      <c r="X636" s="59"/>
    </row>
    <row r="637">
      <c r="A637" s="59"/>
      <c r="B637" s="59"/>
      <c r="C637" s="70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88"/>
      <c r="P637" s="90"/>
      <c r="Q637" s="88"/>
      <c r="R637" s="88"/>
      <c r="S637" s="88"/>
      <c r="T637" s="59"/>
      <c r="U637" s="59"/>
      <c r="V637" s="59"/>
      <c r="W637" s="59"/>
      <c r="X637" s="59"/>
    </row>
    <row r="638">
      <c r="A638" s="59"/>
      <c r="B638" s="59"/>
      <c r="C638" s="70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88"/>
      <c r="P638" s="90"/>
      <c r="Q638" s="88"/>
      <c r="R638" s="88"/>
      <c r="S638" s="88"/>
      <c r="T638" s="59"/>
      <c r="U638" s="59"/>
      <c r="V638" s="59"/>
      <c r="W638" s="59"/>
      <c r="X638" s="59"/>
    </row>
    <row r="639">
      <c r="A639" s="59"/>
      <c r="B639" s="59"/>
      <c r="C639" s="70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88"/>
      <c r="P639" s="90"/>
      <c r="Q639" s="88"/>
      <c r="R639" s="88"/>
      <c r="S639" s="88"/>
      <c r="T639" s="59"/>
      <c r="U639" s="59"/>
      <c r="V639" s="59"/>
      <c r="W639" s="59"/>
      <c r="X639" s="59"/>
    </row>
    <row r="640">
      <c r="A640" s="59"/>
      <c r="B640" s="59"/>
      <c r="C640" s="70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88"/>
      <c r="P640" s="90"/>
      <c r="Q640" s="88"/>
      <c r="R640" s="88"/>
      <c r="S640" s="88"/>
      <c r="T640" s="59"/>
      <c r="U640" s="59"/>
      <c r="V640" s="59"/>
      <c r="W640" s="59"/>
      <c r="X640" s="59"/>
    </row>
    <row r="641">
      <c r="A641" s="59"/>
      <c r="B641" s="59"/>
      <c r="C641" s="70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88"/>
      <c r="P641" s="90"/>
      <c r="Q641" s="88"/>
      <c r="R641" s="88"/>
      <c r="S641" s="88"/>
      <c r="T641" s="59"/>
      <c r="U641" s="59"/>
      <c r="V641" s="59"/>
      <c r="W641" s="59"/>
      <c r="X641" s="59"/>
    </row>
    <row r="642">
      <c r="A642" s="59"/>
      <c r="B642" s="59"/>
      <c r="C642" s="70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88"/>
      <c r="P642" s="90"/>
      <c r="Q642" s="88"/>
      <c r="R642" s="88"/>
      <c r="S642" s="88"/>
      <c r="T642" s="59"/>
      <c r="U642" s="59"/>
      <c r="V642" s="59"/>
      <c r="W642" s="59"/>
      <c r="X642" s="59"/>
    </row>
    <row r="643">
      <c r="A643" s="59"/>
      <c r="B643" s="59"/>
      <c r="C643" s="70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88"/>
      <c r="P643" s="90"/>
      <c r="Q643" s="88"/>
      <c r="R643" s="88"/>
      <c r="S643" s="88"/>
      <c r="T643" s="59"/>
      <c r="U643" s="59"/>
      <c r="V643" s="59"/>
      <c r="W643" s="59"/>
      <c r="X643" s="59"/>
    </row>
    <row r="644">
      <c r="A644" s="59"/>
      <c r="B644" s="59"/>
      <c r="C644" s="70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88"/>
      <c r="P644" s="90"/>
      <c r="Q644" s="88"/>
      <c r="R644" s="88"/>
      <c r="S644" s="88"/>
      <c r="T644" s="59"/>
      <c r="U644" s="59"/>
      <c r="V644" s="59"/>
      <c r="W644" s="59"/>
      <c r="X644" s="59"/>
    </row>
    <row r="645">
      <c r="A645" s="59"/>
      <c r="B645" s="59"/>
      <c r="C645" s="70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88"/>
      <c r="P645" s="90"/>
      <c r="Q645" s="88"/>
      <c r="R645" s="88"/>
      <c r="S645" s="88"/>
      <c r="T645" s="59"/>
      <c r="U645" s="59"/>
      <c r="V645" s="59"/>
      <c r="W645" s="59"/>
      <c r="X645" s="59"/>
    </row>
    <row r="646">
      <c r="A646" s="59"/>
      <c r="B646" s="59"/>
      <c r="C646" s="70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88"/>
      <c r="P646" s="90"/>
      <c r="Q646" s="88"/>
      <c r="R646" s="88"/>
      <c r="S646" s="88"/>
      <c r="T646" s="59"/>
      <c r="U646" s="59"/>
      <c r="V646" s="59"/>
      <c r="W646" s="59"/>
      <c r="X646" s="59"/>
    </row>
    <row r="647">
      <c r="A647" s="59"/>
      <c r="B647" s="59"/>
      <c r="C647" s="70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88"/>
      <c r="P647" s="90"/>
      <c r="Q647" s="88"/>
      <c r="R647" s="88"/>
      <c r="S647" s="88"/>
      <c r="T647" s="59"/>
      <c r="U647" s="59"/>
      <c r="V647" s="59"/>
      <c r="W647" s="59"/>
      <c r="X647" s="59"/>
    </row>
    <row r="648">
      <c r="A648" s="59"/>
      <c r="B648" s="59"/>
      <c r="C648" s="70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88"/>
      <c r="P648" s="90"/>
      <c r="Q648" s="88"/>
      <c r="R648" s="88"/>
      <c r="S648" s="88"/>
      <c r="T648" s="59"/>
      <c r="U648" s="59"/>
      <c r="V648" s="59"/>
      <c r="W648" s="59"/>
      <c r="X648" s="59"/>
    </row>
    <row r="649">
      <c r="A649" s="59"/>
      <c r="B649" s="59"/>
      <c r="C649" s="70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88"/>
      <c r="P649" s="90"/>
      <c r="Q649" s="88"/>
      <c r="R649" s="88"/>
      <c r="S649" s="88"/>
      <c r="T649" s="59"/>
      <c r="U649" s="59"/>
      <c r="V649" s="59"/>
      <c r="W649" s="59"/>
      <c r="X649" s="59"/>
    </row>
    <row r="650">
      <c r="A650" s="59"/>
      <c r="B650" s="59"/>
      <c r="C650" s="70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88"/>
      <c r="P650" s="90"/>
      <c r="Q650" s="88"/>
      <c r="R650" s="88"/>
      <c r="S650" s="88"/>
      <c r="T650" s="59"/>
      <c r="U650" s="59"/>
      <c r="V650" s="59"/>
      <c r="W650" s="59"/>
      <c r="X650" s="59"/>
    </row>
    <row r="651">
      <c r="A651" s="59"/>
      <c r="B651" s="59"/>
      <c r="C651" s="70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88"/>
      <c r="P651" s="90"/>
      <c r="Q651" s="88"/>
      <c r="R651" s="88"/>
      <c r="S651" s="88"/>
      <c r="T651" s="59"/>
      <c r="U651" s="59"/>
      <c r="V651" s="59"/>
      <c r="W651" s="59"/>
      <c r="X651" s="59"/>
    </row>
    <row r="652">
      <c r="A652" s="59"/>
      <c r="B652" s="59"/>
      <c r="C652" s="70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88"/>
      <c r="P652" s="90"/>
      <c r="Q652" s="88"/>
      <c r="R652" s="88"/>
      <c r="S652" s="88"/>
      <c r="T652" s="59"/>
      <c r="U652" s="59"/>
      <c r="V652" s="59"/>
      <c r="W652" s="59"/>
      <c r="X652" s="59"/>
    </row>
    <row r="653">
      <c r="A653" s="59"/>
      <c r="B653" s="59"/>
      <c r="C653" s="70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88"/>
      <c r="P653" s="90"/>
      <c r="Q653" s="88"/>
      <c r="R653" s="88"/>
      <c r="S653" s="88"/>
      <c r="T653" s="59"/>
      <c r="U653" s="59"/>
      <c r="V653" s="59"/>
      <c r="W653" s="59"/>
      <c r="X653" s="59"/>
    </row>
    <row r="654">
      <c r="A654" s="59"/>
      <c r="B654" s="59"/>
      <c r="C654" s="70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88"/>
      <c r="P654" s="90"/>
      <c r="Q654" s="88"/>
      <c r="R654" s="88"/>
      <c r="S654" s="88"/>
      <c r="T654" s="59"/>
      <c r="U654" s="59"/>
      <c r="V654" s="59"/>
      <c r="W654" s="59"/>
      <c r="X654" s="59"/>
    </row>
    <row r="655">
      <c r="A655" s="59"/>
      <c r="B655" s="59"/>
      <c r="C655" s="70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88"/>
      <c r="P655" s="90"/>
      <c r="Q655" s="88"/>
      <c r="R655" s="88"/>
      <c r="S655" s="88"/>
      <c r="T655" s="59"/>
      <c r="U655" s="59"/>
      <c r="V655" s="59"/>
      <c r="W655" s="59"/>
      <c r="X655" s="59"/>
    </row>
    <row r="656">
      <c r="A656" s="59"/>
      <c r="B656" s="59"/>
      <c r="C656" s="70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88"/>
      <c r="P656" s="90"/>
      <c r="Q656" s="88"/>
      <c r="R656" s="88"/>
      <c r="S656" s="88"/>
      <c r="T656" s="59"/>
      <c r="U656" s="59"/>
      <c r="V656" s="59"/>
      <c r="W656" s="59"/>
      <c r="X656" s="59"/>
    </row>
    <row r="657">
      <c r="A657" s="59"/>
      <c r="B657" s="59"/>
      <c r="C657" s="70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88"/>
      <c r="P657" s="90"/>
      <c r="Q657" s="88"/>
      <c r="R657" s="88"/>
      <c r="S657" s="88"/>
      <c r="T657" s="59"/>
      <c r="U657" s="59"/>
      <c r="V657" s="59"/>
      <c r="W657" s="59"/>
      <c r="X657" s="59"/>
    </row>
    <row r="658">
      <c r="A658" s="59"/>
      <c r="B658" s="59"/>
      <c r="C658" s="70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88"/>
      <c r="P658" s="90"/>
      <c r="Q658" s="88"/>
      <c r="R658" s="88"/>
      <c r="S658" s="88"/>
      <c r="T658" s="59"/>
      <c r="U658" s="59"/>
      <c r="V658" s="59"/>
      <c r="W658" s="59"/>
      <c r="X658" s="59"/>
    </row>
    <row r="659">
      <c r="A659" s="59"/>
      <c r="B659" s="59"/>
      <c r="C659" s="70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88"/>
      <c r="P659" s="90"/>
      <c r="Q659" s="88"/>
      <c r="R659" s="88"/>
      <c r="S659" s="88"/>
      <c r="T659" s="59"/>
      <c r="U659" s="59"/>
      <c r="V659" s="59"/>
      <c r="W659" s="59"/>
      <c r="X659" s="59"/>
    </row>
    <row r="660">
      <c r="A660" s="59"/>
      <c r="B660" s="59"/>
      <c r="C660" s="70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88"/>
      <c r="P660" s="90"/>
      <c r="Q660" s="88"/>
      <c r="R660" s="88"/>
      <c r="S660" s="88"/>
      <c r="T660" s="59"/>
      <c r="U660" s="59"/>
      <c r="V660" s="59"/>
      <c r="W660" s="59"/>
      <c r="X660" s="59"/>
    </row>
    <row r="661">
      <c r="A661" s="59"/>
      <c r="B661" s="59"/>
      <c r="C661" s="70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88"/>
      <c r="P661" s="90"/>
      <c r="Q661" s="88"/>
      <c r="R661" s="88"/>
      <c r="S661" s="88"/>
      <c r="T661" s="59"/>
      <c r="U661" s="59"/>
      <c r="V661" s="59"/>
      <c r="W661" s="59"/>
      <c r="X661" s="59"/>
    </row>
    <row r="662">
      <c r="A662" s="59"/>
      <c r="B662" s="59"/>
      <c r="C662" s="70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88"/>
      <c r="P662" s="90"/>
      <c r="Q662" s="88"/>
      <c r="R662" s="88"/>
      <c r="S662" s="88"/>
      <c r="T662" s="59"/>
      <c r="U662" s="59"/>
      <c r="V662" s="59"/>
      <c r="W662" s="59"/>
      <c r="X662" s="59"/>
    </row>
    <row r="663">
      <c r="A663" s="59"/>
      <c r="B663" s="59"/>
      <c r="C663" s="70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88"/>
      <c r="P663" s="90"/>
      <c r="Q663" s="88"/>
      <c r="R663" s="88"/>
      <c r="S663" s="88"/>
      <c r="T663" s="59"/>
      <c r="U663" s="59"/>
      <c r="V663" s="59"/>
      <c r="W663" s="59"/>
      <c r="X663" s="59"/>
    </row>
    <row r="664">
      <c r="A664" s="59"/>
      <c r="B664" s="59"/>
      <c r="C664" s="70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88"/>
      <c r="P664" s="90"/>
      <c r="Q664" s="88"/>
      <c r="R664" s="88"/>
      <c r="S664" s="88"/>
      <c r="T664" s="59"/>
      <c r="U664" s="59"/>
      <c r="V664" s="59"/>
      <c r="W664" s="59"/>
      <c r="X664" s="59"/>
    </row>
    <row r="665">
      <c r="A665" s="59"/>
      <c r="B665" s="59"/>
      <c r="C665" s="70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88"/>
      <c r="P665" s="90"/>
      <c r="Q665" s="88"/>
      <c r="R665" s="88"/>
      <c r="S665" s="88"/>
      <c r="T665" s="59"/>
      <c r="U665" s="59"/>
      <c r="V665" s="59"/>
      <c r="W665" s="59"/>
      <c r="X665" s="59"/>
    </row>
    <row r="666">
      <c r="A666" s="59"/>
      <c r="B666" s="59"/>
      <c r="C666" s="70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88"/>
      <c r="P666" s="90"/>
      <c r="Q666" s="88"/>
      <c r="R666" s="88"/>
      <c r="S666" s="88"/>
      <c r="T666" s="59"/>
      <c r="U666" s="59"/>
      <c r="V666" s="59"/>
      <c r="W666" s="59"/>
      <c r="X666" s="59"/>
    </row>
    <row r="667">
      <c r="A667" s="59"/>
      <c r="B667" s="59"/>
      <c r="C667" s="70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88"/>
      <c r="P667" s="90"/>
      <c r="Q667" s="88"/>
      <c r="R667" s="88"/>
      <c r="S667" s="88"/>
      <c r="T667" s="59"/>
      <c r="U667" s="59"/>
      <c r="V667" s="59"/>
      <c r="W667" s="59"/>
      <c r="X667" s="59"/>
    </row>
    <row r="668">
      <c r="A668" s="59"/>
      <c r="B668" s="59"/>
      <c r="C668" s="70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88"/>
      <c r="P668" s="90"/>
      <c r="Q668" s="88"/>
      <c r="R668" s="88"/>
      <c r="S668" s="88"/>
      <c r="T668" s="59"/>
      <c r="U668" s="59"/>
      <c r="V668" s="59"/>
      <c r="W668" s="59"/>
      <c r="X668" s="59"/>
    </row>
    <row r="669">
      <c r="A669" s="59"/>
      <c r="B669" s="59"/>
      <c r="C669" s="70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88"/>
      <c r="P669" s="90"/>
      <c r="Q669" s="88"/>
      <c r="R669" s="88"/>
      <c r="S669" s="88"/>
      <c r="T669" s="59"/>
      <c r="U669" s="59"/>
      <c r="V669" s="59"/>
      <c r="W669" s="59"/>
      <c r="X669" s="59"/>
    </row>
    <row r="670">
      <c r="A670" s="59"/>
      <c r="B670" s="59"/>
      <c r="C670" s="70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88"/>
      <c r="P670" s="90"/>
      <c r="Q670" s="88"/>
      <c r="R670" s="88"/>
      <c r="S670" s="88"/>
      <c r="T670" s="59"/>
      <c r="U670" s="59"/>
      <c r="V670" s="59"/>
      <c r="W670" s="59"/>
      <c r="X670" s="59"/>
    </row>
    <row r="671">
      <c r="A671" s="59"/>
      <c r="B671" s="59"/>
      <c r="C671" s="70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88"/>
      <c r="P671" s="90"/>
      <c r="Q671" s="88"/>
      <c r="R671" s="88"/>
      <c r="S671" s="88"/>
      <c r="T671" s="59"/>
      <c r="U671" s="59"/>
      <c r="V671" s="59"/>
      <c r="W671" s="59"/>
      <c r="X671" s="59"/>
    </row>
    <row r="672">
      <c r="A672" s="59"/>
      <c r="B672" s="59"/>
      <c r="C672" s="70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88"/>
      <c r="P672" s="90"/>
      <c r="Q672" s="88"/>
      <c r="R672" s="88"/>
      <c r="S672" s="88"/>
      <c r="T672" s="59"/>
      <c r="U672" s="59"/>
      <c r="V672" s="59"/>
      <c r="W672" s="59"/>
      <c r="X672" s="59"/>
    </row>
    <row r="673">
      <c r="A673" s="59"/>
      <c r="B673" s="59"/>
      <c r="C673" s="70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88"/>
      <c r="P673" s="90"/>
      <c r="Q673" s="88"/>
      <c r="R673" s="88"/>
      <c r="S673" s="88"/>
      <c r="T673" s="59"/>
      <c r="U673" s="59"/>
      <c r="V673" s="59"/>
      <c r="W673" s="59"/>
      <c r="X673" s="59"/>
    </row>
    <row r="674">
      <c r="A674" s="59"/>
      <c r="B674" s="59"/>
      <c r="C674" s="70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88"/>
      <c r="P674" s="90"/>
      <c r="Q674" s="88"/>
      <c r="R674" s="88"/>
      <c r="S674" s="88"/>
      <c r="T674" s="59"/>
      <c r="U674" s="59"/>
      <c r="V674" s="59"/>
      <c r="W674" s="59"/>
      <c r="X674" s="59"/>
    </row>
    <row r="675">
      <c r="A675" s="59"/>
      <c r="B675" s="59"/>
      <c r="C675" s="70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88"/>
      <c r="P675" s="90"/>
      <c r="Q675" s="88"/>
      <c r="R675" s="88"/>
      <c r="S675" s="88"/>
      <c r="T675" s="59"/>
      <c r="U675" s="59"/>
      <c r="V675" s="59"/>
      <c r="W675" s="59"/>
      <c r="X675" s="59"/>
    </row>
    <row r="676">
      <c r="A676" s="59"/>
      <c r="B676" s="59"/>
      <c r="C676" s="70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88"/>
      <c r="P676" s="90"/>
      <c r="Q676" s="88"/>
      <c r="R676" s="88"/>
      <c r="S676" s="88"/>
      <c r="T676" s="59"/>
      <c r="U676" s="59"/>
      <c r="V676" s="59"/>
      <c r="W676" s="59"/>
      <c r="X676" s="59"/>
    </row>
    <row r="677">
      <c r="A677" s="59"/>
      <c r="B677" s="59"/>
      <c r="C677" s="70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88"/>
      <c r="P677" s="90"/>
      <c r="Q677" s="88"/>
      <c r="R677" s="88"/>
      <c r="S677" s="88"/>
      <c r="T677" s="59"/>
      <c r="U677" s="59"/>
      <c r="V677" s="59"/>
      <c r="W677" s="59"/>
      <c r="X677" s="59"/>
    </row>
    <row r="678">
      <c r="A678" s="59"/>
      <c r="B678" s="59"/>
      <c r="C678" s="70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88"/>
      <c r="P678" s="90"/>
      <c r="Q678" s="88"/>
      <c r="R678" s="88"/>
      <c r="S678" s="88"/>
      <c r="T678" s="59"/>
      <c r="U678" s="59"/>
      <c r="V678" s="59"/>
      <c r="W678" s="59"/>
      <c r="X678" s="59"/>
    </row>
    <row r="679">
      <c r="A679" s="59"/>
      <c r="B679" s="59"/>
      <c r="C679" s="70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88"/>
      <c r="P679" s="90"/>
      <c r="Q679" s="88"/>
      <c r="R679" s="88"/>
      <c r="S679" s="88"/>
      <c r="T679" s="59"/>
      <c r="U679" s="59"/>
      <c r="V679" s="59"/>
      <c r="W679" s="59"/>
      <c r="X679" s="59"/>
    </row>
    <row r="680">
      <c r="A680" s="59"/>
      <c r="B680" s="59"/>
      <c r="C680" s="70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88"/>
      <c r="P680" s="90"/>
      <c r="Q680" s="88"/>
      <c r="R680" s="88"/>
      <c r="S680" s="88"/>
      <c r="T680" s="59"/>
      <c r="U680" s="59"/>
      <c r="V680" s="59"/>
      <c r="W680" s="59"/>
      <c r="X680" s="59"/>
    </row>
    <row r="681">
      <c r="A681" s="59"/>
      <c r="B681" s="59"/>
      <c r="C681" s="70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88"/>
      <c r="P681" s="90"/>
      <c r="Q681" s="88"/>
      <c r="R681" s="88"/>
      <c r="S681" s="88"/>
      <c r="T681" s="59"/>
      <c r="U681" s="59"/>
      <c r="V681" s="59"/>
      <c r="W681" s="59"/>
      <c r="X681" s="59"/>
    </row>
    <row r="682">
      <c r="A682" s="59"/>
      <c r="B682" s="59"/>
      <c r="C682" s="70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88"/>
      <c r="P682" s="90"/>
      <c r="Q682" s="88"/>
      <c r="R682" s="88"/>
      <c r="S682" s="88"/>
      <c r="T682" s="59"/>
      <c r="U682" s="59"/>
      <c r="V682" s="59"/>
      <c r="W682" s="59"/>
      <c r="X682" s="59"/>
    </row>
    <row r="683">
      <c r="A683" s="59"/>
      <c r="B683" s="59"/>
      <c r="C683" s="70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88"/>
      <c r="P683" s="90"/>
      <c r="Q683" s="88"/>
      <c r="R683" s="88"/>
      <c r="S683" s="88"/>
      <c r="T683" s="59"/>
      <c r="U683" s="59"/>
      <c r="V683" s="59"/>
      <c r="W683" s="59"/>
      <c r="X683" s="59"/>
    </row>
    <row r="684">
      <c r="A684" s="59"/>
      <c r="B684" s="59"/>
      <c r="C684" s="70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88"/>
      <c r="P684" s="90"/>
      <c r="Q684" s="88"/>
      <c r="R684" s="88"/>
      <c r="S684" s="88"/>
      <c r="T684" s="59"/>
      <c r="U684" s="59"/>
      <c r="V684" s="59"/>
      <c r="W684" s="59"/>
      <c r="X684" s="59"/>
    </row>
    <row r="685">
      <c r="A685" s="59"/>
      <c r="B685" s="59"/>
      <c r="C685" s="70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88"/>
      <c r="P685" s="90"/>
      <c r="Q685" s="88"/>
      <c r="R685" s="88"/>
      <c r="S685" s="88"/>
      <c r="T685" s="59"/>
      <c r="U685" s="59"/>
      <c r="V685" s="59"/>
      <c r="W685" s="59"/>
      <c r="X685" s="59"/>
    </row>
    <row r="686">
      <c r="A686" s="59"/>
      <c r="B686" s="59"/>
      <c r="C686" s="70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88"/>
      <c r="P686" s="90"/>
      <c r="Q686" s="88"/>
      <c r="R686" s="88"/>
      <c r="S686" s="88"/>
      <c r="T686" s="59"/>
      <c r="U686" s="59"/>
      <c r="V686" s="59"/>
      <c r="W686" s="59"/>
      <c r="X686" s="59"/>
    </row>
    <row r="687">
      <c r="A687" s="59"/>
      <c r="B687" s="59"/>
      <c r="C687" s="7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88"/>
      <c r="P687" s="90"/>
      <c r="Q687" s="88"/>
      <c r="R687" s="88"/>
      <c r="S687" s="88"/>
      <c r="T687" s="59"/>
      <c r="U687" s="59"/>
      <c r="V687" s="59"/>
      <c r="W687" s="59"/>
      <c r="X687" s="59"/>
    </row>
    <row r="688">
      <c r="A688" s="59"/>
      <c r="B688" s="59"/>
      <c r="C688" s="7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88"/>
      <c r="P688" s="90"/>
      <c r="Q688" s="88"/>
      <c r="R688" s="88"/>
      <c r="S688" s="88"/>
      <c r="T688" s="59"/>
      <c r="U688" s="59"/>
      <c r="V688" s="59"/>
      <c r="W688" s="59"/>
      <c r="X688" s="59"/>
    </row>
    <row r="689">
      <c r="A689" s="59"/>
      <c r="B689" s="59"/>
      <c r="C689" s="7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88"/>
      <c r="P689" s="90"/>
      <c r="Q689" s="88"/>
      <c r="R689" s="88"/>
      <c r="S689" s="88"/>
      <c r="T689" s="59"/>
      <c r="U689" s="59"/>
      <c r="V689" s="59"/>
      <c r="W689" s="59"/>
      <c r="X689" s="59"/>
    </row>
    <row r="690">
      <c r="A690" s="59"/>
      <c r="B690" s="59"/>
      <c r="C690" s="7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88"/>
      <c r="P690" s="90"/>
      <c r="Q690" s="88"/>
      <c r="R690" s="88"/>
      <c r="S690" s="88"/>
      <c r="T690" s="59"/>
      <c r="U690" s="59"/>
      <c r="V690" s="59"/>
      <c r="W690" s="59"/>
      <c r="X690" s="59"/>
    </row>
    <row r="691">
      <c r="A691" s="59"/>
      <c r="B691" s="59"/>
      <c r="C691" s="7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88"/>
      <c r="P691" s="90"/>
      <c r="Q691" s="88"/>
      <c r="R691" s="88"/>
      <c r="S691" s="88"/>
      <c r="T691" s="59"/>
      <c r="U691" s="59"/>
      <c r="V691" s="59"/>
      <c r="W691" s="59"/>
      <c r="X691" s="59"/>
    </row>
    <row r="692">
      <c r="A692" s="59"/>
      <c r="B692" s="59"/>
      <c r="C692" s="7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88"/>
      <c r="P692" s="90"/>
      <c r="Q692" s="88"/>
      <c r="R692" s="88"/>
      <c r="S692" s="88"/>
      <c r="T692" s="59"/>
      <c r="U692" s="59"/>
      <c r="V692" s="59"/>
      <c r="W692" s="59"/>
      <c r="X692" s="59"/>
    </row>
    <row r="693">
      <c r="A693" s="59"/>
      <c r="B693" s="59"/>
      <c r="C693" s="70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88"/>
      <c r="P693" s="90"/>
      <c r="Q693" s="88"/>
      <c r="R693" s="88"/>
      <c r="S693" s="88"/>
      <c r="T693" s="59"/>
      <c r="U693" s="59"/>
      <c r="V693" s="59"/>
      <c r="W693" s="59"/>
      <c r="X693" s="59"/>
    </row>
    <row r="694">
      <c r="A694" s="59"/>
      <c r="B694" s="59"/>
      <c r="C694" s="70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88"/>
      <c r="P694" s="90"/>
      <c r="Q694" s="88"/>
      <c r="R694" s="88"/>
      <c r="S694" s="88"/>
      <c r="T694" s="59"/>
      <c r="U694" s="59"/>
      <c r="V694" s="59"/>
      <c r="W694" s="59"/>
      <c r="X694" s="59"/>
    </row>
    <row r="695">
      <c r="A695" s="59"/>
      <c r="B695" s="59"/>
      <c r="C695" s="70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88"/>
      <c r="P695" s="90"/>
      <c r="Q695" s="88"/>
      <c r="R695" s="88"/>
      <c r="S695" s="88"/>
      <c r="T695" s="59"/>
      <c r="U695" s="59"/>
      <c r="V695" s="59"/>
      <c r="W695" s="59"/>
      <c r="X695" s="59"/>
    </row>
    <row r="696">
      <c r="A696" s="59"/>
      <c r="B696" s="59"/>
      <c r="C696" s="70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88"/>
      <c r="P696" s="90"/>
      <c r="Q696" s="88"/>
      <c r="R696" s="88"/>
      <c r="S696" s="88"/>
      <c r="T696" s="59"/>
      <c r="U696" s="59"/>
      <c r="V696" s="59"/>
      <c r="W696" s="59"/>
      <c r="X696" s="59"/>
    </row>
    <row r="697">
      <c r="A697" s="59"/>
      <c r="B697" s="59"/>
      <c r="C697" s="70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88"/>
      <c r="P697" s="90"/>
      <c r="Q697" s="88"/>
      <c r="R697" s="88"/>
      <c r="S697" s="88"/>
      <c r="T697" s="59"/>
      <c r="U697" s="59"/>
      <c r="V697" s="59"/>
      <c r="W697" s="59"/>
      <c r="X697" s="59"/>
    </row>
    <row r="698">
      <c r="A698" s="59"/>
      <c r="B698" s="59"/>
      <c r="C698" s="70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88"/>
      <c r="P698" s="90"/>
      <c r="Q698" s="88"/>
      <c r="R698" s="88"/>
      <c r="S698" s="88"/>
      <c r="T698" s="59"/>
      <c r="U698" s="59"/>
      <c r="V698" s="59"/>
      <c r="W698" s="59"/>
      <c r="X698" s="59"/>
    </row>
    <row r="699">
      <c r="A699" s="59"/>
      <c r="B699" s="59"/>
      <c r="C699" s="70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88"/>
      <c r="P699" s="90"/>
      <c r="Q699" s="88"/>
      <c r="R699" s="88"/>
      <c r="S699" s="88"/>
      <c r="T699" s="59"/>
      <c r="U699" s="59"/>
      <c r="V699" s="59"/>
      <c r="W699" s="59"/>
      <c r="X699" s="59"/>
    </row>
    <row r="700">
      <c r="A700" s="59"/>
      <c r="B700" s="59"/>
      <c r="C700" s="70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88"/>
      <c r="P700" s="90"/>
      <c r="Q700" s="88"/>
      <c r="R700" s="88"/>
      <c r="S700" s="88"/>
      <c r="T700" s="59"/>
      <c r="U700" s="59"/>
      <c r="V700" s="59"/>
      <c r="W700" s="59"/>
      <c r="X700" s="59"/>
    </row>
    <row r="701">
      <c r="A701" s="59"/>
      <c r="B701" s="59"/>
      <c r="C701" s="70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88"/>
      <c r="P701" s="90"/>
      <c r="Q701" s="88"/>
      <c r="R701" s="88"/>
      <c r="S701" s="88"/>
      <c r="T701" s="59"/>
      <c r="U701" s="59"/>
      <c r="V701" s="59"/>
      <c r="W701" s="59"/>
      <c r="X701" s="59"/>
    </row>
    <row r="702">
      <c r="A702" s="59"/>
      <c r="B702" s="59"/>
      <c r="C702" s="70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88"/>
      <c r="P702" s="90"/>
      <c r="Q702" s="88"/>
      <c r="R702" s="88"/>
      <c r="S702" s="88"/>
      <c r="T702" s="59"/>
      <c r="U702" s="59"/>
      <c r="V702" s="59"/>
      <c r="W702" s="59"/>
      <c r="X702" s="59"/>
    </row>
    <row r="703">
      <c r="A703" s="59"/>
      <c r="B703" s="59"/>
      <c r="C703" s="70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88"/>
      <c r="P703" s="90"/>
      <c r="Q703" s="88"/>
      <c r="R703" s="88"/>
      <c r="S703" s="88"/>
      <c r="T703" s="59"/>
      <c r="U703" s="59"/>
      <c r="V703" s="59"/>
      <c r="W703" s="59"/>
      <c r="X703" s="59"/>
    </row>
    <row r="704">
      <c r="A704" s="59"/>
      <c r="B704" s="59"/>
      <c r="C704" s="70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88"/>
      <c r="P704" s="90"/>
      <c r="Q704" s="88"/>
      <c r="R704" s="88"/>
      <c r="S704" s="88"/>
      <c r="T704" s="59"/>
      <c r="U704" s="59"/>
      <c r="V704" s="59"/>
      <c r="W704" s="59"/>
      <c r="X704" s="59"/>
    </row>
    <row r="705">
      <c r="A705" s="59"/>
      <c r="B705" s="59"/>
      <c r="C705" s="70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88"/>
      <c r="P705" s="90"/>
      <c r="Q705" s="88"/>
      <c r="R705" s="88"/>
      <c r="S705" s="88"/>
      <c r="T705" s="59"/>
      <c r="U705" s="59"/>
      <c r="V705" s="59"/>
      <c r="W705" s="59"/>
      <c r="X705" s="59"/>
    </row>
    <row r="706">
      <c r="A706" s="59"/>
      <c r="B706" s="59"/>
      <c r="C706" s="70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88"/>
      <c r="P706" s="90"/>
      <c r="Q706" s="88"/>
      <c r="R706" s="88"/>
      <c r="S706" s="88"/>
      <c r="T706" s="59"/>
      <c r="U706" s="59"/>
      <c r="V706" s="59"/>
      <c r="W706" s="59"/>
      <c r="X706" s="59"/>
    </row>
    <row r="707">
      <c r="A707" s="59"/>
      <c r="B707" s="59"/>
      <c r="C707" s="70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88"/>
      <c r="P707" s="90"/>
      <c r="Q707" s="88"/>
      <c r="R707" s="88"/>
      <c r="S707" s="88"/>
      <c r="T707" s="59"/>
      <c r="U707" s="59"/>
      <c r="V707" s="59"/>
      <c r="W707" s="59"/>
      <c r="X707" s="59"/>
    </row>
    <row r="708">
      <c r="A708" s="59"/>
      <c r="B708" s="59"/>
      <c r="C708" s="70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88"/>
      <c r="P708" s="90"/>
      <c r="Q708" s="88"/>
      <c r="R708" s="88"/>
      <c r="S708" s="88"/>
      <c r="T708" s="59"/>
      <c r="U708" s="59"/>
      <c r="V708" s="59"/>
      <c r="W708" s="59"/>
      <c r="X708" s="59"/>
    </row>
    <row r="709">
      <c r="A709" s="59"/>
      <c r="B709" s="59"/>
      <c r="C709" s="70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88"/>
      <c r="P709" s="90"/>
      <c r="Q709" s="88"/>
      <c r="R709" s="88"/>
      <c r="S709" s="88"/>
      <c r="T709" s="59"/>
      <c r="U709" s="59"/>
      <c r="V709" s="59"/>
      <c r="W709" s="59"/>
      <c r="X709" s="59"/>
    </row>
    <row r="710">
      <c r="A710" s="59"/>
      <c r="B710" s="59"/>
      <c r="C710" s="70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88"/>
      <c r="P710" s="90"/>
      <c r="Q710" s="88"/>
      <c r="R710" s="88"/>
      <c r="S710" s="88"/>
      <c r="T710" s="59"/>
      <c r="U710" s="59"/>
      <c r="V710" s="59"/>
      <c r="W710" s="59"/>
      <c r="X710" s="59"/>
    </row>
    <row r="711">
      <c r="A711" s="59"/>
      <c r="B711" s="59"/>
      <c r="C711" s="70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88"/>
      <c r="P711" s="90"/>
      <c r="Q711" s="88"/>
      <c r="R711" s="88"/>
      <c r="S711" s="88"/>
      <c r="T711" s="59"/>
      <c r="U711" s="59"/>
      <c r="V711" s="59"/>
      <c r="W711" s="59"/>
      <c r="X711" s="59"/>
    </row>
    <row r="712">
      <c r="A712" s="59"/>
      <c r="B712" s="59"/>
      <c r="C712" s="70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88"/>
      <c r="P712" s="90"/>
      <c r="Q712" s="88"/>
      <c r="R712" s="88"/>
      <c r="S712" s="88"/>
      <c r="T712" s="59"/>
      <c r="U712" s="59"/>
      <c r="V712" s="59"/>
      <c r="W712" s="59"/>
      <c r="X712" s="59"/>
    </row>
    <row r="713">
      <c r="A713" s="59"/>
      <c r="B713" s="59"/>
      <c r="C713" s="70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88"/>
      <c r="P713" s="90"/>
      <c r="Q713" s="88"/>
      <c r="R713" s="88"/>
      <c r="S713" s="88"/>
      <c r="T713" s="59"/>
      <c r="U713" s="59"/>
      <c r="V713" s="59"/>
      <c r="W713" s="59"/>
      <c r="X713" s="59"/>
    </row>
    <row r="714">
      <c r="A714" s="59"/>
      <c r="B714" s="59"/>
      <c r="C714" s="70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88"/>
      <c r="P714" s="90"/>
      <c r="Q714" s="88"/>
      <c r="R714" s="88"/>
      <c r="S714" s="88"/>
      <c r="T714" s="59"/>
      <c r="U714" s="59"/>
      <c r="V714" s="59"/>
      <c r="W714" s="59"/>
      <c r="X714" s="59"/>
    </row>
    <row r="715">
      <c r="A715" s="59"/>
      <c r="B715" s="59"/>
      <c r="C715" s="70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88"/>
      <c r="P715" s="90"/>
      <c r="Q715" s="88"/>
      <c r="R715" s="88"/>
      <c r="S715" s="88"/>
      <c r="T715" s="59"/>
      <c r="U715" s="59"/>
      <c r="V715" s="59"/>
      <c r="W715" s="59"/>
      <c r="X715" s="59"/>
    </row>
    <row r="716">
      <c r="A716" s="59"/>
      <c r="B716" s="59"/>
      <c r="C716" s="70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88"/>
      <c r="P716" s="90"/>
      <c r="Q716" s="88"/>
      <c r="R716" s="88"/>
      <c r="S716" s="88"/>
      <c r="T716" s="59"/>
      <c r="U716" s="59"/>
      <c r="V716" s="59"/>
      <c r="W716" s="59"/>
      <c r="X716" s="59"/>
    </row>
    <row r="717">
      <c r="A717" s="59"/>
      <c r="B717" s="59"/>
      <c r="C717" s="70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88"/>
      <c r="P717" s="90"/>
      <c r="Q717" s="88"/>
      <c r="R717" s="88"/>
      <c r="S717" s="88"/>
      <c r="T717" s="59"/>
      <c r="U717" s="59"/>
      <c r="V717" s="59"/>
      <c r="W717" s="59"/>
      <c r="X717" s="59"/>
    </row>
    <row r="718">
      <c r="A718" s="59"/>
      <c r="B718" s="59"/>
      <c r="C718" s="70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88"/>
      <c r="P718" s="90"/>
      <c r="Q718" s="88"/>
      <c r="R718" s="88"/>
      <c r="S718" s="88"/>
      <c r="T718" s="59"/>
      <c r="U718" s="59"/>
      <c r="V718" s="59"/>
      <c r="W718" s="59"/>
      <c r="X718" s="59"/>
    </row>
    <row r="719">
      <c r="A719" s="59"/>
      <c r="B719" s="59"/>
      <c r="C719" s="70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88"/>
      <c r="P719" s="90"/>
      <c r="Q719" s="88"/>
      <c r="R719" s="88"/>
      <c r="S719" s="88"/>
      <c r="T719" s="59"/>
      <c r="U719" s="59"/>
      <c r="V719" s="59"/>
      <c r="W719" s="59"/>
      <c r="X719" s="59"/>
    </row>
    <row r="720">
      <c r="A720" s="59"/>
      <c r="B720" s="59"/>
      <c r="C720" s="70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88"/>
      <c r="P720" s="90"/>
      <c r="Q720" s="88"/>
      <c r="R720" s="88"/>
      <c r="S720" s="88"/>
      <c r="T720" s="59"/>
      <c r="U720" s="59"/>
      <c r="V720" s="59"/>
      <c r="W720" s="59"/>
      <c r="X720" s="59"/>
    </row>
    <row r="721">
      <c r="A721" s="59"/>
      <c r="B721" s="59"/>
      <c r="C721" s="70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88"/>
      <c r="P721" s="90"/>
      <c r="Q721" s="88"/>
      <c r="R721" s="88"/>
      <c r="S721" s="88"/>
      <c r="T721" s="59"/>
      <c r="U721" s="59"/>
      <c r="V721" s="59"/>
      <c r="W721" s="59"/>
      <c r="X721" s="59"/>
    </row>
    <row r="722">
      <c r="A722" s="59"/>
      <c r="B722" s="59"/>
      <c r="C722" s="70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88"/>
      <c r="P722" s="90"/>
      <c r="Q722" s="88"/>
      <c r="R722" s="88"/>
      <c r="S722" s="88"/>
      <c r="T722" s="59"/>
      <c r="U722" s="59"/>
      <c r="V722" s="59"/>
      <c r="W722" s="59"/>
      <c r="X722" s="59"/>
    </row>
    <row r="723">
      <c r="A723" s="59"/>
      <c r="B723" s="59"/>
      <c r="C723" s="70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88"/>
      <c r="P723" s="90"/>
      <c r="Q723" s="88"/>
      <c r="R723" s="88"/>
      <c r="S723" s="88"/>
      <c r="T723" s="59"/>
      <c r="U723" s="59"/>
      <c r="V723" s="59"/>
      <c r="W723" s="59"/>
      <c r="X723" s="59"/>
    </row>
    <row r="724">
      <c r="A724" s="59"/>
      <c r="B724" s="59"/>
      <c r="C724" s="70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88"/>
      <c r="P724" s="90"/>
      <c r="Q724" s="88"/>
      <c r="R724" s="88"/>
      <c r="S724" s="88"/>
      <c r="T724" s="59"/>
      <c r="U724" s="59"/>
      <c r="V724" s="59"/>
      <c r="W724" s="59"/>
      <c r="X724" s="59"/>
    </row>
    <row r="725">
      <c r="A725" s="59"/>
      <c r="B725" s="59"/>
      <c r="C725" s="70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88"/>
      <c r="P725" s="90"/>
      <c r="Q725" s="88"/>
      <c r="R725" s="88"/>
      <c r="S725" s="88"/>
      <c r="T725" s="59"/>
      <c r="U725" s="59"/>
      <c r="V725" s="59"/>
      <c r="W725" s="59"/>
      <c r="X725" s="59"/>
    </row>
    <row r="726">
      <c r="A726" s="59"/>
      <c r="B726" s="59"/>
      <c r="C726" s="70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88"/>
      <c r="P726" s="90"/>
      <c r="Q726" s="88"/>
      <c r="R726" s="88"/>
      <c r="S726" s="88"/>
      <c r="T726" s="59"/>
      <c r="U726" s="59"/>
      <c r="V726" s="59"/>
      <c r="W726" s="59"/>
      <c r="X726" s="59"/>
    </row>
    <row r="727">
      <c r="A727" s="59"/>
      <c r="B727" s="59"/>
      <c r="C727" s="70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88"/>
      <c r="P727" s="90"/>
      <c r="Q727" s="88"/>
      <c r="R727" s="88"/>
      <c r="S727" s="88"/>
      <c r="T727" s="59"/>
      <c r="U727" s="59"/>
      <c r="V727" s="59"/>
      <c r="W727" s="59"/>
      <c r="X727" s="59"/>
    </row>
    <row r="728">
      <c r="A728" s="59"/>
      <c r="B728" s="59"/>
      <c r="C728" s="70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88"/>
      <c r="P728" s="90"/>
      <c r="Q728" s="88"/>
      <c r="R728" s="88"/>
      <c r="S728" s="88"/>
      <c r="T728" s="59"/>
      <c r="U728" s="59"/>
      <c r="V728" s="59"/>
      <c r="W728" s="59"/>
      <c r="X728" s="59"/>
    </row>
    <row r="729">
      <c r="A729" s="59"/>
      <c r="B729" s="59"/>
      <c r="C729" s="70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88"/>
      <c r="P729" s="90"/>
      <c r="Q729" s="88"/>
      <c r="R729" s="88"/>
      <c r="S729" s="88"/>
      <c r="T729" s="59"/>
      <c r="U729" s="59"/>
      <c r="V729" s="59"/>
      <c r="W729" s="59"/>
      <c r="X729" s="59"/>
    </row>
    <row r="730">
      <c r="A730" s="59"/>
      <c r="B730" s="59"/>
      <c r="C730" s="70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88"/>
      <c r="P730" s="90"/>
      <c r="Q730" s="88"/>
      <c r="R730" s="88"/>
      <c r="S730" s="88"/>
      <c r="T730" s="59"/>
      <c r="U730" s="59"/>
      <c r="V730" s="59"/>
      <c r="W730" s="59"/>
      <c r="X730" s="59"/>
    </row>
    <row r="731">
      <c r="A731" s="59"/>
      <c r="B731" s="59"/>
      <c r="C731" s="70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88"/>
      <c r="P731" s="90"/>
      <c r="Q731" s="88"/>
      <c r="R731" s="88"/>
      <c r="S731" s="88"/>
      <c r="T731" s="59"/>
      <c r="U731" s="59"/>
      <c r="V731" s="59"/>
      <c r="W731" s="59"/>
      <c r="X731" s="59"/>
    </row>
    <row r="732">
      <c r="A732" s="59"/>
      <c r="B732" s="59"/>
      <c r="C732" s="70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88"/>
      <c r="P732" s="90"/>
      <c r="Q732" s="88"/>
      <c r="R732" s="88"/>
      <c r="S732" s="88"/>
      <c r="T732" s="59"/>
      <c r="U732" s="59"/>
      <c r="V732" s="59"/>
      <c r="W732" s="59"/>
      <c r="X732" s="59"/>
    </row>
    <row r="733">
      <c r="A733" s="59"/>
      <c r="B733" s="59"/>
      <c r="C733" s="70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88"/>
      <c r="P733" s="90"/>
      <c r="Q733" s="88"/>
      <c r="R733" s="88"/>
      <c r="S733" s="88"/>
      <c r="T733" s="59"/>
      <c r="U733" s="59"/>
      <c r="V733" s="59"/>
      <c r="W733" s="59"/>
      <c r="X733" s="59"/>
    </row>
    <row r="734">
      <c r="A734" s="59"/>
      <c r="B734" s="59"/>
      <c r="C734" s="70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88"/>
      <c r="P734" s="90"/>
      <c r="Q734" s="88"/>
      <c r="R734" s="88"/>
      <c r="S734" s="88"/>
      <c r="T734" s="59"/>
      <c r="U734" s="59"/>
      <c r="V734" s="59"/>
      <c r="W734" s="59"/>
      <c r="X734" s="59"/>
    </row>
    <row r="735">
      <c r="A735" s="59"/>
      <c r="B735" s="59"/>
      <c r="C735" s="70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88"/>
      <c r="P735" s="90"/>
      <c r="Q735" s="88"/>
      <c r="R735" s="88"/>
      <c r="S735" s="88"/>
      <c r="T735" s="59"/>
      <c r="U735" s="59"/>
      <c r="V735" s="59"/>
      <c r="W735" s="59"/>
      <c r="X735" s="59"/>
    </row>
    <row r="736">
      <c r="A736" s="59"/>
      <c r="B736" s="59"/>
      <c r="C736" s="70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88"/>
      <c r="P736" s="90"/>
      <c r="Q736" s="88"/>
      <c r="R736" s="88"/>
      <c r="S736" s="88"/>
      <c r="T736" s="59"/>
      <c r="U736" s="59"/>
      <c r="V736" s="59"/>
      <c r="W736" s="59"/>
      <c r="X736" s="59"/>
    </row>
    <row r="737">
      <c r="A737" s="59"/>
      <c r="B737" s="59"/>
      <c r="C737" s="70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88"/>
      <c r="P737" s="90"/>
      <c r="Q737" s="88"/>
      <c r="R737" s="88"/>
      <c r="S737" s="88"/>
      <c r="T737" s="59"/>
      <c r="U737" s="59"/>
      <c r="V737" s="59"/>
      <c r="W737" s="59"/>
      <c r="X737" s="59"/>
    </row>
    <row r="738">
      <c r="A738" s="59"/>
      <c r="B738" s="59"/>
      <c r="C738" s="70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88"/>
      <c r="P738" s="90"/>
      <c r="Q738" s="88"/>
      <c r="R738" s="88"/>
      <c r="S738" s="88"/>
      <c r="T738" s="59"/>
      <c r="U738" s="59"/>
      <c r="V738" s="59"/>
      <c r="W738" s="59"/>
      <c r="X738" s="59"/>
    </row>
    <row r="739">
      <c r="A739" s="59"/>
      <c r="B739" s="59"/>
      <c r="C739" s="70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88"/>
      <c r="P739" s="90"/>
      <c r="Q739" s="88"/>
      <c r="R739" s="88"/>
      <c r="S739" s="88"/>
      <c r="T739" s="59"/>
      <c r="U739" s="59"/>
      <c r="V739" s="59"/>
      <c r="W739" s="59"/>
      <c r="X739" s="59"/>
    </row>
    <row r="740">
      <c r="A740" s="59"/>
      <c r="B740" s="59"/>
      <c r="C740" s="70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88"/>
      <c r="P740" s="90"/>
      <c r="Q740" s="88"/>
      <c r="R740" s="88"/>
      <c r="S740" s="88"/>
      <c r="T740" s="59"/>
      <c r="U740" s="59"/>
      <c r="V740" s="59"/>
      <c r="W740" s="59"/>
      <c r="X740" s="59"/>
    </row>
    <row r="741">
      <c r="A741" s="59"/>
      <c r="B741" s="59"/>
      <c r="C741" s="70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88"/>
      <c r="P741" s="90"/>
      <c r="Q741" s="88"/>
      <c r="R741" s="88"/>
      <c r="S741" s="88"/>
      <c r="T741" s="59"/>
      <c r="U741" s="59"/>
      <c r="V741" s="59"/>
      <c r="W741" s="59"/>
      <c r="X741" s="59"/>
    </row>
    <row r="742">
      <c r="A742" s="59"/>
      <c r="B742" s="59"/>
      <c r="C742" s="70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88"/>
      <c r="P742" s="90"/>
      <c r="Q742" s="88"/>
      <c r="R742" s="88"/>
      <c r="S742" s="88"/>
      <c r="T742" s="59"/>
      <c r="U742" s="59"/>
      <c r="V742" s="59"/>
      <c r="W742" s="59"/>
      <c r="X742" s="59"/>
    </row>
    <row r="743">
      <c r="A743" s="59"/>
      <c r="B743" s="59"/>
      <c r="C743" s="70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88"/>
      <c r="P743" s="90"/>
      <c r="Q743" s="88"/>
      <c r="R743" s="88"/>
      <c r="S743" s="88"/>
      <c r="T743" s="59"/>
      <c r="U743" s="59"/>
      <c r="V743" s="59"/>
      <c r="W743" s="59"/>
      <c r="X743" s="59"/>
    </row>
    <row r="744">
      <c r="A744" s="59"/>
      <c r="B744" s="59"/>
      <c r="C744" s="70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88"/>
      <c r="P744" s="90"/>
      <c r="Q744" s="88"/>
      <c r="R744" s="88"/>
      <c r="S744" s="88"/>
      <c r="T744" s="59"/>
      <c r="U744" s="59"/>
      <c r="V744" s="59"/>
      <c r="W744" s="59"/>
      <c r="X744" s="59"/>
    </row>
    <row r="745">
      <c r="A745" s="59"/>
      <c r="B745" s="59"/>
      <c r="C745" s="70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88"/>
      <c r="P745" s="90"/>
      <c r="Q745" s="88"/>
      <c r="R745" s="88"/>
      <c r="S745" s="88"/>
      <c r="T745" s="59"/>
      <c r="U745" s="59"/>
      <c r="V745" s="59"/>
      <c r="W745" s="59"/>
      <c r="X745" s="59"/>
    </row>
    <row r="746">
      <c r="A746" s="59"/>
      <c r="B746" s="59"/>
      <c r="C746" s="70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88"/>
      <c r="P746" s="90"/>
      <c r="Q746" s="88"/>
      <c r="R746" s="88"/>
      <c r="S746" s="88"/>
      <c r="T746" s="59"/>
      <c r="U746" s="59"/>
      <c r="V746" s="59"/>
      <c r="W746" s="59"/>
      <c r="X746" s="59"/>
    </row>
    <row r="747">
      <c r="A747" s="59"/>
      <c r="B747" s="59"/>
      <c r="C747" s="70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88"/>
      <c r="P747" s="90"/>
      <c r="Q747" s="88"/>
      <c r="R747" s="88"/>
      <c r="S747" s="88"/>
      <c r="T747" s="59"/>
      <c r="U747" s="59"/>
      <c r="V747" s="59"/>
      <c r="W747" s="59"/>
      <c r="X747" s="59"/>
    </row>
    <row r="748">
      <c r="A748" s="59"/>
      <c r="B748" s="59"/>
      <c r="C748" s="70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88"/>
      <c r="P748" s="90"/>
      <c r="Q748" s="88"/>
      <c r="R748" s="88"/>
      <c r="S748" s="88"/>
      <c r="T748" s="59"/>
      <c r="U748" s="59"/>
      <c r="V748" s="59"/>
      <c r="W748" s="59"/>
      <c r="X748" s="59"/>
    </row>
    <row r="749">
      <c r="A749" s="59"/>
      <c r="B749" s="59"/>
      <c r="C749" s="70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88"/>
      <c r="P749" s="90"/>
      <c r="Q749" s="88"/>
      <c r="R749" s="88"/>
      <c r="S749" s="88"/>
      <c r="T749" s="59"/>
      <c r="U749" s="59"/>
      <c r="V749" s="59"/>
      <c r="W749" s="59"/>
      <c r="X749" s="59"/>
    </row>
    <row r="750">
      <c r="A750" s="59"/>
      <c r="B750" s="59"/>
      <c r="C750" s="70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88"/>
      <c r="P750" s="90"/>
      <c r="Q750" s="88"/>
      <c r="R750" s="88"/>
      <c r="S750" s="88"/>
      <c r="T750" s="59"/>
      <c r="U750" s="59"/>
      <c r="V750" s="59"/>
      <c r="W750" s="59"/>
      <c r="X750" s="59"/>
    </row>
    <row r="751">
      <c r="A751" s="59"/>
      <c r="B751" s="59"/>
      <c r="C751" s="70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88"/>
      <c r="P751" s="90"/>
      <c r="Q751" s="88"/>
      <c r="R751" s="88"/>
      <c r="S751" s="88"/>
      <c r="T751" s="59"/>
      <c r="U751" s="59"/>
      <c r="V751" s="59"/>
      <c r="W751" s="59"/>
      <c r="X751" s="59"/>
    </row>
    <row r="752">
      <c r="A752" s="59"/>
      <c r="B752" s="59"/>
      <c r="C752" s="70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88"/>
      <c r="P752" s="90"/>
      <c r="Q752" s="88"/>
      <c r="R752" s="88"/>
      <c r="S752" s="88"/>
      <c r="T752" s="59"/>
      <c r="U752" s="59"/>
      <c r="V752" s="59"/>
      <c r="W752" s="59"/>
      <c r="X752" s="59"/>
    </row>
    <row r="753">
      <c r="A753" s="59"/>
      <c r="B753" s="59"/>
      <c r="C753" s="70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88"/>
      <c r="P753" s="90"/>
      <c r="Q753" s="88"/>
      <c r="R753" s="88"/>
      <c r="S753" s="88"/>
      <c r="T753" s="59"/>
      <c r="U753" s="59"/>
      <c r="V753" s="59"/>
      <c r="W753" s="59"/>
      <c r="X753" s="59"/>
    </row>
    <row r="754">
      <c r="A754" s="59"/>
      <c r="B754" s="59"/>
      <c r="C754" s="70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88"/>
      <c r="P754" s="90"/>
      <c r="Q754" s="88"/>
      <c r="R754" s="88"/>
      <c r="S754" s="88"/>
      <c r="T754" s="59"/>
      <c r="U754" s="59"/>
      <c r="V754" s="59"/>
      <c r="W754" s="59"/>
      <c r="X754" s="59"/>
    </row>
    <row r="755">
      <c r="A755" s="59"/>
      <c r="B755" s="59"/>
      <c r="C755" s="70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88"/>
      <c r="P755" s="90"/>
      <c r="Q755" s="88"/>
      <c r="R755" s="88"/>
      <c r="S755" s="88"/>
      <c r="T755" s="59"/>
      <c r="U755" s="59"/>
      <c r="V755" s="59"/>
      <c r="W755" s="59"/>
      <c r="X755" s="59"/>
    </row>
    <row r="756">
      <c r="A756" s="59"/>
      <c r="B756" s="59"/>
      <c r="C756" s="70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88"/>
      <c r="P756" s="90"/>
      <c r="Q756" s="88"/>
      <c r="R756" s="88"/>
      <c r="S756" s="88"/>
      <c r="T756" s="59"/>
      <c r="U756" s="59"/>
      <c r="V756" s="59"/>
      <c r="W756" s="59"/>
      <c r="X756" s="59"/>
    </row>
    <row r="757">
      <c r="A757" s="59"/>
      <c r="B757" s="59"/>
      <c r="C757" s="70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88"/>
      <c r="P757" s="90"/>
      <c r="Q757" s="88"/>
      <c r="R757" s="88"/>
      <c r="S757" s="88"/>
      <c r="T757" s="59"/>
      <c r="U757" s="59"/>
      <c r="V757" s="59"/>
      <c r="W757" s="59"/>
      <c r="X757" s="59"/>
    </row>
    <row r="758">
      <c r="A758" s="59"/>
      <c r="B758" s="59"/>
      <c r="C758" s="70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88"/>
      <c r="P758" s="90"/>
      <c r="Q758" s="88"/>
      <c r="R758" s="88"/>
      <c r="S758" s="88"/>
      <c r="T758" s="59"/>
      <c r="U758" s="59"/>
      <c r="V758" s="59"/>
      <c r="W758" s="59"/>
      <c r="X758" s="59"/>
    </row>
    <row r="759">
      <c r="A759" s="59"/>
      <c r="B759" s="59"/>
      <c r="C759" s="70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88"/>
      <c r="P759" s="90"/>
      <c r="Q759" s="88"/>
      <c r="R759" s="88"/>
      <c r="S759" s="88"/>
      <c r="T759" s="59"/>
      <c r="U759" s="59"/>
      <c r="V759" s="59"/>
      <c r="W759" s="59"/>
      <c r="X759" s="59"/>
    </row>
    <row r="760">
      <c r="A760" s="59"/>
      <c r="B760" s="59"/>
      <c r="C760" s="70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88"/>
      <c r="P760" s="90"/>
      <c r="Q760" s="88"/>
      <c r="R760" s="88"/>
      <c r="S760" s="88"/>
      <c r="T760" s="59"/>
      <c r="U760" s="59"/>
      <c r="V760" s="59"/>
      <c r="W760" s="59"/>
      <c r="X760" s="59"/>
    </row>
    <row r="761">
      <c r="A761" s="59"/>
      <c r="B761" s="59"/>
      <c r="C761" s="70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88"/>
      <c r="P761" s="90"/>
      <c r="Q761" s="88"/>
      <c r="R761" s="88"/>
      <c r="S761" s="88"/>
      <c r="T761" s="59"/>
      <c r="U761" s="59"/>
      <c r="V761" s="59"/>
      <c r="W761" s="59"/>
      <c r="X761" s="59"/>
    </row>
    <row r="762">
      <c r="A762" s="59"/>
      <c r="B762" s="59"/>
      <c r="C762" s="70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88"/>
      <c r="P762" s="90"/>
      <c r="Q762" s="88"/>
      <c r="R762" s="88"/>
      <c r="S762" s="88"/>
      <c r="T762" s="59"/>
      <c r="U762" s="59"/>
      <c r="V762" s="59"/>
      <c r="W762" s="59"/>
      <c r="X762" s="59"/>
    </row>
    <row r="763">
      <c r="A763" s="59"/>
      <c r="B763" s="59"/>
      <c r="C763" s="70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88"/>
      <c r="P763" s="90"/>
      <c r="Q763" s="88"/>
      <c r="R763" s="88"/>
      <c r="S763" s="88"/>
      <c r="T763" s="59"/>
      <c r="U763" s="59"/>
      <c r="V763" s="59"/>
      <c r="W763" s="59"/>
      <c r="X763" s="59"/>
    </row>
    <row r="764">
      <c r="A764" s="59"/>
      <c r="B764" s="59"/>
      <c r="C764" s="70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88"/>
      <c r="P764" s="90"/>
      <c r="Q764" s="88"/>
      <c r="R764" s="88"/>
      <c r="S764" s="88"/>
      <c r="T764" s="59"/>
      <c r="U764" s="59"/>
      <c r="V764" s="59"/>
      <c r="W764" s="59"/>
      <c r="X764" s="59"/>
    </row>
    <row r="765">
      <c r="A765" s="59"/>
      <c r="B765" s="59"/>
      <c r="C765" s="70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88"/>
      <c r="P765" s="90"/>
      <c r="Q765" s="88"/>
      <c r="R765" s="88"/>
      <c r="S765" s="88"/>
      <c r="T765" s="59"/>
      <c r="U765" s="59"/>
      <c r="V765" s="59"/>
      <c r="W765" s="59"/>
      <c r="X765" s="59"/>
    </row>
    <row r="766">
      <c r="A766" s="59"/>
      <c r="B766" s="59"/>
      <c r="C766" s="70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88"/>
      <c r="P766" s="90"/>
      <c r="Q766" s="88"/>
      <c r="R766" s="88"/>
      <c r="S766" s="88"/>
      <c r="T766" s="59"/>
      <c r="U766" s="59"/>
      <c r="V766" s="59"/>
      <c r="W766" s="59"/>
      <c r="X766" s="59"/>
    </row>
    <row r="767">
      <c r="A767" s="59"/>
      <c r="B767" s="59"/>
      <c r="C767" s="70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88"/>
      <c r="P767" s="90"/>
      <c r="Q767" s="88"/>
      <c r="R767" s="88"/>
      <c r="S767" s="88"/>
      <c r="T767" s="59"/>
      <c r="U767" s="59"/>
      <c r="V767" s="59"/>
      <c r="W767" s="59"/>
      <c r="X767" s="59"/>
    </row>
    <row r="768">
      <c r="A768" s="59"/>
      <c r="B768" s="59"/>
      <c r="C768" s="70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88"/>
      <c r="P768" s="90"/>
      <c r="Q768" s="88"/>
      <c r="R768" s="88"/>
      <c r="S768" s="88"/>
      <c r="T768" s="59"/>
      <c r="U768" s="59"/>
      <c r="V768" s="59"/>
      <c r="W768" s="59"/>
      <c r="X768" s="59"/>
    </row>
    <row r="769">
      <c r="A769" s="59"/>
      <c r="B769" s="59"/>
      <c r="C769" s="70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88"/>
      <c r="P769" s="90"/>
      <c r="Q769" s="88"/>
      <c r="R769" s="88"/>
      <c r="S769" s="88"/>
      <c r="T769" s="59"/>
      <c r="U769" s="59"/>
      <c r="V769" s="59"/>
      <c r="W769" s="59"/>
      <c r="X769" s="59"/>
    </row>
    <row r="770">
      <c r="A770" s="59"/>
      <c r="B770" s="59"/>
      <c r="C770" s="70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88"/>
      <c r="P770" s="90"/>
      <c r="Q770" s="88"/>
      <c r="R770" s="88"/>
      <c r="S770" s="88"/>
      <c r="T770" s="59"/>
      <c r="U770" s="59"/>
      <c r="V770" s="59"/>
      <c r="W770" s="59"/>
      <c r="X770" s="59"/>
    </row>
    <row r="771">
      <c r="A771" s="59"/>
      <c r="B771" s="59"/>
      <c r="C771" s="70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88"/>
      <c r="P771" s="90"/>
      <c r="Q771" s="88"/>
      <c r="R771" s="88"/>
      <c r="S771" s="88"/>
      <c r="T771" s="59"/>
      <c r="U771" s="59"/>
      <c r="V771" s="59"/>
      <c r="W771" s="59"/>
      <c r="X771" s="59"/>
    </row>
    <row r="772">
      <c r="A772" s="59"/>
      <c r="B772" s="59"/>
      <c r="C772" s="70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88"/>
      <c r="P772" s="90"/>
      <c r="Q772" s="88"/>
      <c r="R772" s="88"/>
      <c r="S772" s="88"/>
      <c r="T772" s="59"/>
      <c r="U772" s="59"/>
      <c r="V772" s="59"/>
      <c r="W772" s="59"/>
      <c r="X772" s="59"/>
    </row>
    <row r="773">
      <c r="A773" s="59"/>
      <c r="B773" s="59"/>
      <c r="C773" s="70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88"/>
      <c r="P773" s="90"/>
      <c r="Q773" s="88"/>
      <c r="R773" s="88"/>
      <c r="S773" s="88"/>
      <c r="T773" s="59"/>
      <c r="U773" s="59"/>
      <c r="V773" s="59"/>
      <c r="W773" s="59"/>
      <c r="X773" s="59"/>
    </row>
    <row r="774">
      <c r="A774" s="59"/>
      <c r="B774" s="59"/>
      <c r="C774" s="70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88"/>
      <c r="P774" s="90"/>
      <c r="Q774" s="88"/>
      <c r="R774" s="88"/>
      <c r="S774" s="88"/>
      <c r="T774" s="59"/>
      <c r="U774" s="59"/>
      <c r="V774" s="59"/>
      <c r="W774" s="59"/>
      <c r="X774" s="59"/>
    </row>
    <row r="775">
      <c r="A775" s="59"/>
      <c r="B775" s="59"/>
      <c r="C775" s="70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88"/>
      <c r="P775" s="90"/>
      <c r="Q775" s="88"/>
      <c r="R775" s="88"/>
      <c r="S775" s="88"/>
      <c r="T775" s="59"/>
      <c r="U775" s="59"/>
      <c r="V775" s="59"/>
      <c r="W775" s="59"/>
      <c r="X775" s="59"/>
    </row>
    <row r="776">
      <c r="A776" s="59"/>
      <c r="B776" s="59"/>
      <c r="C776" s="70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88"/>
      <c r="P776" s="90"/>
      <c r="Q776" s="88"/>
      <c r="R776" s="88"/>
      <c r="S776" s="88"/>
      <c r="T776" s="59"/>
      <c r="U776" s="59"/>
      <c r="V776" s="59"/>
      <c r="W776" s="59"/>
      <c r="X776" s="59"/>
    </row>
    <row r="777">
      <c r="A777" s="59"/>
      <c r="B777" s="59"/>
      <c r="C777" s="70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88"/>
      <c r="P777" s="90"/>
      <c r="Q777" s="88"/>
      <c r="R777" s="88"/>
      <c r="S777" s="88"/>
      <c r="T777" s="59"/>
      <c r="U777" s="59"/>
      <c r="V777" s="59"/>
      <c r="W777" s="59"/>
      <c r="X777" s="59"/>
    </row>
    <row r="778">
      <c r="A778" s="59"/>
      <c r="B778" s="59"/>
      <c r="C778" s="70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88"/>
      <c r="P778" s="90"/>
      <c r="Q778" s="88"/>
      <c r="R778" s="88"/>
      <c r="S778" s="88"/>
      <c r="T778" s="59"/>
      <c r="U778" s="59"/>
      <c r="V778" s="59"/>
      <c r="W778" s="59"/>
      <c r="X778" s="59"/>
    </row>
    <row r="779">
      <c r="A779" s="59"/>
      <c r="B779" s="59"/>
      <c r="C779" s="70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88"/>
      <c r="P779" s="90"/>
      <c r="Q779" s="88"/>
      <c r="R779" s="88"/>
      <c r="S779" s="88"/>
      <c r="T779" s="59"/>
      <c r="U779" s="59"/>
      <c r="V779" s="59"/>
      <c r="W779" s="59"/>
      <c r="X779" s="59"/>
    </row>
    <row r="780">
      <c r="A780" s="59"/>
      <c r="B780" s="59"/>
      <c r="C780" s="70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88"/>
      <c r="P780" s="90"/>
      <c r="Q780" s="88"/>
      <c r="R780" s="88"/>
      <c r="S780" s="88"/>
      <c r="T780" s="59"/>
      <c r="U780" s="59"/>
      <c r="V780" s="59"/>
      <c r="W780" s="59"/>
      <c r="X780" s="59"/>
    </row>
    <row r="781">
      <c r="A781" s="59"/>
      <c r="B781" s="59"/>
      <c r="C781" s="70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88"/>
      <c r="P781" s="90"/>
      <c r="Q781" s="88"/>
      <c r="R781" s="88"/>
      <c r="S781" s="88"/>
      <c r="T781" s="59"/>
      <c r="U781" s="59"/>
      <c r="V781" s="59"/>
      <c r="W781" s="59"/>
      <c r="X781" s="59"/>
    </row>
    <row r="782">
      <c r="A782" s="59"/>
      <c r="B782" s="59"/>
      <c r="C782" s="70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88"/>
      <c r="P782" s="90"/>
      <c r="Q782" s="88"/>
      <c r="R782" s="88"/>
      <c r="S782" s="88"/>
      <c r="T782" s="59"/>
      <c r="U782" s="59"/>
      <c r="V782" s="59"/>
      <c r="W782" s="59"/>
      <c r="X782" s="59"/>
    </row>
    <row r="783">
      <c r="A783" s="59"/>
      <c r="B783" s="59"/>
      <c r="C783" s="70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88"/>
      <c r="P783" s="90"/>
      <c r="Q783" s="88"/>
      <c r="R783" s="88"/>
      <c r="S783" s="88"/>
      <c r="T783" s="59"/>
      <c r="U783" s="59"/>
      <c r="V783" s="59"/>
      <c r="W783" s="59"/>
      <c r="X783" s="59"/>
    </row>
    <row r="784">
      <c r="A784" s="59"/>
      <c r="B784" s="59"/>
      <c r="C784" s="70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88"/>
      <c r="P784" s="90"/>
      <c r="Q784" s="88"/>
      <c r="R784" s="88"/>
      <c r="S784" s="88"/>
      <c r="T784" s="59"/>
      <c r="U784" s="59"/>
      <c r="V784" s="59"/>
      <c r="W784" s="59"/>
      <c r="X784" s="59"/>
    </row>
    <row r="785">
      <c r="A785" s="59"/>
      <c r="B785" s="59"/>
      <c r="C785" s="70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88"/>
      <c r="P785" s="90"/>
      <c r="Q785" s="88"/>
      <c r="R785" s="88"/>
      <c r="S785" s="88"/>
      <c r="T785" s="59"/>
      <c r="U785" s="59"/>
      <c r="V785" s="59"/>
      <c r="W785" s="59"/>
      <c r="X785" s="59"/>
    </row>
    <row r="786">
      <c r="A786" s="59"/>
      <c r="B786" s="59"/>
      <c r="C786" s="70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88"/>
      <c r="P786" s="90"/>
      <c r="Q786" s="88"/>
      <c r="R786" s="88"/>
      <c r="S786" s="88"/>
      <c r="T786" s="59"/>
      <c r="U786" s="59"/>
      <c r="V786" s="59"/>
      <c r="W786" s="59"/>
      <c r="X786" s="59"/>
    </row>
    <row r="787">
      <c r="A787" s="59"/>
      <c r="B787" s="59"/>
      <c r="C787" s="70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88"/>
      <c r="P787" s="90"/>
      <c r="Q787" s="88"/>
      <c r="R787" s="88"/>
      <c r="S787" s="88"/>
      <c r="T787" s="59"/>
      <c r="U787" s="59"/>
      <c r="V787" s="59"/>
      <c r="W787" s="59"/>
      <c r="X787" s="59"/>
    </row>
    <row r="788">
      <c r="A788" s="59"/>
      <c r="B788" s="59"/>
      <c r="C788" s="70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88"/>
      <c r="P788" s="90"/>
      <c r="Q788" s="88"/>
      <c r="R788" s="88"/>
      <c r="S788" s="88"/>
      <c r="T788" s="59"/>
      <c r="U788" s="59"/>
      <c r="V788" s="59"/>
      <c r="W788" s="59"/>
      <c r="X788" s="59"/>
    </row>
    <row r="789">
      <c r="A789" s="59"/>
      <c r="B789" s="59"/>
      <c r="C789" s="70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88"/>
      <c r="P789" s="90"/>
      <c r="Q789" s="88"/>
      <c r="R789" s="88"/>
      <c r="S789" s="88"/>
      <c r="T789" s="59"/>
      <c r="U789" s="59"/>
      <c r="V789" s="59"/>
      <c r="W789" s="59"/>
      <c r="X789" s="59"/>
    </row>
    <row r="790">
      <c r="A790" s="59"/>
      <c r="B790" s="59"/>
      <c r="C790" s="70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88"/>
      <c r="P790" s="90"/>
      <c r="Q790" s="88"/>
      <c r="R790" s="88"/>
      <c r="S790" s="88"/>
      <c r="T790" s="59"/>
      <c r="U790" s="59"/>
      <c r="V790" s="59"/>
      <c r="W790" s="59"/>
      <c r="X790" s="59"/>
    </row>
    <row r="791">
      <c r="A791" s="59"/>
      <c r="B791" s="59"/>
      <c r="C791" s="70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88"/>
      <c r="P791" s="90"/>
      <c r="Q791" s="88"/>
      <c r="R791" s="88"/>
      <c r="S791" s="88"/>
      <c r="T791" s="59"/>
      <c r="U791" s="59"/>
      <c r="V791" s="59"/>
      <c r="W791" s="59"/>
      <c r="X791" s="59"/>
    </row>
    <row r="792">
      <c r="A792" s="59"/>
      <c r="B792" s="59"/>
      <c r="C792" s="70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88"/>
      <c r="P792" s="90"/>
      <c r="Q792" s="88"/>
      <c r="R792" s="88"/>
      <c r="S792" s="88"/>
      <c r="T792" s="59"/>
      <c r="U792" s="59"/>
      <c r="V792" s="59"/>
      <c r="W792" s="59"/>
      <c r="X792" s="59"/>
    </row>
    <row r="793">
      <c r="A793" s="59"/>
      <c r="B793" s="59"/>
      <c r="C793" s="70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88"/>
      <c r="P793" s="90"/>
      <c r="Q793" s="88"/>
      <c r="R793" s="88"/>
      <c r="S793" s="88"/>
      <c r="T793" s="59"/>
      <c r="U793" s="59"/>
      <c r="V793" s="59"/>
      <c r="W793" s="59"/>
      <c r="X793" s="59"/>
    </row>
    <row r="794">
      <c r="A794" s="59"/>
      <c r="B794" s="59"/>
      <c r="C794" s="70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88"/>
      <c r="P794" s="90"/>
      <c r="Q794" s="88"/>
      <c r="R794" s="88"/>
      <c r="S794" s="88"/>
      <c r="T794" s="59"/>
      <c r="U794" s="59"/>
      <c r="V794" s="59"/>
      <c r="W794" s="59"/>
      <c r="X794" s="59"/>
    </row>
    <row r="795">
      <c r="A795" s="59"/>
      <c r="B795" s="59"/>
      <c r="C795" s="70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88"/>
      <c r="P795" s="90"/>
      <c r="Q795" s="88"/>
      <c r="R795" s="88"/>
      <c r="S795" s="88"/>
      <c r="T795" s="59"/>
      <c r="U795" s="59"/>
      <c r="V795" s="59"/>
      <c r="W795" s="59"/>
      <c r="X795" s="59"/>
    </row>
    <row r="796">
      <c r="A796" s="59"/>
      <c r="B796" s="59"/>
      <c r="C796" s="70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88"/>
      <c r="P796" s="90"/>
      <c r="Q796" s="88"/>
      <c r="R796" s="88"/>
      <c r="S796" s="88"/>
      <c r="T796" s="59"/>
      <c r="U796" s="59"/>
      <c r="V796" s="59"/>
      <c r="W796" s="59"/>
      <c r="X796" s="59"/>
    </row>
    <row r="797">
      <c r="A797" s="59"/>
      <c r="B797" s="59"/>
      <c r="C797" s="70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88"/>
      <c r="P797" s="90"/>
      <c r="Q797" s="88"/>
      <c r="R797" s="88"/>
      <c r="S797" s="88"/>
      <c r="T797" s="59"/>
      <c r="U797" s="59"/>
      <c r="V797" s="59"/>
      <c r="W797" s="59"/>
      <c r="X797" s="59"/>
    </row>
    <row r="798">
      <c r="A798" s="59"/>
      <c r="B798" s="59"/>
      <c r="C798" s="70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88"/>
      <c r="P798" s="90"/>
      <c r="Q798" s="88"/>
      <c r="R798" s="88"/>
      <c r="S798" s="88"/>
      <c r="T798" s="59"/>
      <c r="U798" s="59"/>
      <c r="V798" s="59"/>
      <c r="W798" s="59"/>
      <c r="X798" s="59"/>
    </row>
    <row r="799">
      <c r="A799" s="59"/>
      <c r="B799" s="59"/>
      <c r="C799" s="70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88"/>
      <c r="P799" s="90"/>
      <c r="Q799" s="88"/>
      <c r="R799" s="88"/>
      <c r="S799" s="88"/>
      <c r="T799" s="59"/>
      <c r="U799" s="59"/>
      <c r="V799" s="59"/>
      <c r="W799" s="59"/>
      <c r="X799" s="59"/>
    </row>
    <row r="800">
      <c r="A800" s="59"/>
      <c r="B800" s="59"/>
      <c r="C800" s="70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88"/>
      <c r="P800" s="90"/>
      <c r="Q800" s="88"/>
      <c r="R800" s="88"/>
      <c r="S800" s="88"/>
      <c r="T800" s="59"/>
      <c r="U800" s="59"/>
      <c r="V800" s="59"/>
      <c r="W800" s="59"/>
      <c r="X800" s="59"/>
    </row>
    <row r="801">
      <c r="A801" s="59"/>
      <c r="B801" s="59"/>
      <c r="C801" s="70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88"/>
      <c r="P801" s="90"/>
      <c r="Q801" s="88"/>
      <c r="R801" s="88"/>
      <c r="S801" s="88"/>
      <c r="T801" s="59"/>
      <c r="U801" s="59"/>
      <c r="V801" s="59"/>
      <c r="W801" s="59"/>
      <c r="X801" s="59"/>
    </row>
    <row r="802">
      <c r="A802" s="59"/>
      <c r="B802" s="59"/>
      <c r="C802" s="70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88"/>
      <c r="P802" s="90"/>
      <c r="Q802" s="88"/>
      <c r="R802" s="88"/>
      <c r="S802" s="88"/>
      <c r="T802" s="59"/>
      <c r="U802" s="59"/>
      <c r="V802" s="59"/>
      <c r="W802" s="59"/>
      <c r="X802" s="59"/>
    </row>
    <row r="803">
      <c r="A803" s="59"/>
      <c r="B803" s="59"/>
      <c r="C803" s="70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88"/>
      <c r="P803" s="90"/>
      <c r="Q803" s="88"/>
      <c r="R803" s="88"/>
      <c r="S803" s="88"/>
      <c r="T803" s="59"/>
      <c r="U803" s="59"/>
      <c r="V803" s="59"/>
      <c r="W803" s="59"/>
      <c r="X803" s="59"/>
    </row>
    <row r="804">
      <c r="A804" s="59"/>
      <c r="B804" s="59"/>
      <c r="C804" s="70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88"/>
      <c r="P804" s="90"/>
      <c r="Q804" s="88"/>
      <c r="R804" s="88"/>
      <c r="S804" s="88"/>
      <c r="T804" s="59"/>
      <c r="U804" s="59"/>
      <c r="V804" s="59"/>
      <c r="W804" s="59"/>
      <c r="X804" s="59"/>
    </row>
    <row r="805">
      <c r="A805" s="59"/>
      <c r="B805" s="59"/>
      <c r="C805" s="70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88"/>
      <c r="P805" s="90"/>
      <c r="Q805" s="88"/>
      <c r="R805" s="88"/>
      <c r="S805" s="88"/>
      <c r="T805" s="59"/>
      <c r="U805" s="59"/>
      <c r="V805" s="59"/>
      <c r="W805" s="59"/>
      <c r="X805" s="59"/>
    </row>
    <row r="806">
      <c r="A806" s="59"/>
      <c r="B806" s="59"/>
      <c r="C806" s="70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88"/>
      <c r="P806" s="90"/>
      <c r="Q806" s="88"/>
      <c r="R806" s="88"/>
      <c r="S806" s="88"/>
      <c r="T806" s="59"/>
      <c r="U806" s="59"/>
      <c r="V806" s="59"/>
      <c r="W806" s="59"/>
      <c r="X806" s="59"/>
    </row>
    <row r="807">
      <c r="A807" s="59"/>
      <c r="B807" s="59"/>
      <c r="C807" s="70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88"/>
      <c r="P807" s="90"/>
      <c r="Q807" s="88"/>
      <c r="R807" s="88"/>
      <c r="S807" s="88"/>
      <c r="T807" s="59"/>
      <c r="U807" s="59"/>
      <c r="V807" s="59"/>
      <c r="W807" s="59"/>
      <c r="X807" s="59"/>
    </row>
    <row r="808">
      <c r="A808" s="59"/>
      <c r="B808" s="59"/>
      <c r="C808" s="70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88"/>
      <c r="P808" s="90"/>
      <c r="Q808" s="88"/>
      <c r="R808" s="88"/>
      <c r="S808" s="88"/>
      <c r="T808" s="59"/>
      <c r="U808" s="59"/>
      <c r="V808" s="59"/>
      <c r="W808" s="59"/>
      <c r="X808" s="59"/>
    </row>
    <row r="809">
      <c r="A809" s="59"/>
      <c r="B809" s="59"/>
      <c r="C809" s="70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88"/>
      <c r="P809" s="90"/>
      <c r="Q809" s="88"/>
      <c r="R809" s="88"/>
      <c r="S809" s="88"/>
      <c r="T809" s="59"/>
      <c r="U809" s="59"/>
      <c r="V809" s="59"/>
      <c r="W809" s="59"/>
      <c r="X809" s="59"/>
    </row>
    <row r="810">
      <c r="A810" s="59"/>
      <c r="B810" s="59"/>
      <c r="C810" s="70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88"/>
      <c r="P810" s="90"/>
      <c r="Q810" s="88"/>
      <c r="R810" s="88"/>
      <c r="S810" s="88"/>
      <c r="T810" s="59"/>
      <c r="U810" s="59"/>
      <c r="V810" s="59"/>
      <c r="W810" s="59"/>
      <c r="X810" s="59"/>
    </row>
    <row r="811">
      <c r="A811" s="59"/>
      <c r="B811" s="59"/>
      <c r="C811" s="70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88"/>
      <c r="P811" s="90"/>
      <c r="Q811" s="88"/>
      <c r="R811" s="88"/>
      <c r="S811" s="88"/>
      <c r="T811" s="59"/>
      <c r="U811" s="59"/>
      <c r="V811" s="59"/>
      <c r="W811" s="59"/>
      <c r="X811" s="59"/>
    </row>
    <row r="812">
      <c r="A812" s="59"/>
      <c r="B812" s="59"/>
      <c r="C812" s="70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88"/>
      <c r="P812" s="90"/>
      <c r="Q812" s="88"/>
      <c r="R812" s="88"/>
      <c r="S812" s="88"/>
      <c r="T812" s="59"/>
      <c r="U812" s="59"/>
      <c r="V812" s="59"/>
      <c r="W812" s="59"/>
      <c r="X812" s="59"/>
    </row>
    <row r="813">
      <c r="A813" s="59"/>
      <c r="B813" s="59"/>
      <c r="C813" s="70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88"/>
      <c r="P813" s="90"/>
      <c r="Q813" s="88"/>
      <c r="R813" s="88"/>
      <c r="S813" s="88"/>
      <c r="T813" s="59"/>
      <c r="U813" s="59"/>
      <c r="V813" s="59"/>
      <c r="W813" s="59"/>
      <c r="X813" s="59"/>
    </row>
    <row r="814">
      <c r="A814" s="59"/>
      <c r="B814" s="59"/>
      <c r="C814" s="70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88"/>
      <c r="P814" s="90"/>
      <c r="Q814" s="88"/>
      <c r="R814" s="88"/>
      <c r="S814" s="88"/>
      <c r="T814" s="59"/>
      <c r="U814" s="59"/>
      <c r="V814" s="59"/>
      <c r="W814" s="59"/>
      <c r="X814" s="59"/>
    </row>
    <row r="815">
      <c r="A815" s="59"/>
      <c r="B815" s="59"/>
      <c r="C815" s="70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88"/>
      <c r="P815" s="90"/>
      <c r="Q815" s="88"/>
      <c r="R815" s="88"/>
      <c r="S815" s="88"/>
      <c r="T815" s="59"/>
      <c r="U815" s="59"/>
      <c r="V815" s="59"/>
      <c r="W815" s="59"/>
      <c r="X815" s="59"/>
    </row>
    <row r="816">
      <c r="A816" s="59"/>
      <c r="B816" s="59"/>
      <c r="C816" s="70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88"/>
      <c r="P816" s="90"/>
      <c r="Q816" s="88"/>
      <c r="R816" s="88"/>
      <c r="S816" s="88"/>
      <c r="T816" s="59"/>
      <c r="U816" s="59"/>
      <c r="V816" s="59"/>
      <c r="W816" s="59"/>
      <c r="X816" s="59"/>
    </row>
    <row r="817">
      <c r="A817" s="59"/>
      <c r="B817" s="59"/>
      <c r="C817" s="70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88"/>
      <c r="P817" s="90"/>
      <c r="Q817" s="88"/>
      <c r="R817" s="88"/>
      <c r="S817" s="88"/>
      <c r="T817" s="59"/>
      <c r="U817" s="59"/>
      <c r="V817" s="59"/>
      <c r="W817" s="59"/>
      <c r="X817" s="59"/>
    </row>
    <row r="818">
      <c r="A818" s="59"/>
      <c r="B818" s="59"/>
      <c r="C818" s="70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88"/>
      <c r="P818" s="90"/>
      <c r="Q818" s="88"/>
      <c r="R818" s="88"/>
      <c r="S818" s="88"/>
      <c r="T818" s="59"/>
      <c r="U818" s="59"/>
      <c r="V818" s="59"/>
      <c r="W818" s="59"/>
      <c r="X818" s="59"/>
    </row>
    <row r="819">
      <c r="A819" s="59"/>
      <c r="B819" s="59"/>
      <c r="C819" s="70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88"/>
      <c r="P819" s="90"/>
      <c r="Q819" s="88"/>
      <c r="R819" s="88"/>
      <c r="S819" s="88"/>
      <c r="T819" s="59"/>
      <c r="U819" s="59"/>
      <c r="V819" s="59"/>
      <c r="W819" s="59"/>
      <c r="X819" s="59"/>
    </row>
    <row r="820">
      <c r="A820" s="59"/>
      <c r="B820" s="59"/>
      <c r="C820" s="70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88"/>
      <c r="P820" s="90"/>
      <c r="Q820" s="88"/>
      <c r="R820" s="88"/>
      <c r="S820" s="88"/>
      <c r="T820" s="59"/>
      <c r="U820" s="59"/>
      <c r="V820" s="59"/>
      <c r="W820" s="59"/>
      <c r="X820" s="59"/>
    </row>
    <row r="821">
      <c r="A821" s="59"/>
      <c r="B821" s="59"/>
      <c r="C821" s="70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88"/>
      <c r="P821" s="90"/>
      <c r="Q821" s="88"/>
      <c r="R821" s="88"/>
      <c r="S821" s="88"/>
      <c r="T821" s="59"/>
      <c r="U821" s="59"/>
      <c r="V821" s="59"/>
      <c r="W821" s="59"/>
      <c r="X821" s="59"/>
    </row>
    <row r="822">
      <c r="A822" s="59"/>
      <c r="B822" s="59"/>
      <c r="C822" s="70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88"/>
      <c r="P822" s="90"/>
      <c r="Q822" s="88"/>
      <c r="R822" s="88"/>
      <c r="S822" s="88"/>
      <c r="T822" s="59"/>
      <c r="U822" s="59"/>
      <c r="V822" s="59"/>
      <c r="W822" s="59"/>
      <c r="X822" s="59"/>
    </row>
    <row r="823">
      <c r="A823" s="59"/>
      <c r="B823" s="59"/>
      <c r="C823" s="70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88"/>
      <c r="P823" s="90"/>
      <c r="Q823" s="88"/>
      <c r="R823" s="88"/>
      <c r="S823" s="88"/>
      <c r="T823" s="59"/>
      <c r="U823" s="59"/>
      <c r="V823" s="59"/>
      <c r="W823" s="59"/>
      <c r="X823" s="59"/>
    </row>
    <row r="824">
      <c r="A824" s="59"/>
      <c r="B824" s="59"/>
      <c r="C824" s="70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88"/>
      <c r="P824" s="90"/>
      <c r="Q824" s="88"/>
      <c r="R824" s="88"/>
      <c r="S824" s="88"/>
      <c r="T824" s="59"/>
      <c r="U824" s="59"/>
      <c r="V824" s="59"/>
      <c r="W824" s="59"/>
      <c r="X824" s="59"/>
    </row>
    <row r="825">
      <c r="A825" s="59"/>
      <c r="B825" s="59"/>
      <c r="C825" s="70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88"/>
      <c r="P825" s="90"/>
      <c r="Q825" s="88"/>
      <c r="R825" s="88"/>
      <c r="S825" s="88"/>
      <c r="T825" s="59"/>
      <c r="U825" s="59"/>
      <c r="V825" s="59"/>
      <c r="W825" s="59"/>
      <c r="X825" s="59"/>
    </row>
    <row r="826">
      <c r="A826" s="59"/>
      <c r="B826" s="59"/>
      <c r="C826" s="70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88"/>
      <c r="P826" s="90"/>
      <c r="Q826" s="88"/>
      <c r="R826" s="88"/>
      <c r="S826" s="88"/>
      <c r="T826" s="59"/>
      <c r="U826" s="59"/>
      <c r="V826" s="59"/>
      <c r="W826" s="59"/>
      <c r="X826" s="59"/>
    </row>
    <row r="827">
      <c r="A827" s="59"/>
      <c r="B827" s="59"/>
      <c r="C827" s="70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88"/>
      <c r="P827" s="90"/>
      <c r="Q827" s="88"/>
      <c r="R827" s="88"/>
      <c r="S827" s="88"/>
      <c r="T827" s="59"/>
      <c r="U827" s="59"/>
      <c r="V827" s="59"/>
      <c r="W827" s="59"/>
      <c r="X827" s="59"/>
    </row>
    <row r="828">
      <c r="A828" s="59"/>
      <c r="B828" s="59"/>
      <c r="C828" s="70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88"/>
      <c r="P828" s="90"/>
      <c r="Q828" s="88"/>
      <c r="R828" s="88"/>
      <c r="S828" s="88"/>
      <c r="T828" s="59"/>
      <c r="U828" s="59"/>
      <c r="V828" s="59"/>
      <c r="W828" s="59"/>
      <c r="X828" s="59"/>
    </row>
    <row r="829">
      <c r="A829" s="59"/>
      <c r="B829" s="59"/>
      <c r="C829" s="70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88"/>
      <c r="P829" s="90"/>
      <c r="Q829" s="88"/>
      <c r="R829" s="88"/>
      <c r="S829" s="88"/>
      <c r="T829" s="59"/>
      <c r="U829" s="59"/>
      <c r="V829" s="59"/>
      <c r="W829" s="59"/>
      <c r="X829" s="59"/>
    </row>
    <row r="830">
      <c r="A830" s="59"/>
      <c r="B830" s="59"/>
      <c r="C830" s="70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88"/>
      <c r="P830" s="90"/>
      <c r="Q830" s="88"/>
      <c r="R830" s="88"/>
      <c r="S830" s="88"/>
      <c r="T830" s="59"/>
      <c r="U830" s="59"/>
      <c r="V830" s="59"/>
      <c r="W830" s="59"/>
      <c r="X830" s="59"/>
    </row>
    <row r="831">
      <c r="A831" s="59"/>
      <c r="B831" s="59"/>
      <c r="C831" s="70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88"/>
      <c r="P831" s="90"/>
      <c r="Q831" s="88"/>
      <c r="R831" s="88"/>
      <c r="S831" s="88"/>
      <c r="T831" s="59"/>
      <c r="U831" s="59"/>
      <c r="V831" s="59"/>
      <c r="W831" s="59"/>
      <c r="X831" s="59"/>
    </row>
    <row r="832">
      <c r="A832" s="59"/>
      <c r="B832" s="59"/>
      <c r="C832" s="70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88"/>
      <c r="P832" s="90"/>
      <c r="Q832" s="88"/>
      <c r="R832" s="88"/>
      <c r="S832" s="88"/>
      <c r="T832" s="59"/>
      <c r="U832" s="59"/>
      <c r="V832" s="59"/>
      <c r="W832" s="59"/>
      <c r="X832" s="59"/>
    </row>
    <row r="833">
      <c r="A833" s="59"/>
      <c r="B833" s="59"/>
      <c r="C833" s="70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88"/>
      <c r="P833" s="90"/>
      <c r="Q833" s="88"/>
      <c r="R833" s="88"/>
      <c r="S833" s="88"/>
      <c r="T833" s="59"/>
      <c r="U833" s="59"/>
      <c r="V833" s="59"/>
      <c r="W833" s="59"/>
      <c r="X833" s="59"/>
    </row>
    <row r="834">
      <c r="A834" s="59"/>
      <c r="B834" s="59"/>
      <c r="C834" s="70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88"/>
      <c r="P834" s="90"/>
      <c r="Q834" s="88"/>
      <c r="R834" s="88"/>
      <c r="S834" s="88"/>
      <c r="T834" s="59"/>
      <c r="U834" s="59"/>
      <c r="V834" s="59"/>
      <c r="W834" s="59"/>
      <c r="X834" s="59"/>
    </row>
    <row r="835">
      <c r="A835" s="59"/>
      <c r="B835" s="59"/>
      <c r="C835" s="70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88"/>
      <c r="P835" s="90"/>
      <c r="Q835" s="88"/>
      <c r="R835" s="88"/>
      <c r="S835" s="88"/>
      <c r="T835" s="59"/>
      <c r="U835" s="59"/>
      <c r="V835" s="59"/>
      <c r="W835" s="59"/>
      <c r="X835" s="59"/>
    </row>
    <row r="836">
      <c r="A836" s="59"/>
      <c r="B836" s="59"/>
      <c r="C836" s="70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88"/>
      <c r="P836" s="90"/>
      <c r="Q836" s="88"/>
      <c r="R836" s="88"/>
      <c r="S836" s="88"/>
      <c r="T836" s="59"/>
      <c r="U836" s="59"/>
      <c r="V836" s="59"/>
      <c r="W836" s="59"/>
      <c r="X836" s="59"/>
    </row>
    <row r="837">
      <c r="A837" s="59"/>
      <c r="B837" s="59"/>
      <c r="C837" s="70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88"/>
      <c r="P837" s="90"/>
      <c r="Q837" s="88"/>
      <c r="R837" s="88"/>
      <c r="S837" s="88"/>
      <c r="T837" s="59"/>
      <c r="U837" s="59"/>
      <c r="V837" s="59"/>
      <c r="W837" s="59"/>
      <c r="X837" s="59"/>
    </row>
    <row r="838">
      <c r="A838" s="59"/>
      <c r="B838" s="59"/>
      <c r="C838" s="70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88"/>
      <c r="P838" s="90"/>
      <c r="Q838" s="88"/>
      <c r="R838" s="88"/>
      <c r="S838" s="88"/>
      <c r="T838" s="59"/>
      <c r="U838" s="59"/>
      <c r="V838" s="59"/>
      <c r="W838" s="59"/>
      <c r="X838" s="59"/>
    </row>
    <row r="839">
      <c r="A839" s="59"/>
      <c r="B839" s="59"/>
      <c r="C839" s="70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88"/>
      <c r="P839" s="90"/>
      <c r="Q839" s="88"/>
      <c r="R839" s="88"/>
      <c r="S839" s="88"/>
      <c r="T839" s="59"/>
      <c r="U839" s="59"/>
      <c r="V839" s="59"/>
      <c r="W839" s="59"/>
      <c r="X839" s="59"/>
    </row>
    <row r="840">
      <c r="A840" s="59"/>
      <c r="B840" s="59"/>
      <c r="C840" s="70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88"/>
      <c r="P840" s="90"/>
      <c r="Q840" s="88"/>
      <c r="R840" s="88"/>
      <c r="S840" s="88"/>
      <c r="T840" s="59"/>
      <c r="U840" s="59"/>
      <c r="V840" s="59"/>
      <c r="W840" s="59"/>
      <c r="X840" s="59"/>
    </row>
    <row r="841">
      <c r="A841" s="59"/>
      <c r="B841" s="59"/>
      <c r="C841" s="70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88"/>
      <c r="P841" s="90"/>
      <c r="Q841" s="88"/>
      <c r="R841" s="88"/>
      <c r="S841" s="88"/>
      <c r="T841" s="59"/>
      <c r="U841" s="59"/>
      <c r="V841" s="59"/>
      <c r="W841" s="59"/>
      <c r="X841" s="59"/>
    </row>
    <row r="842">
      <c r="A842" s="59"/>
      <c r="B842" s="59"/>
      <c r="C842" s="70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88"/>
      <c r="P842" s="90"/>
      <c r="Q842" s="88"/>
      <c r="R842" s="88"/>
      <c r="S842" s="88"/>
      <c r="T842" s="59"/>
      <c r="U842" s="59"/>
      <c r="V842" s="59"/>
      <c r="W842" s="59"/>
      <c r="X842" s="59"/>
    </row>
    <row r="843">
      <c r="A843" s="59"/>
      <c r="B843" s="59"/>
      <c r="C843" s="70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88"/>
      <c r="P843" s="90"/>
      <c r="Q843" s="88"/>
      <c r="R843" s="88"/>
      <c r="S843" s="88"/>
      <c r="T843" s="59"/>
      <c r="U843" s="59"/>
      <c r="V843" s="59"/>
      <c r="W843" s="59"/>
      <c r="X843" s="59"/>
    </row>
    <row r="844">
      <c r="A844" s="59"/>
      <c r="B844" s="59"/>
      <c r="C844" s="70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88"/>
      <c r="P844" s="90"/>
      <c r="Q844" s="88"/>
      <c r="R844" s="88"/>
      <c r="S844" s="88"/>
      <c r="T844" s="59"/>
      <c r="U844" s="59"/>
      <c r="V844" s="59"/>
      <c r="W844" s="59"/>
      <c r="X844" s="59"/>
    </row>
    <row r="845">
      <c r="A845" s="59"/>
      <c r="B845" s="59"/>
      <c r="C845" s="70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88"/>
      <c r="P845" s="90"/>
      <c r="Q845" s="88"/>
      <c r="R845" s="88"/>
      <c r="S845" s="88"/>
      <c r="T845" s="59"/>
      <c r="U845" s="59"/>
      <c r="V845" s="59"/>
      <c r="W845" s="59"/>
      <c r="X845" s="59"/>
    </row>
    <row r="846">
      <c r="A846" s="59"/>
      <c r="B846" s="59"/>
      <c r="C846" s="70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88"/>
      <c r="P846" s="90"/>
      <c r="Q846" s="88"/>
      <c r="R846" s="88"/>
      <c r="S846" s="88"/>
      <c r="T846" s="59"/>
      <c r="U846" s="59"/>
      <c r="V846" s="59"/>
      <c r="W846" s="59"/>
      <c r="X846" s="59"/>
    </row>
    <row r="847">
      <c r="A847" s="59"/>
      <c r="B847" s="59"/>
      <c r="C847" s="70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88"/>
      <c r="P847" s="90"/>
      <c r="Q847" s="88"/>
      <c r="R847" s="88"/>
      <c r="S847" s="88"/>
      <c r="T847" s="59"/>
      <c r="U847" s="59"/>
      <c r="V847" s="59"/>
      <c r="W847" s="59"/>
      <c r="X847" s="59"/>
    </row>
    <row r="848">
      <c r="A848" s="59"/>
      <c r="B848" s="59"/>
      <c r="C848" s="70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88"/>
      <c r="P848" s="90"/>
      <c r="Q848" s="88"/>
      <c r="R848" s="88"/>
      <c r="S848" s="88"/>
      <c r="T848" s="59"/>
      <c r="U848" s="59"/>
      <c r="V848" s="59"/>
      <c r="W848" s="59"/>
      <c r="X848" s="59"/>
    </row>
    <row r="849">
      <c r="A849" s="59"/>
      <c r="B849" s="59"/>
      <c r="C849" s="70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88"/>
      <c r="P849" s="90"/>
      <c r="Q849" s="88"/>
      <c r="R849" s="88"/>
      <c r="S849" s="88"/>
      <c r="T849" s="59"/>
      <c r="U849" s="59"/>
      <c r="V849" s="59"/>
      <c r="W849" s="59"/>
      <c r="X849" s="59"/>
    </row>
    <row r="850">
      <c r="A850" s="59"/>
      <c r="B850" s="59"/>
      <c r="C850" s="70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88"/>
      <c r="P850" s="90"/>
      <c r="Q850" s="88"/>
      <c r="R850" s="88"/>
      <c r="S850" s="88"/>
      <c r="T850" s="59"/>
      <c r="U850" s="59"/>
      <c r="V850" s="59"/>
      <c r="W850" s="59"/>
      <c r="X850" s="59"/>
    </row>
    <row r="851">
      <c r="A851" s="59"/>
      <c r="B851" s="59"/>
      <c r="C851" s="70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88"/>
      <c r="P851" s="90"/>
      <c r="Q851" s="88"/>
      <c r="R851" s="88"/>
      <c r="S851" s="88"/>
      <c r="T851" s="59"/>
      <c r="U851" s="59"/>
      <c r="V851" s="59"/>
      <c r="W851" s="59"/>
      <c r="X851" s="59"/>
    </row>
    <row r="852">
      <c r="A852" s="59"/>
      <c r="B852" s="59"/>
      <c r="C852" s="70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88"/>
      <c r="P852" s="90"/>
      <c r="Q852" s="88"/>
      <c r="R852" s="88"/>
      <c r="S852" s="88"/>
      <c r="T852" s="59"/>
      <c r="U852" s="59"/>
      <c r="V852" s="59"/>
      <c r="W852" s="59"/>
      <c r="X852" s="59"/>
    </row>
    <row r="853">
      <c r="A853" s="59"/>
      <c r="B853" s="59"/>
      <c r="C853" s="70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88"/>
      <c r="P853" s="90"/>
      <c r="Q853" s="88"/>
      <c r="R853" s="88"/>
      <c r="S853" s="88"/>
      <c r="T853" s="59"/>
      <c r="U853" s="59"/>
      <c r="V853" s="59"/>
      <c r="W853" s="59"/>
      <c r="X853" s="59"/>
    </row>
    <row r="854">
      <c r="A854" s="59"/>
      <c r="B854" s="59"/>
      <c r="C854" s="70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88"/>
      <c r="P854" s="90"/>
      <c r="Q854" s="88"/>
      <c r="R854" s="88"/>
      <c r="S854" s="88"/>
      <c r="T854" s="59"/>
      <c r="U854" s="59"/>
      <c r="V854" s="59"/>
      <c r="W854" s="59"/>
      <c r="X854" s="59"/>
    </row>
    <row r="855">
      <c r="A855" s="59"/>
      <c r="B855" s="59"/>
      <c r="C855" s="70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88"/>
      <c r="P855" s="90"/>
      <c r="Q855" s="88"/>
      <c r="R855" s="88"/>
      <c r="S855" s="88"/>
      <c r="T855" s="59"/>
      <c r="U855" s="59"/>
      <c r="V855" s="59"/>
      <c r="W855" s="59"/>
      <c r="X855" s="59"/>
    </row>
    <row r="856">
      <c r="A856" s="59"/>
      <c r="B856" s="59"/>
      <c r="C856" s="70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88"/>
      <c r="P856" s="90"/>
      <c r="Q856" s="88"/>
      <c r="R856" s="88"/>
      <c r="S856" s="88"/>
      <c r="T856" s="59"/>
      <c r="U856" s="59"/>
      <c r="V856" s="59"/>
      <c r="W856" s="59"/>
      <c r="X856" s="59"/>
    </row>
    <row r="857">
      <c r="A857" s="59"/>
      <c r="B857" s="59"/>
      <c r="C857" s="70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88"/>
      <c r="P857" s="90"/>
      <c r="Q857" s="88"/>
      <c r="R857" s="88"/>
      <c r="S857" s="88"/>
      <c r="T857" s="59"/>
      <c r="U857" s="59"/>
      <c r="V857" s="59"/>
      <c r="W857" s="59"/>
      <c r="X857" s="59"/>
    </row>
    <row r="858">
      <c r="A858" s="59"/>
      <c r="B858" s="59"/>
      <c r="C858" s="70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88"/>
      <c r="P858" s="90"/>
      <c r="Q858" s="88"/>
      <c r="R858" s="88"/>
      <c r="S858" s="88"/>
      <c r="T858" s="59"/>
      <c r="U858" s="59"/>
      <c r="V858" s="59"/>
      <c r="W858" s="59"/>
      <c r="X858" s="59"/>
    </row>
    <row r="859">
      <c r="A859" s="59"/>
      <c r="B859" s="59"/>
      <c r="C859" s="70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88"/>
      <c r="P859" s="90"/>
      <c r="Q859" s="88"/>
      <c r="R859" s="88"/>
      <c r="S859" s="88"/>
      <c r="T859" s="59"/>
      <c r="U859" s="59"/>
      <c r="V859" s="59"/>
      <c r="W859" s="59"/>
      <c r="X859" s="59"/>
    </row>
    <row r="860">
      <c r="A860" s="59"/>
      <c r="B860" s="59"/>
      <c r="C860" s="70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88"/>
      <c r="P860" s="90"/>
      <c r="Q860" s="88"/>
      <c r="R860" s="88"/>
      <c r="S860" s="88"/>
      <c r="T860" s="59"/>
      <c r="U860" s="59"/>
      <c r="V860" s="59"/>
      <c r="W860" s="59"/>
      <c r="X860" s="59"/>
    </row>
    <row r="861">
      <c r="A861" s="59"/>
      <c r="B861" s="59"/>
      <c r="C861" s="70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88"/>
      <c r="P861" s="90"/>
      <c r="Q861" s="88"/>
      <c r="R861" s="88"/>
      <c r="S861" s="88"/>
      <c r="T861" s="59"/>
      <c r="U861" s="59"/>
      <c r="V861" s="59"/>
      <c r="W861" s="59"/>
      <c r="X861" s="59"/>
    </row>
    <row r="862">
      <c r="A862" s="59"/>
      <c r="B862" s="59"/>
      <c r="C862" s="70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88"/>
      <c r="P862" s="90"/>
      <c r="Q862" s="88"/>
      <c r="R862" s="88"/>
      <c r="S862" s="88"/>
      <c r="T862" s="59"/>
      <c r="U862" s="59"/>
      <c r="V862" s="59"/>
      <c r="W862" s="59"/>
      <c r="X862" s="59"/>
    </row>
    <row r="863">
      <c r="A863" s="59"/>
      <c r="B863" s="59"/>
      <c r="C863" s="70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88"/>
      <c r="P863" s="90"/>
      <c r="Q863" s="88"/>
      <c r="R863" s="88"/>
      <c r="S863" s="88"/>
      <c r="T863" s="59"/>
      <c r="U863" s="59"/>
      <c r="V863" s="59"/>
      <c r="W863" s="59"/>
      <c r="X863" s="59"/>
    </row>
    <row r="864">
      <c r="A864" s="59"/>
      <c r="B864" s="59"/>
      <c r="C864" s="70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88"/>
      <c r="P864" s="90"/>
      <c r="Q864" s="88"/>
      <c r="R864" s="88"/>
      <c r="S864" s="88"/>
      <c r="T864" s="59"/>
      <c r="U864" s="59"/>
      <c r="V864" s="59"/>
      <c r="W864" s="59"/>
      <c r="X864" s="59"/>
    </row>
    <row r="865">
      <c r="A865" s="59"/>
      <c r="B865" s="59"/>
      <c r="C865" s="70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88"/>
      <c r="P865" s="90"/>
      <c r="Q865" s="88"/>
      <c r="R865" s="88"/>
      <c r="S865" s="88"/>
      <c r="T865" s="59"/>
      <c r="U865" s="59"/>
      <c r="V865" s="59"/>
      <c r="W865" s="59"/>
      <c r="X865" s="59"/>
    </row>
    <row r="866">
      <c r="A866" s="59"/>
      <c r="B866" s="59"/>
      <c r="C866" s="70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88"/>
      <c r="P866" s="90"/>
      <c r="Q866" s="88"/>
      <c r="R866" s="88"/>
      <c r="S866" s="88"/>
      <c r="T866" s="59"/>
      <c r="U866" s="59"/>
      <c r="V866" s="59"/>
      <c r="W866" s="59"/>
      <c r="X866" s="59"/>
    </row>
    <row r="867">
      <c r="A867" s="59"/>
      <c r="B867" s="59"/>
      <c r="C867" s="70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88"/>
      <c r="P867" s="90"/>
      <c r="Q867" s="88"/>
      <c r="R867" s="88"/>
      <c r="S867" s="88"/>
      <c r="T867" s="59"/>
      <c r="U867" s="59"/>
      <c r="V867" s="59"/>
      <c r="W867" s="59"/>
      <c r="X867" s="59"/>
    </row>
    <row r="868">
      <c r="A868" s="59"/>
      <c r="B868" s="59"/>
      <c r="C868" s="70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88"/>
      <c r="P868" s="90"/>
      <c r="Q868" s="88"/>
      <c r="R868" s="88"/>
      <c r="S868" s="88"/>
      <c r="T868" s="59"/>
      <c r="U868" s="59"/>
      <c r="V868" s="59"/>
      <c r="W868" s="59"/>
      <c r="X868" s="59"/>
    </row>
    <row r="869">
      <c r="A869" s="59"/>
      <c r="B869" s="59"/>
      <c r="C869" s="70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88"/>
      <c r="P869" s="90"/>
      <c r="Q869" s="88"/>
      <c r="R869" s="88"/>
      <c r="S869" s="88"/>
      <c r="T869" s="59"/>
      <c r="U869" s="59"/>
      <c r="V869" s="59"/>
      <c r="W869" s="59"/>
      <c r="X869" s="59"/>
    </row>
    <row r="870">
      <c r="A870" s="59"/>
      <c r="B870" s="59"/>
      <c r="C870" s="70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88"/>
      <c r="P870" s="90"/>
      <c r="Q870" s="88"/>
      <c r="R870" s="88"/>
      <c r="S870" s="88"/>
      <c r="T870" s="59"/>
      <c r="U870" s="59"/>
      <c r="V870" s="59"/>
      <c r="W870" s="59"/>
      <c r="X870" s="59"/>
    </row>
    <row r="871">
      <c r="A871" s="59"/>
      <c r="B871" s="59"/>
      <c r="C871" s="70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88"/>
      <c r="P871" s="90"/>
      <c r="Q871" s="88"/>
      <c r="R871" s="88"/>
      <c r="S871" s="88"/>
      <c r="T871" s="59"/>
      <c r="U871" s="59"/>
      <c r="V871" s="59"/>
      <c r="W871" s="59"/>
      <c r="X871" s="59"/>
    </row>
    <row r="872">
      <c r="A872" s="59"/>
      <c r="B872" s="59"/>
      <c r="C872" s="70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88"/>
      <c r="P872" s="90"/>
      <c r="Q872" s="88"/>
      <c r="R872" s="88"/>
      <c r="S872" s="88"/>
      <c r="T872" s="59"/>
      <c r="U872" s="59"/>
      <c r="V872" s="59"/>
      <c r="W872" s="59"/>
      <c r="X872" s="59"/>
    </row>
    <row r="873">
      <c r="A873" s="59"/>
      <c r="B873" s="59"/>
      <c r="C873" s="70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88"/>
      <c r="P873" s="90"/>
      <c r="Q873" s="88"/>
      <c r="R873" s="88"/>
      <c r="S873" s="88"/>
      <c r="T873" s="59"/>
      <c r="U873" s="59"/>
      <c r="V873" s="59"/>
      <c r="W873" s="59"/>
      <c r="X873" s="59"/>
    </row>
    <row r="874">
      <c r="A874" s="59"/>
      <c r="B874" s="59"/>
      <c r="C874" s="70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88"/>
      <c r="P874" s="90"/>
      <c r="Q874" s="88"/>
      <c r="R874" s="88"/>
      <c r="S874" s="88"/>
      <c r="T874" s="59"/>
      <c r="U874" s="59"/>
      <c r="V874" s="59"/>
      <c r="W874" s="59"/>
      <c r="X874" s="59"/>
    </row>
    <row r="875">
      <c r="A875" s="59"/>
      <c r="B875" s="59"/>
      <c r="C875" s="70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88"/>
      <c r="P875" s="90"/>
      <c r="Q875" s="88"/>
      <c r="R875" s="88"/>
      <c r="S875" s="88"/>
      <c r="T875" s="59"/>
      <c r="U875" s="59"/>
      <c r="V875" s="59"/>
      <c r="W875" s="59"/>
      <c r="X875" s="59"/>
    </row>
    <row r="876">
      <c r="A876" s="59"/>
      <c r="B876" s="59"/>
      <c r="C876" s="70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88"/>
      <c r="P876" s="90"/>
      <c r="Q876" s="88"/>
      <c r="R876" s="88"/>
      <c r="S876" s="88"/>
      <c r="T876" s="59"/>
      <c r="U876" s="59"/>
      <c r="V876" s="59"/>
      <c r="W876" s="59"/>
      <c r="X876" s="59"/>
    </row>
    <row r="877">
      <c r="A877" s="59"/>
      <c r="B877" s="59"/>
      <c r="C877" s="70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88"/>
      <c r="P877" s="90"/>
      <c r="Q877" s="88"/>
      <c r="R877" s="88"/>
      <c r="S877" s="88"/>
      <c r="T877" s="59"/>
      <c r="U877" s="59"/>
      <c r="V877" s="59"/>
      <c r="W877" s="59"/>
      <c r="X877" s="59"/>
    </row>
    <row r="878">
      <c r="A878" s="59"/>
      <c r="B878" s="59"/>
      <c r="C878" s="70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88"/>
      <c r="P878" s="90"/>
      <c r="Q878" s="88"/>
      <c r="R878" s="88"/>
      <c r="S878" s="88"/>
      <c r="T878" s="59"/>
      <c r="U878" s="59"/>
      <c r="V878" s="59"/>
      <c r="W878" s="59"/>
      <c r="X878" s="59"/>
    </row>
    <row r="879">
      <c r="A879" s="59"/>
      <c r="B879" s="59"/>
      <c r="C879" s="70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88"/>
      <c r="P879" s="90"/>
      <c r="Q879" s="88"/>
      <c r="R879" s="88"/>
      <c r="S879" s="88"/>
      <c r="T879" s="59"/>
      <c r="U879" s="59"/>
      <c r="V879" s="59"/>
      <c r="W879" s="59"/>
      <c r="X879" s="59"/>
    </row>
    <row r="880">
      <c r="A880" s="59"/>
      <c r="B880" s="59"/>
      <c r="C880" s="70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88"/>
      <c r="P880" s="90"/>
      <c r="Q880" s="88"/>
      <c r="R880" s="88"/>
      <c r="S880" s="88"/>
      <c r="T880" s="59"/>
      <c r="U880" s="59"/>
      <c r="V880" s="59"/>
      <c r="W880" s="59"/>
      <c r="X880" s="59"/>
    </row>
    <row r="881">
      <c r="A881" s="59"/>
      <c r="B881" s="59"/>
      <c r="C881" s="70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88"/>
      <c r="P881" s="90"/>
      <c r="Q881" s="88"/>
      <c r="R881" s="88"/>
      <c r="S881" s="88"/>
      <c r="T881" s="59"/>
      <c r="U881" s="59"/>
      <c r="V881" s="59"/>
      <c r="W881" s="59"/>
      <c r="X881" s="59"/>
    </row>
    <row r="882">
      <c r="A882" s="59"/>
      <c r="B882" s="59"/>
      <c r="C882" s="70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88"/>
      <c r="P882" s="90"/>
      <c r="Q882" s="88"/>
      <c r="R882" s="88"/>
      <c r="S882" s="88"/>
      <c r="T882" s="59"/>
      <c r="U882" s="59"/>
      <c r="V882" s="59"/>
      <c r="W882" s="59"/>
      <c r="X882" s="59"/>
    </row>
    <row r="883">
      <c r="A883" s="59"/>
      <c r="B883" s="59"/>
      <c r="C883" s="70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88"/>
      <c r="P883" s="90"/>
      <c r="Q883" s="88"/>
      <c r="R883" s="88"/>
      <c r="S883" s="88"/>
      <c r="T883" s="59"/>
      <c r="U883" s="59"/>
      <c r="V883" s="59"/>
      <c r="W883" s="59"/>
      <c r="X883" s="59"/>
    </row>
    <row r="884">
      <c r="A884" s="59"/>
      <c r="B884" s="59"/>
      <c r="C884" s="70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88"/>
      <c r="P884" s="90"/>
      <c r="Q884" s="88"/>
      <c r="R884" s="88"/>
      <c r="S884" s="88"/>
      <c r="T884" s="59"/>
      <c r="U884" s="59"/>
      <c r="V884" s="59"/>
      <c r="W884" s="59"/>
      <c r="X884" s="59"/>
    </row>
    <row r="885">
      <c r="A885" s="59"/>
      <c r="B885" s="59"/>
      <c r="C885" s="70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88"/>
      <c r="P885" s="90"/>
      <c r="Q885" s="88"/>
      <c r="R885" s="88"/>
      <c r="S885" s="88"/>
      <c r="T885" s="59"/>
      <c r="U885" s="59"/>
      <c r="V885" s="59"/>
      <c r="W885" s="59"/>
      <c r="X885" s="59"/>
    </row>
    <row r="886">
      <c r="A886" s="59"/>
      <c r="B886" s="59"/>
      <c r="C886" s="70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88"/>
      <c r="P886" s="90"/>
      <c r="Q886" s="88"/>
      <c r="R886" s="88"/>
      <c r="S886" s="88"/>
      <c r="T886" s="59"/>
      <c r="U886" s="59"/>
      <c r="V886" s="59"/>
      <c r="W886" s="59"/>
      <c r="X886" s="59"/>
    </row>
    <row r="887">
      <c r="A887" s="59"/>
      <c r="B887" s="59"/>
      <c r="C887" s="70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88"/>
      <c r="P887" s="90"/>
      <c r="Q887" s="88"/>
      <c r="R887" s="88"/>
      <c r="S887" s="88"/>
      <c r="T887" s="59"/>
      <c r="U887" s="59"/>
      <c r="V887" s="59"/>
      <c r="W887" s="59"/>
      <c r="X887" s="59"/>
    </row>
    <row r="888">
      <c r="A888" s="59"/>
      <c r="B888" s="59"/>
      <c r="C888" s="70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88"/>
      <c r="P888" s="90"/>
      <c r="Q888" s="88"/>
      <c r="R888" s="88"/>
      <c r="S888" s="88"/>
      <c r="T888" s="59"/>
      <c r="U888" s="59"/>
      <c r="V888" s="59"/>
      <c r="W888" s="59"/>
      <c r="X888" s="59"/>
    </row>
    <row r="889">
      <c r="A889" s="59"/>
      <c r="B889" s="59"/>
      <c r="C889" s="70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88"/>
      <c r="P889" s="90"/>
      <c r="Q889" s="88"/>
      <c r="R889" s="88"/>
      <c r="S889" s="88"/>
      <c r="T889" s="59"/>
      <c r="U889" s="59"/>
      <c r="V889" s="59"/>
      <c r="W889" s="59"/>
      <c r="X889" s="59"/>
    </row>
    <row r="890">
      <c r="A890" s="59"/>
      <c r="B890" s="59"/>
      <c r="C890" s="70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88"/>
      <c r="P890" s="90"/>
      <c r="Q890" s="88"/>
      <c r="R890" s="88"/>
      <c r="S890" s="88"/>
      <c r="T890" s="59"/>
      <c r="U890" s="59"/>
      <c r="V890" s="59"/>
      <c r="W890" s="59"/>
      <c r="X890" s="59"/>
    </row>
    <row r="891">
      <c r="A891" s="59"/>
      <c r="B891" s="59"/>
      <c r="C891" s="70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88"/>
      <c r="P891" s="90"/>
      <c r="Q891" s="88"/>
      <c r="R891" s="88"/>
      <c r="S891" s="88"/>
      <c r="T891" s="59"/>
      <c r="U891" s="59"/>
      <c r="V891" s="59"/>
      <c r="W891" s="59"/>
      <c r="X891" s="59"/>
    </row>
    <row r="892">
      <c r="A892" s="59"/>
      <c r="B892" s="59"/>
      <c r="C892" s="70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88"/>
      <c r="P892" s="90"/>
      <c r="Q892" s="88"/>
      <c r="R892" s="88"/>
      <c r="S892" s="88"/>
      <c r="T892" s="59"/>
      <c r="U892" s="59"/>
      <c r="V892" s="59"/>
      <c r="W892" s="59"/>
      <c r="X892" s="59"/>
    </row>
    <row r="893">
      <c r="A893" s="59"/>
      <c r="B893" s="59"/>
      <c r="C893" s="70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88"/>
      <c r="P893" s="90"/>
      <c r="Q893" s="88"/>
      <c r="R893" s="88"/>
      <c r="S893" s="88"/>
      <c r="T893" s="59"/>
      <c r="U893" s="59"/>
      <c r="V893" s="59"/>
      <c r="W893" s="59"/>
      <c r="X893" s="59"/>
    </row>
    <row r="894">
      <c r="A894" s="59"/>
      <c r="B894" s="59"/>
      <c r="C894" s="70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88"/>
      <c r="P894" s="90"/>
      <c r="Q894" s="88"/>
      <c r="R894" s="88"/>
      <c r="S894" s="88"/>
      <c r="T894" s="59"/>
      <c r="U894" s="59"/>
      <c r="V894" s="59"/>
      <c r="W894" s="59"/>
      <c r="X894" s="59"/>
    </row>
    <row r="895">
      <c r="A895" s="59"/>
      <c r="B895" s="59"/>
      <c r="C895" s="70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88"/>
      <c r="P895" s="90"/>
      <c r="Q895" s="88"/>
      <c r="R895" s="88"/>
      <c r="S895" s="88"/>
      <c r="T895" s="59"/>
      <c r="U895" s="59"/>
      <c r="V895" s="59"/>
      <c r="W895" s="59"/>
      <c r="X895" s="59"/>
    </row>
    <row r="896">
      <c r="A896" s="59"/>
      <c r="B896" s="59"/>
      <c r="C896" s="70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88"/>
      <c r="P896" s="90"/>
      <c r="Q896" s="88"/>
      <c r="R896" s="88"/>
      <c r="S896" s="88"/>
      <c r="T896" s="59"/>
      <c r="U896" s="59"/>
      <c r="V896" s="59"/>
      <c r="W896" s="59"/>
      <c r="X896" s="59"/>
    </row>
    <row r="897">
      <c r="A897" s="59"/>
      <c r="B897" s="59"/>
      <c r="C897" s="70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88"/>
      <c r="P897" s="90"/>
      <c r="Q897" s="88"/>
      <c r="R897" s="88"/>
      <c r="S897" s="88"/>
      <c r="T897" s="59"/>
      <c r="U897" s="59"/>
      <c r="V897" s="59"/>
      <c r="W897" s="59"/>
      <c r="X897" s="59"/>
    </row>
    <row r="898">
      <c r="A898" s="59"/>
      <c r="B898" s="59"/>
      <c r="C898" s="70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88"/>
      <c r="P898" s="90"/>
      <c r="Q898" s="88"/>
      <c r="R898" s="88"/>
      <c r="S898" s="88"/>
      <c r="T898" s="59"/>
      <c r="U898" s="59"/>
      <c r="V898" s="59"/>
      <c r="W898" s="59"/>
      <c r="X898" s="59"/>
    </row>
    <row r="899">
      <c r="A899" s="59"/>
      <c r="B899" s="59"/>
      <c r="C899" s="70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88"/>
      <c r="P899" s="90"/>
      <c r="Q899" s="88"/>
      <c r="R899" s="88"/>
      <c r="S899" s="88"/>
      <c r="T899" s="59"/>
      <c r="U899" s="59"/>
      <c r="V899" s="59"/>
      <c r="W899" s="59"/>
      <c r="X899" s="59"/>
    </row>
    <row r="900">
      <c r="A900" s="59"/>
      <c r="B900" s="59"/>
      <c r="C900" s="70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88"/>
      <c r="P900" s="90"/>
      <c r="Q900" s="88"/>
      <c r="R900" s="88"/>
      <c r="S900" s="88"/>
      <c r="T900" s="59"/>
      <c r="U900" s="59"/>
      <c r="V900" s="59"/>
      <c r="W900" s="59"/>
      <c r="X900" s="59"/>
    </row>
    <row r="901">
      <c r="A901" s="59"/>
      <c r="B901" s="59"/>
      <c r="C901" s="70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88"/>
      <c r="P901" s="90"/>
      <c r="Q901" s="88"/>
      <c r="R901" s="88"/>
      <c r="S901" s="88"/>
      <c r="T901" s="59"/>
      <c r="U901" s="59"/>
      <c r="V901" s="59"/>
      <c r="W901" s="59"/>
      <c r="X901" s="59"/>
    </row>
    <row r="902">
      <c r="A902" s="59"/>
      <c r="B902" s="59"/>
      <c r="C902" s="70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88"/>
      <c r="P902" s="90"/>
      <c r="Q902" s="88"/>
      <c r="R902" s="88"/>
      <c r="S902" s="88"/>
      <c r="T902" s="59"/>
      <c r="U902" s="59"/>
      <c r="V902" s="59"/>
      <c r="W902" s="59"/>
      <c r="X902" s="59"/>
    </row>
    <row r="903">
      <c r="A903" s="59"/>
      <c r="B903" s="59"/>
      <c r="C903" s="70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88"/>
      <c r="P903" s="90"/>
      <c r="Q903" s="88"/>
      <c r="R903" s="88"/>
      <c r="S903" s="88"/>
      <c r="T903" s="59"/>
      <c r="U903" s="59"/>
      <c r="V903" s="59"/>
      <c r="W903" s="59"/>
      <c r="X903" s="59"/>
    </row>
    <row r="904">
      <c r="A904" s="59"/>
      <c r="B904" s="59"/>
      <c r="C904" s="70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88"/>
      <c r="P904" s="90"/>
      <c r="Q904" s="88"/>
      <c r="R904" s="88"/>
      <c r="S904" s="88"/>
      <c r="T904" s="59"/>
      <c r="U904" s="59"/>
      <c r="V904" s="59"/>
      <c r="W904" s="59"/>
      <c r="X904" s="59"/>
    </row>
    <row r="905">
      <c r="A905" s="59"/>
      <c r="B905" s="59"/>
      <c r="C905" s="70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88"/>
      <c r="P905" s="90"/>
      <c r="Q905" s="88"/>
      <c r="R905" s="88"/>
      <c r="S905" s="88"/>
      <c r="T905" s="59"/>
      <c r="U905" s="59"/>
      <c r="V905" s="59"/>
      <c r="W905" s="59"/>
      <c r="X905" s="59"/>
    </row>
    <row r="906">
      <c r="A906" s="59"/>
      <c r="B906" s="59"/>
      <c r="C906" s="70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88"/>
      <c r="P906" s="90"/>
      <c r="Q906" s="88"/>
      <c r="R906" s="88"/>
      <c r="S906" s="88"/>
      <c r="T906" s="59"/>
      <c r="U906" s="59"/>
      <c r="V906" s="59"/>
      <c r="W906" s="59"/>
      <c r="X906" s="59"/>
    </row>
    <row r="907">
      <c r="A907" s="59"/>
      <c r="B907" s="59"/>
      <c r="C907" s="70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88"/>
      <c r="P907" s="90"/>
      <c r="Q907" s="88"/>
      <c r="R907" s="88"/>
      <c r="S907" s="88"/>
      <c r="T907" s="59"/>
      <c r="U907" s="59"/>
      <c r="V907" s="59"/>
      <c r="W907" s="59"/>
      <c r="X907" s="59"/>
    </row>
    <row r="908">
      <c r="A908" s="59"/>
      <c r="B908" s="59"/>
      <c r="C908" s="70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88"/>
      <c r="P908" s="90"/>
      <c r="Q908" s="88"/>
      <c r="R908" s="88"/>
      <c r="S908" s="88"/>
      <c r="T908" s="59"/>
      <c r="U908" s="59"/>
      <c r="V908" s="59"/>
      <c r="W908" s="59"/>
      <c r="X908" s="59"/>
    </row>
    <row r="909">
      <c r="A909" s="59"/>
      <c r="B909" s="59"/>
      <c r="C909" s="70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88"/>
      <c r="P909" s="90"/>
      <c r="Q909" s="88"/>
      <c r="R909" s="88"/>
      <c r="S909" s="88"/>
      <c r="T909" s="59"/>
      <c r="U909" s="59"/>
      <c r="V909" s="59"/>
      <c r="W909" s="59"/>
      <c r="X909" s="59"/>
    </row>
    <row r="910">
      <c r="A910" s="59"/>
      <c r="B910" s="59"/>
      <c r="C910" s="70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88"/>
      <c r="P910" s="90"/>
      <c r="Q910" s="88"/>
      <c r="R910" s="88"/>
      <c r="S910" s="88"/>
      <c r="T910" s="59"/>
      <c r="U910" s="59"/>
      <c r="V910" s="59"/>
      <c r="W910" s="59"/>
      <c r="X910" s="59"/>
    </row>
    <row r="911">
      <c r="A911" s="59"/>
      <c r="B911" s="59"/>
      <c r="C911" s="70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88"/>
      <c r="P911" s="90"/>
      <c r="Q911" s="88"/>
      <c r="R911" s="88"/>
      <c r="S911" s="88"/>
      <c r="T911" s="59"/>
      <c r="U911" s="59"/>
      <c r="V911" s="59"/>
      <c r="W911" s="59"/>
      <c r="X911" s="59"/>
    </row>
    <row r="912">
      <c r="A912" s="59"/>
      <c r="B912" s="59"/>
      <c r="C912" s="70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88"/>
      <c r="P912" s="90"/>
      <c r="Q912" s="88"/>
      <c r="R912" s="88"/>
      <c r="S912" s="88"/>
      <c r="T912" s="59"/>
      <c r="U912" s="59"/>
      <c r="V912" s="59"/>
      <c r="W912" s="59"/>
      <c r="X912" s="59"/>
    </row>
    <row r="913">
      <c r="A913" s="59"/>
      <c r="B913" s="59"/>
      <c r="C913" s="70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88"/>
      <c r="P913" s="90"/>
      <c r="Q913" s="88"/>
      <c r="R913" s="88"/>
      <c r="S913" s="88"/>
      <c r="T913" s="59"/>
      <c r="U913" s="59"/>
      <c r="V913" s="59"/>
      <c r="W913" s="59"/>
      <c r="X913" s="59"/>
    </row>
    <row r="914">
      <c r="A914" s="59"/>
      <c r="B914" s="59"/>
      <c r="C914" s="70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88"/>
      <c r="P914" s="90"/>
      <c r="Q914" s="88"/>
      <c r="R914" s="88"/>
      <c r="S914" s="88"/>
      <c r="T914" s="59"/>
      <c r="U914" s="59"/>
      <c r="V914" s="59"/>
      <c r="W914" s="59"/>
      <c r="X914" s="59"/>
    </row>
    <row r="915">
      <c r="A915" s="59"/>
      <c r="B915" s="59"/>
      <c r="C915" s="70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88"/>
      <c r="P915" s="90"/>
      <c r="Q915" s="88"/>
      <c r="R915" s="88"/>
      <c r="S915" s="88"/>
      <c r="T915" s="59"/>
      <c r="U915" s="59"/>
      <c r="V915" s="59"/>
      <c r="W915" s="59"/>
      <c r="X915" s="59"/>
    </row>
    <row r="916">
      <c r="A916" s="59"/>
      <c r="B916" s="59"/>
      <c r="C916" s="70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88"/>
      <c r="P916" s="90"/>
      <c r="Q916" s="88"/>
      <c r="R916" s="88"/>
      <c r="S916" s="88"/>
      <c r="T916" s="59"/>
      <c r="U916" s="59"/>
      <c r="V916" s="59"/>
      <c r="W916" s="59"/>
      <c r="X916" s="59"/>
    </row>
    <row r="917">
      <c r="A917" s="59"/>
      <c r="B917" s="59"/>
      <c r="C917" s="70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88"/>
      <c r="P917" s="90"/>
      <c r="Q917" s="88"/>
      <c r="R917" s="88"/>
      <c r="S917" s="88"/>
      <c r="T917" s="59"/>
      <c r="U917" s="59"/>
      <c r="V917" s="59"/>
      <c r="W917" s="59"/>
      <c r="X917" s="59"/>
    </row>
    <row r="918">
      <c r="A918" s="59"/>
      <c r="B918" s="59"/>
      <c r="C918" s="70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88"/>
      <c r="P918" s="90"/>
      <c r="Q918" s="88"/>
      <c r="R918" s="88"/>
      <c r="S918" s="88"/>
      <c r="T918" s="59"/>
      <c r="U918" s="59"/>
      <c r="V918" s="59"/>
      <c r="W918" s="59"/>
      <c r="X918" s="59"/>
    </row>
    <row r="919">
      <c r="A919" s="59"/>
      <c r="B919" s="59"/>
      <c r="C919" s="70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88"/>
      <c r="P919" s="90"/>
      <c r="Q919" s="88"/>
      <c r="R919" s="88"/>
      <c r="S919" s="88"/>
      <c r="T919" s="59"/>
      <c r="U919" s="59"/>
      <c r="V919" s="59"/>
      <c r="W919" s="59"/>
      <c r="X919" s="59"/>
    </row>
    <row r="920">
      <c r="A920" s="59"/>
      <c r="B920" s="59"/>
      <c r="C920" s="70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88"/>
      <c r="P920" s="90"/>
      <c r="Q920" s="88"/>
      <c r="R920" s="88"/>
      <c r="S920" s="88"/>
      <c r="T920" s="59"/>
      <c r="U920" s="59"/>
      <c r="V920" s="59"/>
      <c r="W920" s="59"/>
      <c r="X920" s="59"/>
    </row>
    <row r="921">
      <c r="A921" s="59"/>
      <c r="B921" s="59"/>
      <c r="C921" s="70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88"/>
      <c r="P921" s="90"/>
      <c r="Q921" s="88"/>
      <c r="R921" s="88"/>
      <c r="S921" s="88"/>
      <c r="T921" s="59"/>
      <c r="U921" s="59"/>
      <c r="V921" s="59"/>
      <c r="W921" s="59"/>
      <c r="X921" s="59"/>
    </row>
    <row r="922">
      <c r="A922" s="59"/>
      <c r="B922" s="59"/>
      <c r="C922" s="70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88"/>
      <c r="P922" s="90"/>
      <c r="Q922" s="88"/>
      <c r="R922" s="88"/>
      <c r="S922" s="88"/>
      <c r="T922" s="59"/>
      <c r="U922" s="59"/>
      <c r="V922" s="59"/>
      <c r="W922" s="59"/>
      <c r="X922" s="59"/>
    </row>
    <row r="923">
      <c r="A923" s="59"/>
      <c r="B923" s="59"/>
      <c r="C923" s="70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88"/>
      <c r="P923" s="90"/>
      <c r="Q923" s="88"/>
      <c r="R923" s="88"/>
      <c r="S923" s="88"/>
      <c r="T923" s="59"/>
      <c r="U923" s="59"/>
      <c r="V923" s="59"/>
      <c r="W923" s="59"/>
      <c r="X923" s="59"/>
    </row>
    <row r="924">
      <c r="A924" s="59"/>
      <c r="B924" s="59"/>
      <c r="C924" s="70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88"/>
      <c r="P924" s="90"/>
      <c r="Q924" s="88"/>
      <c r="R924" s="88"/>
      <c r="S924" s="88"/>
      <c r="T924" s="59"/>
      <c r="U924" s="59"/>
      <c r="V924" s="59"/>
      <c r="W924" s="59"/>
      <c r="X924" s="59"/>
    </row>
    <row r="925">
      <c r="A925" s="59"/>
      <c r="B925" s="59"/>
      <c r="C925" s="70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88"/>
      <c r="P925" s="90"/>
      <c r="Q925" s="88"/>
      <c r="R925" s="88"/>
      <c r="S925" s="88"/>
      <c r="T925" s="59"/>
      <c r="U925" s="59"/>
      <c r="V925" s="59"/>
      <c r="W925" s="59"/>
      <c r="X925" s="59"/>
    </row>
    <row r="926">
      <c r="A926" s="59"/>
      <c r="B926" s="59"/>
      <c r="C926" s="70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88"/>
      <c r="P926" s="90"/>
      <c r="Q926" s="88"/>
      <c r="R926" s="88"/>
      <c r="S926" s="88"/>
      <c r="T926" s="59"/>
      <c r="U926" s="59"/>
      <c r="V926" s="59"/>
      <c r="W926" s="59"/>
      <c r="X926" s="59"/>
    </row>
    <row r="927">
      <c r="A927" s="59"/>
      <c r="B927" s="59"/>
      <c r="C927" s="70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88"/>
      <c r="P927" s="90"/>
      <c r="Q927" s="88"/>
      <c r="R927" s="88"/>
      <c r="S927" s="88"/>
      <c r="T927" s="59"/>
      <c r="U927" s="59"/>
      <c r="V927" s="59"/>
      <c r="W927" s="59"/>
      <c r="X927" s="59"/>
    </row>
    <row r="928">
      <c r="A928" s="59"/>
      <c r="B928" s="59"/>
      <c r="C928" s="70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88"/>
      <c r="P928" s="90"/>
      <c r="Q928" s="88"/>
      <c r="R928" s="88"/>
      <c r="S928" s="88"/>
      <c r="T928" s="59"/>
      <c r="U928" s="59"/>
      <c r="V928" s="59"/>
      <c r="W928" s="59"/>
      <c r="X928" s="59"/>
    </row>
    <row r="929">
      <c r="A929" s="59"/>
      <c r="B929" s="59"/>
      <c r="C929" s="70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88"/>
      <c r="P929" s="90"/>
      <c r="Q929" s="88"/>
      <c r="R929" s="88"/>
      <c r="S929" s="88"/>
      <c r="T929" s="59"/>
      <c r="U929" s="59"/>
      <c r="V929" s="59"/>
      <c r="W929" s="59"/>
      <c r="X929" s="59"/>
    </row>
    <row r="930">
      <c r="A930" s="59"/>
      <c r="B930" s="59"/>
      <c r="C930" s="70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88"/>
      <c r="P930" s="90"/>
      <c r="Q930" s="88"/>
      <c r="R930" s="88"/>
      <c r="S930" s="88"/>
      <c r="T930" s="59"/>
      <c r="U930" s="59"/>
      <c r="V930" s="59"/>
      <c r="W930" s="59"/>
      <c r="X930" s="59"/>
    </row>
    <row r="931">
      <c r="A931" s="125" t="s">
        <v>1548</v>
      </c>
      <c r="B931" s="125" t="s">
        <v>1549</v>
      </c>
      <c r="C931" s="126">
        <v>9.72411977E8</v>
      </c>
    </row>
    <row r="932">
      <c r="A932" s="125" t="s">
        <v>1550</v>
      </c>
      <c r="B932" s="125" t="s">
        <v>1551</v>
      </c>
      <c r="C932" s="126">
        <v>9.71778408E8</v>
      </c>
    </row>
    <row r="933">
      <c r="A933" s="125" t="s">
        <v>1552</v>
      </c>
      <c r="B933" s="125" t="s">
        <v>1553</v>
      </c>
      <c r="C933" s="126">
        <v>9.69708775E8</v>
      </c>
    </row>
    <row r="934">
      <c r="A934" s="125" t="s">
        <v>1554</v>
      </c>
      <c r="B934" s="125" t="s">
        <v>1555</v>
      </c>
      <c r="C934" s="126">
        <v>9.69705697E8</v>
      </c>
    </row>
    <row r="935">
      <c r="A935" s="125" t="s">
        <v>1556</v>
      </c>
      <c r="B935" s="125" t="s">
        <v>1557</v>
      </c>
      <c r="C935" s="126">
        <v>9.69697569E8</v>
      </c>
    </row>
    <row r="936">
      <c r="A936" s="125" t="s">
        <v>1558</v>
      </c>
      <c r="B936" s="125" t="s">
        <v>1559</v>
      </c>
      <c r="C936" s="126">
        <v>9.68561097E8</v>
      </c>
    </row>
    <row r="937">
      <c r="A937" s="125" t="s">
        <v>1560</v>
      </c>
      <c r="B937" s="125" t="s">
        <v>1561</v>
      </c>
      <c r="C937" s="126">
        <v>9.679138E8</v>
      </c>
    </row>
    <row r="938">
      <c r="A938" s="125" t="s">
        <v>1562</v>
      </c>
      <c r="B938" s="125" t="s">
        <v>1563</v>
      </c>
      <c r="C938" s="126">
        <v>9.66490906E8</v>
      </c>
    </row>
    <row r="939">
      <c r="A939" s="125" t="s">
        <v>1564</v>
      </c>
      <c r="B939" s="125" t="s">
        <v>1565</v>
      </c>
      <c r="C939" s="126">
        <v>9.64348779E8</v>
      </c>
    </row>
    <row r="940">
      <c r="A940" s="125" t="s">
        <v>1566</v>
      </c>
      <c r="B940" s="125" t="s">
        <v>1567</v>
      </c>
      <c r="C940" s="126">
        <v>9.64313662E8</v>
      </c>
    </row>
    <row r="941">
      <c r="A941" s="125" t="s">
        <v>1568</v>
      </c>
      <c r="B941" s="125" t="s">
        <v>1569</v>
      </c>
      <c r="C941" s="126">
        <v>9.64184683E8</v>
      </c>
    </row>
    <row r="942">
      <c r="A942" s="125" t="s">
        <v>1570</v>
      </c>
      <c r="B942" s="125" t="s">
        <v>1571</v>
      </c>
      <c r="C942" s="126">
        <v>9.62338666E8</v>
      </c>
    </row>
    <row r="943">
      <c r="A943" s="125" t="s">
        <v>1572</v>
      </c>
      <c r="B943" s="125" t="s">
        <v>1573</v>
      </c>
      <c r="C943" s="126">
        <v>9.61918824E8</v>
      </c>
    </row>
    <row r="944">
      <c r="A944" s="125" t="s">
        <v>1574</v>
      </c>
      <c r="B944" s="125" t="s">
        <v>1575</v>
      </c>
      <c r="C944" s="126">
        <v>9.57629138E8</v>
      </c>
    </row>
    <row r="945">
      <c r="A945" s="125" t="s">
        <v>1576</v>
      </c>
      <c r="B945" s="125" t="s">
        <v>1577</v>
      </c>
      <c r="C945" s="126">
        <v>9.57156221E8</v>
      </c>
    </row>
    <row r="946">
      <c r="A946" s="125" t="s">
        <v>1578</v>
      </c>
      <c r="B946" s="125" t="s">
        <v>1579</v>
      </c>
      <c r="C946" s="126">
        <v>9.54216259E8</v>
      </c>
    </row>
    <row r="947">
      <c r="A947" s="125" t="s">
        <v>1580</v>
      </c>
      <c r="B947" s="125" t="s">
        <v>1581</v>
      </c>
      <c r="C947" s="126">
        <v>9.51815659E8</v>
      </c>
    </row>
    <row r="948">
      <c r="A948" s="125" t="s">
        <v>1582</v>
      </c>
      <c r="B948" s="125" t="s">
        <v>1583</v>
      </c>
      <c r="C948" s="126">
        <v>9.50911107E8</v>
      </c>
    </row>
    <row r="949">
      <c r="A949" s="125" t="s">
        <v>1584</v>
      </c>
      <c r="B949" s="125" t="s">
        <v>1585</v>
      </c>
      <c r="C949" s="126">
        <v>9.49546E8</v>
      </c>
    </row>
    <row r="950">
      <c r="A950" s="125" t="s">
        <v>1586</v>
      </c>
      <c r="B950" s="125" t="s">
        <v>1587</v>
      </c>
      <c r="C950" s="126">
        <v>9.47722319E8</v>
      </c>
    </row>
    <row r="951">
      <c r="A951" s="125" t="s">
        <v>1588</v>
      </c>
      <c r="B951" s="125" t="s">
        <v>1589</v>
      </c>
      <c r="C951" s="126">
        <v>9.47699E8</v>
      </c>
    </row>
    <row r="952">
      <c r="A952" s="125" t="s">
        <v>1590</v>
      </c>
      <c r="B952" s="125" t="s">
        <v>1591</v>
      </c>
      <c r="C952" s="126">
        <v>9.47025029E8</v>
      </c>
    </row>
    <row r="953">
      <c r="A953" s="125" t="s">
        <v>1592</v>
      </c>
      <c r="B953" s="125" t="s">
        <v>1593</v>
      </c>
      <c r="C953" s="126">
        <v>9.46819283E8</v>
      </c>
    </row>
    <row r="954">
      <c r="A954" s="125" t="s">
        <v>1594</v>
      </c>
      <c r="B954" s="125" t="s">
        <v>1595</v>
      </c>
      <c r="C954" s="126">
        <v>9.45225622E8</v>
      </c>
    </row>
    <row r="955">
      <c r="A955" s="125" t="s">
        <v>1596</v>
      </c>
      <c r="B955" s="125" t="s">
        <v>1597</v>
      </c>
      <c r="C955" s="126">
        <v>9.44515853E8</v>
      </c>
    </row>
    <row r="956">
      <c r="A956" s="125" t="s">
        <v>1598</v>
      </c>
      <c r="B956" s="125" t="s">
        <v>1599</v>
      </c>
      <c r="C956" s="126">
        <v>9.3978635E8</v>
      </c>
    </row>
    <row r="957">
      <c r="A957" s="125" t="s">
        <v>1600</v>
      </c>
      <c r="B957" s="125" t="s">
        <v>1601</v>
      </c>
      <c r="C957" s="126">
        <v>9.3895358E8</v>
      </c>
    </row>
    <row r="958">
      <c r="A958" s="125" t="s">
        <v>1602</v>
      </c>
      <c r="B958" s="125" t="s">
        <v>1603</v>
      </c>
      <c r="C958" s="126">
        <v>9.38305157E8</v>
      </c>
    </row>
    <row r="959">
      <c r="A959" s="125" t="s">
        <v>1604</v>
      </c>
      <c r="B959" s="125" t="s">
        <v>1605</v>
      </c>
      <c r="C959" s="126">
        <v>9.38007526E8</v>
      </c>
    </row>
    <row r="960">
      <c r="A960" s="125" t="s">
        <v>1606</v>
      </c>
      <c r="B960" s="125" t="s">
        <v>1607</v>
      </c>
      <c r="C960" s="126">
        <v>9.37884073E8</v>
      </c>
    </row>
    <row r="961">
      <c r="A961" s="125" t="s">
        <v>1608</v>
      </c>
      <c r="B961" s="125" t="s">
        <v>1609</v>
      </c>
      <c r="C961" s="126">
        <v>9.37481998E8</v>
      </c>
    </row>
    <row r="962">
      <c r="A962" s="125" t="s">
        <v>1610</v>
      </c>
      <c r="B962" s="125" t="s">
        <v>1611</v>
      </c>
      <c r="C962" s="126">
        <v>9.3573295E8</v>
      </c>
    </row>
    <row r="963">
      <c r="A963" s="125" t="s">
        <v>1612</v>
      </c>
      <c r="B963" s="125" t="s">
        <v>1613</v>
      </c>
      <c r="C963" s="126">
        <v>9.3548667E8</v>
      </c>
    </row>
    <row r="964">
      <c r="A964" s="125" t="s">
        <v>1614</v>
      </c>
      <c r="B964" s="125" t="s">
        <v>1615</v>
      </c>
      <c r="C964" s="126">
        <v>9.21272715E8</v>
      </c>
    </row>
    <row r="965">
      <c r="A965" s="125" t="s">
        <v>1616</v>
      </c>
      <c r="B965" s="125" t="s">
        <v>1617</v>
      </c>
      <c r="C965" s="126">
        <v>9.20400485E8</v>
      </c>
    </row>
    <row r="966">
      <c r="A966" s="125" t="s">
        <v>1618</v>
      </c>
      <c r="B966" s="125" t="s">
        <v>1619</v>
      </c>
      <c r="C966" s="126">
        <v>9.19111602E8</v>
      </c>
    </row>
    <row r="967">
      <c r="A967" s="125" t="s">
        <v>1620</v>
      </c>
      <c r="B967" s="125" t="s">
        <v>1621</v>
      </c>
      <c r="C967" s="126">
        <v>9.1823637E8</v>
      </c>
    </row>
    <row r="968">
      <c r="A968" s="125" t="s">
        <v>1622</v>
      </c>
      <c r="B968" s="125" t="s">
        <v>1623</v>
      </c>
      <c r="C968" s="126">
        <v>9.14044098E8</v>
      </c>
    </row>
    <row r="969">
      <c r="A969" s="125" t="s">
        <v>1624</v>
      </c>
      <c r="B969" s="125" t="s">
        <v>1625</v>
      </c>
      <c r="C969" s="126">
        <v>9.13297631E8</v>
      </c>
    </row>
    <row r="970">
      <c r="A970" s="125" t="s">
        <v>1626</v>
      </c>
      <c r="B970" s="125" t="s">
        <v>1627</v>
      </c>
      <c r="C970" s="126">
        <v>9.12526478E8</v>
      </c>
    </row>
    <row r="971">
      <c r="A971" s="125" t="s">
        <v>1628</v>
      </c>
      <c r="B971" s="125" t="s">
        <v>1629</v>
      </c>
      <c r="C971" s="126">
        <v>9.12321021E8</v>
      </c>
    </row>
    <row r="972">
      <c r="A972" s="125" t="s">
        <v>1630</v>
      </c>
      <c r="B972" s="125" t="s">
        <v>1631</v>
      </c>
      <c r="C972" s="126">
        <v>9.10578251E8</v>
      </c>
    </row>
    <row r="973">
      <c r="A973" s="125" t="s">
        <v>1632</v>
      </c>
      <c r="B973" s="125" t="s">
        <v>1633</v>
      </c>
      <c r="C973" s="126">
        <v>9.07277626E8</v>
      </c>
    </row>
    <row r="974">
      <c r="A974" s="125" t="s">
        <v>1634</v>
      </c>
      <c r="B974" s="125" t="s">
        <v>1635</v>
      </c>
      <c r="C974" s="126">
        <v>9.06890762E8</v>
      </c>
    </row>
    <row r="975">
      <c r="A975" s="125" t="s">
        <v>1636</v>
      </c>
      <c r="B975" s="125" t="s">
        <v>1637</v>
      </c>
      <c r="C975" s="126">
        <v>9.05613229E8</v>
      </c>
    </row>
    <row r="976">
      <c r="A976" s="125" t="s">
        <v>1638</v>
      </c>
      <c r="B976" s="125" t="s">
        <v>1639</v>
      </c>
      <c r="C976" s="126">
        <v>9.04874377E8</v>
      </c>
    </row>
    <row r="977">
      <c r="A977" s="125" t="s">
        <v>1640</v>
      </c>
      <c r="B977" s="125" t="s">
        <v>1641</v>
      </c>
      <c r="C977" s="126">
        <v>9.0461203E8</v>
      </c>
    </row>
    <row r="978">
      <c r="A978" s="125" t="s">
        <v>1642</v>
      </c>
      <c r="B978" s="125" t="s">
        <v>1643</v>
      </c>
      <c r="C978" s="126">
        <v>9.03113926E8</v>
      </c>
    </row>
    <row r="979">
      <c r="A979" s="125" t="s">
        <v>1644</v>
      </c>
      <c r="B979" s="125" t="s">
        <v>1645</v>
      </c>
      <c r="C979" s="126">
        <v>9.02845864E8</v>
      </c>
    </row>
    <row r="980">
      <c r="A980" s="125" t="s">
        <v>1646</v>
      </c>
      <c r="B980" s="125" t="s">
        <v>1647</v>
      </c>
      <c r="C980" s="126">
        <v>9.02512683E8</v>
      </c>
    </row>
    <row r="981">
      <c r="A981" s="125" t="s">
        <v>1648</v>
      </c>
      <c r="B981" s="125" t="s">
        <v>1649</v>
      </c>
      <c r="C981" s="126">
        <v>8.99770592E8</v>
      </c>
    </row>
    <row r="982">
      <c r="A982" s="125" t="s">
        <v>1650</v>
      </c>
      <c r="B982" s="125" t="s">
        <v>1651</v>
      </c>
      <c r="C982" s="126">
        <v>8.99414531E8</v>
      </c>
    </row>
    <row r="983">
      <c r="A983" s="125" t="s">
        <v>1652</v>
      </c>
      <c r="B983" s="125" t="s">
        <v>1653</v>
      </c>
      <c r="C983" s="126">
        <v>8.98389672E8</v>
      </c>
    </row>
    <row r="984">
      <c r="A984" s="125" t="s">
        <v>1654</v>
      </c>
      <c r="B984" s="125" t="s">
        <v>1655</v>
      </c>
      <c r="C984" s="126">
        <v>8.96917279E8</v>
      </c>
    </row>
    <row r="985">
      <c r="A985" s="125" t="s">
        <v>1656</v>
      </c>
      <c r="B985" s="125" t="s">
        <v>1657</v>
      </c>
      <c r="C985" s="126">
        <v>8.93406814E8</v>
      </c>
    </row>
    <row r="986">
      <c r="A986" s="125" t="s">
        <v>1658</v>
      </c>
      <c r="B986" s="125" t="s">
        <v>1659</v>
      </c>
      <c r="C986" s="126">
        <v>8.87497826E8</v>
      </c>
    </row>
    <row r="987">
      <c r="A987" s="125" t="s">
        <v>1660</v>
      </c>
      <c r="B987" s="125" t="s">
        <v>1661</v>
      </c>
      <c r="C987" s="126">
        <v>8.86472623E8</v>
      </c>
    </row>
    <row r="988">
      <c r="A988" s="125" t="s">
        <v>1662</v>
      </c>
      <c r="B988" s="125" t="s">
        <v>1663</v>
      </c>
      <c r="C988" s="126">
        <v>8.81241671E8</v>
      </c>
    </row>
    <row r="989">
      <c r="A989" s="125" t="s">
        <v>1664</v>
      </c>
      <c r="B989" s="125" t="s">
        <v>1665</v>
      </c>
      <c r="C989" s="126">
        <v>8.8002588E8</v>
      </c>
    </row>
    <row r="990">
      <c r="A990" s="125" t="s">
        <v>1666</v>
      </c>
      <c r="B990" s="125" t="s">
        <v>1667</v>
      </c>
      <c r="C990" s="126">
        <v>8.7958E8</v>
      </c>
    </row>
    <row r="991">
      <c r="A991" s="125" t="s">
        <v>1668</v>
      </c>
      <c r="B991" s="125" t="s">
        <v>1669</v>
      </c>
      <c r="C991" s="126">
        <v>8.78751835E8</v>
      </c>
    </row>
    <row r="992">
      <c r="A992" s="125" t="s">
        <v>1670</v>
      </c>
      <c r="B992" s="125" t="s">
        <v>1671</v>
      </c>
      <c r="C992" s="126">
        <v>8.77307201E8</v>
      </c>
    </row>
    <row r="993">
      <c r="A993" s="125" t="s">
        <v>1672</v>
      </c>
      <c r="B993" s="125" t="s">
        <v>1673</v>
      </c>
      <c r="C993" s="126">
        <v>8.76401938E8</v>
      </c>
    </row>
    <row r="994">
      <c r="A994" s="125" t="s">
        <v>1674</v>
      </c>
      <c r="B994" s="125" t="s">
        <v>1675</v>
      </c>
      <c r="C994" s="126">
        <v>8.76399938E8</v>
      </c>
    </row>
    <row r="995">
      <c r="A995" s="125" t="s">
        <v>1676</v>
      </c>
      <c r="B995" s="125" t="s">
        <v>1677</v>
      </c>
      <c r="C995" s="126">
        <v>8.72939183E8</v>
      </c>
    </row>
    <row r="996">
      <c r="A996" s="125" t="s">
        <v>1678</v>
      </c>
      <c r="B996" s="125" t="s">
        <v>1679</v>
      </c>
      <c r="C996" s="126">
        <v>8.70567936E8</v>
      </c>
    </row>
    <row r="997">
      <c r="A997" s="125" t="s">
        <v>1680</v>
      </c>
      <c r="B997" s="125" t="s">
        <v>1681</v>
      </c>
      <c r="C997" s="126">
        <v>8.69603859E8</v>
      </c>
    </row>
    <row r="998">
      <c r="A998" s="125" t="s">
        <v>1682</v>
      </c>
      <c r="B998" s="125" t="s">
        <v>1683</v>
      </c>
      <c r="C998" s="126">
        <v>8.67866279E8</v>
      </c>
    </row>
    <row r="999">
      <c r="A999" s="125" t="s">
        <v>1684</v>
      </c>
      <c r="B999" s="125" t="s">
        <v>1685</v>
      </c>
      <c r="C999" s="126">
        <v>8.65579145E8</v>
      </c>
    </row>
    <row r="1000">
      <c r="A1000" s="125" t="s">
        <v>1686</v>
      </c>
      <c r="B1000" s="125" t="s">
        <v>1687</v>
      </c>
      <c r="C1000" s="126">
        <v>8.64948386E8</v>
      </c>
    </row>
    <row r="1001">
      <c r="A1001" s="125" t="s">
        <v>1688</v>
      </c>
      <c r="B1001" s="125" t="s">
        <v>1689</v>
      </c>
      <c r="C1001" s="126">
        <v>8.64205304E8</v>
      </c>
    </row>
    <row r="1002">
      <c r="A1002" s="125" t="s">
        <v>1690</v>
      </c>
      <c r="B1002" s="125" t="s">
        <v>1691</v>
      </c>
      <c r="C1002" s="126">
        <v>8.63947085E8</v>
      </c>
    </row>
    <row r="1003">
      <c r="A1003" s="125" t="s">
        <v>1692</v>
      </c>
      <c r="B1003" s="125" t="s">
        <v>1693</v>
      </c>
      <c r="C1003" s="126">
        <v>8.63923627E8</v>
      </c>
    </row>
    <row r="1004">
      <c r="A1004" s="125" t="s">
        <v>1694</v>
      </c>
      <c r="B1004" s="125" t="s">
        <v>1695</v>
      </c>
      <c r="C1004" s="126">
        <v>8.63331198E8</v>
      </c>
    </row>
    <row r="1005">
      <c r="A1005" s="125" t="s">
        <v>1696</v>
      </c>
      <c r="B1005" s="125" t="s">
        <v>1697</v>
      </c>
      <c r="C1005" s="126">
        <v>8.63181244E8</v>
      </c>
    </row>
    <row r="1006">
      <c r="A1006" s="125" t="s">
        <v>1698</v>
      </c>
      <c r="B1006" s="125" t="s">
        <v>1699</v>
      </c>
      <c r="C1006" s="126">
        <v>8.60334511E8</v>
      </c>
    </row>
    <row r="1007">
      <c r="A1007" s="125" t="s">
        <v>1700</v>
      </c>
      <c r="B1007" s="125" t="s">
        <v>1701</v>
      </c>
      <c r="C1007" s="126">
        <v>8.58156988E8</v>
      </c>
    </row>
    <row r="1008">
      <c r="A1008" s="125" t="s">
        <v>1702</v>
      </c>
      <c r="B1008" s="125" t="s">
        <v>1703</v>
      </c>
      <c r="C1008" s="126">
        <v>8.58143563E8</v>
      </c>
    </row>
    <row r="1009">
      <c r="A1009" s="125" t="s">
        <v>1704</v>
      </c>
      <c r="B1009" s="125" t="s">
        <v>1705</v>
      </c>
      <c r="C1009" s="126">
        <v>8.57994888E8</v>
      </c>
    </row>
    <row r="1010">
      <c r="A1010" s="125" t="s">
        <v>1706</v>
      </c>
      <c r="B1010" s="125" t="s">
        <v>1707</v>
      </c>
      <c r="C1010" s="126">
        <v>8.57948168E8</v>
      </c>
    </row>
    <row r="1011">
      <c r="A1011" s="125" t="s">
        <v>1708</v>
      </c>
      <c r="B1011" s="125" t="s">
        <v>1709</v>
      </c>
      <c r="C1011" s="126">
        <v>8.57692921E8</v>
      </c>
    </row>
    <row r="1012">
      <c r="A1012" s="125" t="s">
        <v>1710</v>
      </c>
      <c r="B1012" s="125" t="s">
        <v>1711</v>
      </c>
      <c r="C1012" s="126">
        <v>8.57539995E8</v>
      </c>
    </row>
    <row r="1013">
      <c r="A1013" s="125" t="s">
        <v>1712</v>
      </c>
      <c r="B1013" s="125" t="s">
        <v>1713</v>
      </c>
      <c r="C1013" s="126">
        <v>8.51032881E8</v>
      </c>
    </row>
    <row r="1014">
      <c r="A1014" s="125" t="s">
        <v>1714</v>
      </c>
      <c r="B1014" s="125" t="s">
        <v>1715</v>
      </c>
      <c r="C1014" s="126">
        <v>8.48440272E8</v>
      </c>
    </row>
    <row r="1015">
      <c r="A1015" s="125" t="s">
        <v>1716</v>
      </c>
      <c r="B1015" s="125" t="s">
        <v>1717</v>
      </c>
      <c r="C1015" s="126">
        <v>8.48192004E8</v>
      </c>
    </row>
    <row r="1016">
      <c r="A1016" s="125" t="s">
        <v>1718</v>
      </c>
      <c r="B1016" s="125" t="s">
        <v>1719</v>
      </c>
      <c r="C1016" s="126">
        <v>8.46606374E8</v>
      </c>
    </row>
    <row r="1017">
      <c r="A1017" s="125" t="s">
        <v>1720</v>
      </c>
      <c r="B1017" s="125" t="s">
        <v>1721</v>
      </c>
      <c r="C1017" s="126">
        <v>8.44049737E8</v>
      </c>
    </row>
    <row r="1018">
      <c r="A1018" s="125" t="s">
        <v>1722</v>
      </c>
      <c r="B1018" s="125" t="s">
        <v>1723</v>
      </c>
      <c r="C1018" s="126">
        <v>8.4302097E8</v>
      </c>
    </row>
    <row r="1019">
      <c r="A1019" s="125" t="s">
        <v>1724</v>
      </c>
      <c r="B1019" s="125" t="s">
        <v>1725</v>
      </c>
      <c r="C1019" s="126">
        <v>8.39523055E8</v>
      </c>
    </row>
    <row r="1020">
      <c r="A1020" s="125" t="s">
        <v>1726</v>
      </c>
      <c r="B1020" s="125" t="s">
        <v>1727</v>
      </c>
      <c r="C1020" s="126">
        <v>8.3822753E8</v>
      </c>
    </row>
    <row r="1021">
      <c r="A1021" s="125" t="s">
        <v>1728</v>
      </c>
      <c r="B1021" s="125" t="s">
        <v>1729</v>
      </c>
      <c r="C1021" s="126">
        <v>8.35880675E8</v>
      </c>
    </row>
    <row r="1022">
      <c r="A1022" s="125" t="s">
        <v>1730</v>
      </c>
      <c r="B1022" s="125" t="s">
        <v>1731</v>
      </c>
      <c r="C1022" s="126">
        <v>8.3142E8</v>
      </c>
    </row>
    <row r="1023">
      <c r="A1023" s="125" t="s">
        <v>1732</v>
      </c>
      <c r="B1023" s="125" t="s">
        <v>1733</v>
      </c>
      <c r="C1023" s="126">
        <v>8.30549773E8</v>
      </c>
    </row>
    <row r="1024">
      <c r="A1024" s="125" t="s">
        <v>1734</v>
      </c>
      <c r="B1024" s="125" t="s">
        <v>1735</v>
      </c>
      <c r="C1024" s="126">
        <v>8.27134151E8</v>
      </c>
    </row>
    <row r="1025">
      <c r="A1025" s="125" t="s">
        <v>1736</v>
      </c>
      <c r="B1025" s="125" t="s">
        <v>1737</v>
      </c>
      <c r="C1025" s="126">
        <v>8.25806816E8</v>
      </c>
    </row>
    <row r="1026">
      <c r="A1026" s="125" t="s">
        <v>1738</v>
      </c>
      <c r="B1026" s="125" t="s">
        <v>1739</v>
      </c>
      <c r="C1026" s="126">
        <v>8.25737658E8</v>
      </c>
    </row>
    <row r="1027">
      <c r="A1027" s="125" t="s">
        <v>1740</v>
      </c>
      <c r="B1027" s="125" t="s">
        <v>1741</v>
      </c>
      <c r="C1027" s="126">
        <v>8.23722573E8</v>
      </c>
    </row>
    <row r="1028">
      <c r="A1028" s="125" t="s">
        <v>1742</v>
      </c>
      <c r="B1028" s="125" t="s">
        <v>1743</v>
      </c>
      <c r="C1028" s="126">
        <v>8.22055635E8</v>
      </c>
    </row>
    <row r="1029">
      <c r="A1029" s="125" t="s">
        <v>1744</v>
      </c>
      <c r="B1029" s="125" t="s">
        <v>1745</v>
      </c>
      <c r="C1029" s="126">
        <v>8.21877886E8</v>
      </c>
    </row>
    <row r="1030">
      <c r="A1030" s="125" t="s">
        <v>1746</v>
      </c>
      <c r="B1030" s="125" t="s">
        <v>1747</v>
      </c>
      <c r="C1030" s="126">
        <v>8.21037711E8</v>
      </c>
    </row>
    <row r="1031">
      <c r="A1031" s="125" t="s">
        <v>1748</v>
      </c>
      <c r="B1031" s="125" t="s">
        <v>1749</v>
      </c>
      <c r="C1031" s="126">
        <v>8.20868068E8</v>
      </c>
    </row>
    <row r="1032">
      <c r="A1032" s="125" t="s">
        <v>1750</v>
      </c>
      <c r="B1032" s="125" t="s">
        <v>1751</v>
      </c>
      <c r="C1032" s="126">
        <v>8.20309968E8</v>
      </c>
    </row>
    <row r="1033">
      <c r="A1033" s="125" t="s">
        <v>1752</v>
      </c>
      <c r="B1033" s="125" t="s">
        <v>1753</v>
      </c>
      <c r="C1033" s="126">
        <v>8.13377795E8</v>
      </c>
    </row>
    <row r="1034">
      <c r="A1034" s="125" t="s">
        <v>1754</v>
      </c>
      <c r="B1034" s="125" t="s">
        <v>1755</v>
      </c>
      <c r="C1034" s="126">
        <v>8.12310581E8</v>
      </c>
    </row>
    <row r="1035">
      <c r="A1035" s="125" t="s">
        <v>1756</v>
      </c>
      <c r="B1035" s="125" t="s">
        <v>1757</v>
      </c>
      <c r="C1035" s="126">
        <v>8.11287623E8</v>
      </c>
    </row>
    <row r="1036">
      <c r="A1036" s="125" t="s">
        <v>1758</v>
      </c>
      <c r="B1036" s="125" t="s">
        <v>1759</v>
      </c>
      <c r="C1036" s="126">
        <v>8.09691355E8</v>
      </c>
    </row>
    <row r="1037">
      <c r="A1037" s="125" t="s">
        <v>1760</v>
      </c>
      <c r="B1037" s="125" t="s">
        <v>1761</v>
      </c>
      <c r="C1037" s="126">
        <v>8.09436857E8</v>
      </c>
    </row>
    <row r="1038">
      <c r="A1038" s="125" t="s">
        <v>1762</v>
      </c>
      <c r="B1038" s="125" t="s">
        <v>1763</v>
      </c>
      <c r="C1038" s="126">
        <v>8.09374971E8</v>
      </c>
    </row>
    <row r="1039">
      <c r="A1039" s="125" t="s">
        <v>1764</v>
      </c>
      <c r="B1039" s="125" t="s">
        <v>1765</v>
      </c>
      <c r="C1039" s="126">
        <v>8.0836546E8</v>
      </c>
    </row>
    <row r="1040">
      <c r="A1040" s="125" t="s">
        <v>1766</v>
      </c>
      <c r="B1040" s="125" t="s">
        <v>1767</v>
      </c>
      <c r="C1040" s="126">
        <v>8.08299844E8</v>
      </c>
    </row>
    <row r="1041">
      <c r="A1041" s="125" t="s">
        <v>1768</v>
      </c>
      <c r="B1041" s="125" t="s">
        <v>1769</v>
      </c>
      <c r="C1041" s="126">
        <v>8.07985423E8</v>
      </c>
    </row>
    <row r="1042">
      <c r="A1042" s="125" t="s">
        <v>1770</v>
      </c>
      <c r="B1042" s="125" t="s">
        <v>1771</v>
      </c>
      <c r="C1042" s="126">
        <v>8.07800133E8</v>
      </c>
    </row>
    <row r="1043">
      <c r="A1043" s="125" t="s">
        <v>1772</v>
      </c>
      <c r="B1043" s="125" t="s">
        <v>1773</v>
      </c>
      <c r="C1043" s="126">
        <v>8.04752E8</v>
      </c>
    </row>
    <row r="1044">
      <c r="A1044" s="125" t="s">
        <v>1774</v>
      </c>
      <c r="B1044" s="125" t="s">
        <v>1775</v>
      </c>
      <c r="C1044" s="126">
        <v>8.04704127E8</v>
      </c>
    </row>
    <row r="1045">
      <c r="A1045" s="125" t="s">
        <v>1776</v>
      </c>
      <c r="B1045" s="125" t="s">
        <v>1777</v>
      </c>
      <c r="C1045" s="126">
        <v>8.03285531E8</v>
      </c>
    </row>
    <row r="1046">
      <c r="A1046" s="125" t="s">
        <v>1778</v>
      </c>
      <c r="B1046" s="125" t="s">
        <v>1779</v>
      </c>
      <c r="C1046" s="126">
        <v>8.00846585E8</v>
      </c>
    </row>
    <row r="1047">
      <c r="A1047" s="125" t="s">
        <v>1780</v>
      </c>
      <c r="B1047" s="125" t="s">
        <v>1781</v>
      </c>
      <c r="C1047" s="126">
        <v>7.99232501E8</v>
      </c>
    </row>
    <row r="1048">
      <c r="A1048" s="125" t="s">
        <v>1782</v>
      </c>
      <c r="B1048" s="125" t="s">
        <v>1783</v>
      </c>
      <c r="C1048" s="126">
        <v>7.99148745E8</v>
      </c>
    </row>
    <row r="1049">
      <c r="A1049" s="125" t="s">
        <v>1784</v>
      </c>
      <c r="B1049" s="125" t="s">
        <v>1785</v>
      </c>
      <c r="C1049" s="126">
        <v>7.96500684E8</v>
      </c>
    </row>
    <row r="1050">
      <c r="A1050" s="125" t="s">
        <v>1786</v>
      </c>
      <c r="B1050" s="125" t="s">
        <v>1787</v>
      </c>
      <c r="C1050" s="126">
        <v>7.96442086E8</v>
      </c>
    </row>
    <row r="1051">
      <c r="A1051" s="125" t="s">
        <v>1788</v>
      </c>
      <c r="B1051" s="125" t="s">
        <v>1789</v>
      </c>
      <c r="C1051" s="126">
        <v>7.96358693E8</v>
      </c>
    </row>
    <row r="1052">
      <c r="A1052" s="125" t="s">
        <v>1790</v>
      </c>
      <c r="B1052" s="125" t="s">
        <v>1791</v>
      </c>
      <c r="C1052" s="126">
        <v>7.96196641E8</v>
      </c>
    </row>
    <row r="1053">
      <c r="A1053" s="125" t="s">
        <v>1792</v>
      </c>
      <c r="B1053" s="125" t="s">
        <v>1793</v>
      </c>
      <c r="C1053" s="126">
        <v>7.95130931E8</v>
      </c>
    </row>
    <row r="1054">
      <c r="A1054" s="125" t="s">
        <v>1794</v>
      </c>
      <c r="B1054" s="125" t="s">
        <v>1795</v>
      </c>
      <c r="C1054" s="126">
        <v>7.94129366E8</v>
      </c>
    </row>
    <row r="1055">
      <c r="A1055" s="125" t="s">
        <v>1796</v>
      </c>
      <c r="B1055" s="125" t="s">
        <v>1797</v>
      </c>
      <c r="C1055" s="126">
        <v>7.93232115E8</v>
      </c>
    </row>
    <row r="1056">
      <c r="A1056" s="125" t="s">
        <v>1798</v>
      </c>
      <c r="B1056" s="125" t="s">
        <v>1799</v>
      </c>
      <c r="C1056" s="126">
        <v>7.88388017E8</v>
      </c>
    </row>
    <row r="1057">
      <c r="A1057" s="125" t="s">
        <v>1800</v>
      </c>
      <c r="B1057" s="125" t="s">
        <v>1801</v>
      </c>
      <c r="C1057" s="126">
        <v>7.87388428E8</v>
      </c>
    </row>
    <row r="1058">
      <c r="A1058" s="125" t="s">
        <v>1802</v>
      </c>
      <c r="B1058" s="125" t="s">
        <v>1803</v>
      </c>
      <c r="C1058" s="126">
        <v>7.87202575E8</v>
      </c>
    </row>
    <row r="1059">
      <c r="A1059" s="125" t="s">
        <v>1804</v>
      </c>
      <c r="B1059" s="125" t="s">
        <v>1805</v>
      </c>
      <c r="C1059" s="126">
        <v>7.87024854E8</v>
      </c>
    </row>
    <row r="1060">
      <c r="A1060" s="125" t="s">
        <v>1806</v>
      </c>
      <c r="B1060" s="125" t="s">
        <v>1807</v>
      </c>
      <c r="C1060" s="126">
        <v>7.86910395E8</v>
      </c>
    </row>
    <row r="1061">
      <c r="A1061" s="125" t="s">
        <v>1808</v>
      </c>
      <c r="B1061" s="125" t="s">
        <v>1809</v>
      </c>
      <c r="C1061" s="126">
        <v>7.86585497E8</v>
      </c>
    </row>
    <row r="1062">
      <c r="A1062" s="125" t="s">
        <v>1810</v>
      </c>
      <c r="B1062" s="125" t="s">
        <v>1811</v>
      </c>
      <c r="C1062" s="126">
        <v>7.84853508E8</v>
      </c>
    </row>
    <row r="1063">
      <c r="A1063" s="125" t="s">
        <v>1812</v>
      </c>
      <c r="B1063" s="125" t="s">
        <v>1813</v>
      </c>
      <c r="C1063" s="126">
        <v>7.8101603E8</v>
      </c>
    </row>
    <row r="1064">
      <c r="A1064" s="125" t="s">
        <v>1814</v>
      </c>
      <c r="B1064" s="125" t="s">
        <v>1815</v>
      </c>
      <c r="C1064" s="126">
        <v>7.79563686E8</v>
      </c>
    </row>
    <row r="1065">
      <c r="A1065" s="125" t="s">
        <v>1816</v>
      </c>
      <c r="B1065" s="125" t="s">
        <v>1817</v>
      </c>
      <c r="C1065" s="126">
        <v>7.79456002E8</v>
      </c>
    </row>
    <row r="1066">
      <c r="A1066" s="125" t="s">
        <v>1818</v>
      </c>
      <c r="B1066" s="125" t="s">
        <v>1819</v>
      </c>
      <c r="C1066" s="126">
        <v>7.77845228E8</v>
      </c>
    </row>
    <row r="1067">
      <c r="A1067" s="125" t="s">
        <v>1820</v>
      </c>
      <c r="B1067" s="125" t="s">
        <v>1821</v>
      </c>
      <c r="C1067" s="126">
        <v>7.76798731E8</v>
      </c>
    </row>
    <row r="1068">
      <c r="A1068" s="125" t="s">
        <v>1822</v>
      </c>
      <c r="B1068" s="125" t="s">
        <v>1823</v>
      </c>
      <c r="C1068" s="126">
        <v>7.74107105E8</v>
      </c>
    </row>
    <row r="1069">
      <c r="A1069" s="125" t="s">
        <v>1824</v>
      </c>
      <c r="B1069" s="125" t="s">
        <v>1825</v>
      </c>
      <c r="C1069" s="126">
        <v>7.73161339E8</v>
      </c>
    </row>
    <row r="1070">
      <c r="A1070" s="125" t="s">
        <v>1826</v>
      </c>
      <c r="B1070" s="125" t="s">
        <v>1827</v>
      </c>
      <c r="C1070" s="126">
        <v>7.72284229E8</v>
      </c>
    </row>
    <row r="1071">
      <c r="A1071" s="125" t="s">
        <v>1828</v>
      </c>
      <c r="B1071" s="125" t="s">
        <v>1829</v>
      </c>
      <c r="C1071" s="126">
        <v>7.68966189E8</v>
      </c>
    </row>
    <row r="1072">
      <c r="A1072" s="125" t="s">
        <v>1830</v>
      </c>
      <c r="B1072" s="125" t="s">
        <v>1831</v>
      </c>
      <c r="C1072" s="126">
        <v>7.67998174E8</v>
      </c>
    </row>
    <row r="1073">
      <c r="A1073" s="125" t="s">
        <v>1832</v>
      </c>
      <c r="B1073" s="125" t="s">
        <v>1833</v>
      </c>
      <c r="C1073" s="126">
        <v>7.66629107E8</v>
      </c>
    </row>
    <row r="1074">
      <c r="A1074" s="125" t="s">
        <v>1834</v>
      </c>
      <c r="B1074" s="125" t="s">
        <v>1835</v>
      </c>
      <c r="C1074" s="126">
        <v>7.62440789E8</v>
      </c>
    </row>
    <row r="1075">
      <c r="A1075" s="125" t="s">
        <v>1836</v>
      </c>
      <c r="B1075" s="125" t="s">
        <v>1837</v>
      </c>
      <c r="C1075" s="126">
        <v>7.61325715E8</v>
      </c>
    </row>
    <row r="1076">
      <c r="A1076" s="125" t="s">
        <v>1838</v>
      </c>
      <c r="B1076" s="125" t="s">
        <v>1839</v>
      </c>
      <c r="C1076" s="126">
        <v>7.60350279E8</v>
      </c>
    </row>
    <row r="1077">
      <c r="A1077" s="125" t="s">
        <v>1840</v>
      </c>
      <c r="B1077" s="125" t="s">
        <v>1841</v>
      </c>
      <c r="C1077" s="126">
        <v>7.59707247E8</v>
      </c>
    </row>
    <row r="1078">
      <c r="A1078" s="125" t="s">
        <v>1842</v>
      </c>
      <c r="B1078" s="125" t="s">
        <v>1843</v>
      </c>
      <c r="C1078" s="126">
        <v>7.59013047E8</v>
      </c>
    </row>
    <row r="1079">
      <c r="A1079" s="125" t="s">
        <v>1844</v>
      </c>
      <c r="B1079" s="125" t="s">
        <v>1845</v>
      </c>
      <c r="C1079" s="126">
        <v>7.58906702E8</v>
      </c>
    </row>
    <row r="1080">
      <c r="A1080" s="125" t="s">
        <v>1846</v>
      </c>
      <c r="B1080" s="125" t="s">
        <v>1847</v>
      </c>
      <c r="C1080" s="126">
        <v>7.57392723E8</v>
      </c>
    </row>
    <row r="1081">
      <c r="A1081" s="125" t="s">
        <v>1848</v>
      </c>
      <c r="B1081" s="125" t="s">
        <v>1849</v>
      </c>
      <c r="C1081" s="126">
        <v>7.5659077E8</v>
      </c>
    </row>
    <row r="1082">
      <c r="A1082" s="125" t="s">
        <v>1850</v>
      </c>
      <c r="B1082" s="125" t="s">
        <v>1851</v>
      </c>
      <c r="C1082" s="126">
        <v>7.5403414E8</v>
      </c>
    </row>
    <row r="1083">
      <c r="A1083" s="125" t="s">
        <v>1852</v>
      </c>
      <c r="B1083" s="125" t="s">
        <v>1853</v>
      </c>
      <c r="C1083" s="126">
        <v>7.51723456E8</v>
      </c>
    </row>
    <row r="1084">
      <c r="A1084" s="125" t="s">
        <v>1854</v>
      </c>
      <c r="B1084" s="125" t="s">
        <v>1855</v>
      </c>
      <c r="C1084" s="126">
        <v>7.50266646E8</v>
      </c>
    </row>
    <row r="1085">
      <c r="A1085" s="125" t="s">
        <v>1856</v>
      </c>
      <c r="B1085" s="125" t="s">
        <v>1857</v>
      </c>
      <c r="C1085" s="126">
        <v>7.48980709E8</v>
      </c>
    </row>
    <row r="1086">
      <c r="A1086" s="125" t="s">
        <v>1858</v>
      </c>
      <c r="B1086" s="125" t="s">
        <v>1859</v>
      </c>
      <c r="C1086" s="126">
        <v>7.46772851E8</v>
      </c>
    </row>
    <row r="1087">
      <c r="A1087" s="125" t="s">
        <v>1860</v>
      </c>
      <c r="B1087" s="125" t="s">
        <v>1861</v>
      </c>
      <c r="C1087" s="126">
        <v>7.44517684E8</v>
      </c>
    </row>
    <row r="1088">
      <c r="A1088" s="125" t="s">
        <v>1862</v>
      </c>
      <c r="B1088" s="125" t="s">
        <v>1863</v>
      </c>
      <c r="C1088" s="126">
        <v>7.41958603E8</v>
      </c>
    </row>
    <row r="1089">
      <c r="A1089" s="125" t="s">
        <v>1864</v>
      </c>
      <c r="B1089" s="125" t="s">
        <v>1865</v>
      </c>
      <c r="C1089" s="126">
        <v>7.39562467E8</v>
      </c>
    </row>
    <row r="1090">
      <c r="A1090" s="125" t="s">
        <v>1866</v>
      </c>
      <c r="B1090" s="125" t="s">
        <v>1867</v>
      </c>
      <c r="C1090" s="126">
        <v>7.3914444E8</v>
      </c>
    </row>
    <row r="1091">
      <c r="A1091" s="125" t="s">
        <v>1868</v>
      </c>
      <c r="B1091" s="125" t="s">
        <v>1869</v>
      </c>
      <c r="C1091" s="126">
        <v>7.38823438E8</v>
      </c>
    </row>
    <row r="1092">
      <c r="A1092" s="125" t="s">
        <v>1870</v>
      </c>
      <c r="B1092" s="125" t="s">
        <v>1871</v>
      </c>
      <c r="C1092" s="126">
        <v>7.38780898E8</v>
      </c>
    </row>
    <row r="1093">
      <c r="A1093" s="125" t="s">
        <v>1872</v>
      </c>
      <c r="B1093" s="125" t="s">
        <v>1873</v>
      </c>
      <c r="C1093" s="126">
        <v>7.38640043E8</v>
      </c>
    </row>
    <row r="1094">
      <c r="A1094" s="125" t="s">
        <v>1874</v>
      </c>
      <c r="B1094" s="125" t="s">
        <v>1875</v>
      </c>
      <c r="C1094" s="126">
        <v>7.37094673E8</v>
      </c>
    </row>
    <row r="1095">
      <c r="A1095" s="125" t="s">
        <v>1876</v>
      </c>
      <c r="B1095" s="125" t="s">
        <v>1877</v>
      </c>
      <c r="C1095" s="126">
        <v>7.36473149E8</v>
      </c>
    </row>
    <row r="1096">
      <c r="A1096" s="125" t="s">
        <v>1878</v>
      </c>
      <c r="B1096" s="125" t="s">
        <v>1879</v>
      </c>
      <c r="C1096" s="126">
        <v>7.34806765E8</v>
      </c>
    </row>
    <row r="1097">
      <c r="A1097" s="125" t="s">
        <v>1880</v>
      </c>
      <c r="B1097" s="125" t="s">
        <v>1881</v>
      </c>
      <c r="C1097" s="126">
        <v>7.32422708E8</v>
      </c>
    </row>
    <row r="1098">
      <c r="A1098" s="125" t="s">
        <v>1882</v>
      </c>
      <c r="B1098" s="125" t="s">
        <v>1883</v>
      </c>
      <c r="C1098" s="126">
        <v>7.32176268E8</v>
      </c>
    </row>
    <row r="1099">
      <c r="A1099" s="125" t="s">
        <v>1884</v>
      </c>
      <c r="B1099" s="125" t="s">
        <v>1885</v>
      </c>
      <c r="C1099" s="126">
        <v>7.29131508E8</v>
      </c>
    </row>
    <row r="1100">
      <c r="A1100" s="125" t="s">
        <v>1886</v>
      </c>
      <c r="B1100" s="125" t="s">
        <v>1887</v>
      </c>
      <c r="C1100" s="126">
        <v>7.28285325E8</v>
      </c>
    </row>
    <row r="1101">
      <c r="A1101" s="125" t="s">
        <v>1888</v>
      </c>
      <c r="B1101" s="125" t="s">
        <v>1889</v>
      </c>
      <c r="C1101" s="126">
        <v>7.26192632E8</v>
      </c>
    </row>
    <row r="1102">
      <c r="A1102" s="125" t="s">
        <v>1890</v>
      </c>
      <c r="B1102" s="125" t="s">
        <v>1891</v>
      </c>
      <c r="C1102" s="126">
        <v>7.26112238E8</v>
      </c>
    </row>
    <row r="1103">
      <c r="A1103" s="125" t="s">
        <v>1892</v>
      </c>
      <c r="B1103" s="125" t="s">
        <v>1893</v>
      </c>
      <c r="C1103" s="126">
        <v>7.24507634E8</v>
      </c>
    </row>
    <row r="1104">
      <c r="A1104" s="125" t="s">
        <v>1894</v>
      </c>
      <c r="B1104" s="125" t="s">
        <v>1895</v>
      </c>
      <c r="C1104" s="126">
        <v>7.23210253E8</v>
      </c>
    </row>
    <row r="1105">
      <c r="A1105" s="125" t="s">
        <v>1896</v>
      </c>
      <c r="B1105" s="125" t="s">
        <v>1897</v>
      </c>
      <c r="C1105" s="126">
        <v>7.22058076E8</v>
      </c>
    </row>
    <row r="1106">
      <c r="A1106" s="125" t="s">
        <v>1898</v>
      </c>
      <c r="B1106" s="125" t="s">
        <v>1899</v>
      </c>
      <c r="C1106" s="126">
        <v>7.21983167E8</v>
      </c>
    </row>
    <row r="1107">
      <c r="A1107" s="125" t="s">
        <v>1900</v>
      </c>
      <c r="B1107" s="125" t="s">
        <v>1901</v>
      </c>
      <c r="C1107" s="126">
        <v>7.21853549E8</v>
      </c>
    </row>
    <row r="1108">
      <c r="A1108" s="125" t="s">
        <v>1902</v>
      </c>
      <c r="B1108" s="125" t="s">
        <v>1903</v>
      </c>
      <c r="C1108" s="126">
        <v>7.21475681E8</v>
      </c>
    </row>
    <row r="1109">
      <c r="A1109" s="125" t="s">
        <v>1904</v>
      </c>
      <c r="B1109" s="125" t="s">
        <v>1905</v>
      </c>
      <c r="C1109" s="126">
        <v>7.20740171E8</v>
      </c>
    </row>
    <row r="1110">
      <c r="A1110" s="125" t="s">
        <v>1906</v>
      </c>
      <c r="B1110" s="125" t="s">
        <v>1907</v>
      </c>
      <c r="C1110" s="126">
        <v>7.19230324E8</v>
      </c>
    </row>
    <row r="1111">
      <c r="A1111" s="125" t="s">
        <v>1908</v>
      </c>
      <c r="B1111" s="125" t="s">
        <v>1909</v>
      </c>
      <c r="C1111" s="126">
        <v>7.1844037E8</v>
      </c>
    </row>
    <row r="1112">
      <c r="A1112" s="125" t="s">
        <v>1910</v>
      </c>
      <c r="B1112" s="125" t="s">
        <v>1911</v>
      </c>
      <c r="C1112" s="126">
        <v>7.17347905E8</v>
      </c>
    </row>
    <row r="1113">
      <c r="A1113" s="125" t="s">
        <v>1912</v>
      </c>
      <c r="B1113" s="125" t="s">
        <v>1913</v>
      </c>
      <c r="C1113" s="126">
        <v>7.14714199E8</v>
      </c>
    </row>
    <row r="1114">
      <c r="A1114" s="125" t="s">
        <v>1914</v>
      </c>
      <c r="B1114" s="125" t="s">
        <v>1915</v>
      </c>
      <c r="C1114" s="126">
        <v>7.14356411E8</v>
      </c>
    </row>
    <row r="1115">
      <c r="A1115" s="125" t="s">
        <v>1916</v>
      </c>
      <c r="B1115" s="125" t="s">
        <v>1917</v>
      </c>
      <c r="C1115" s="126">
        <v>7.14012181E8</v>
      </c>
    </row>
    <row r="1116">
      <c r="A1116" s="125" t="s">
        <v>1918</v>
      </c>
      <c r="B1116" s="125" t="s">
        <v>1919</v>
      </c>
      <c r="C1116" s="126">
        <v>7.12541929E8</v>
      </c>
    </row>
    <row r="1117">
      <c r="A1117" s="125" t="s">
        <v>1920</v>
      </c>
      <c r="B1117" s="125" t="s">
        <v>1921</v>
      </c>
      <c r="C1117" s="126">
        <v>7.11956952E8</v>
      </c>
    </row>
    <row r="1118">
      <c r="A1118" s="125" t="s">
        <v>1922</v>
      </c>
      <c r="B1118" s="125" t="s">
        <v>1923</v>
      </c>
      <c r="C1118" s="126">
        <v>7.11930075E8</v>
      </c>
    </row>
    <row r="1119">
      <c r="A1119" s="125" t="s">
        <v>1924</v>
      </c>
      <c r="B1119" s="125" t="s">
        <v>1925</v>
      </c>
      <c r="C1119" s="126">
        <v>7.11317583E8</v>
      </c>
    </row>
    <row r="1120">
      <c r="A1120" s="125" t="s">
        <v>1926</v>
      </c>
      <c r="B1120" s="125" t="s">
        <v>1927</v>
      </c>
      <c r="C1120" s="126">
        <v>7.10924418E8</v>
      </c>
    </row>
    <row r="1121">
      <c r="A1121" s="125" t="s">
        <v>1928</v>
      </c>
      <c r="B1121" s="125" t="s">
        <v>1929</v>
      </c>
      <c r="C1121" s="126">
        <v>7.10738884E8</v>
      </c>
    </row>
    <row r="1122">
      <c r="A1122" s="125" t="s">
        <v>1930</v>
      </c>
      <c r="B1122" s="125" t="s">
        <v>1931</v>
      </c>
      <c r="C1122" s="126">
        <v>7.10653136E8</v>
      </c>
    </row>
    <row r="1123">
      <c r="A1123" s="125" t="s">
        <v>1932</v>
      </c>
      <c r="B1123" s="125" t="s">
        <v>1933</v>
      </c>
      <c r="C1123" s="126">
        <v>7.09798331E8</v>
      </c>
    </row>
    <row r="1124">
      <c r="A1124" s="125" t="s">
        <v>1934</v>
      </c>
      <c r="B1124" s="125" t="s">
        <v>1935</v>
      </c>
      <c r="C1124" s="126">
        <v>7.09526196E8</v>
      </c>
    </row>
    <row r="1125">
      <c r="A1125" s="125" t="s">
        <v>1936</v>
      </c>
      <c r="B1125" s="125" t="s">
        <v>1937</v>
      </c>
      <c r="C1125" s="126">
        <v>7.09350345E8</v>
      </c>
    </row>
    <row r="1126">
      <c r="A1126" s="125" t="s">
        <v>1938</v>
      </c>
      <c r="B1126" s="125" t="s">
        <v>1939</v>
      </c>
      <c r="C1126" s="126">
        <v>7.08382367E8</v>
      </c>
    </row>
    <row r="1127">
      <c r="A1127" s="125" t="s">
        <v>1940</v>
      </c>
      <c r="B1127" s="125" t="s">
        <v>1941</v>
      </c>
      <c r="C1127" s="126">
        <v>7.06949134E8</v>
      </c>
    </row>
    <row r="1128">
      <c r="A1128" s="125" t="s">
        <v>1942</v>
      </c>
      <c r="B1128" s="125" t="s">
        <v>1943</v>
      </c>
      <c r="C1128" s="126">
        <v>7.06447449E8</v>
      </c>
    </row>
    <row r="1129">
      <c r="A1129" s="125" t="s">
        <v>1944</v>
      </c>
      <c r="B1129" s="125" t="s">
        <v>1945</v>
      </c>
      <c r="C1129" s="126">
        <v>7.06072233E8</v>
      </c>
    </row>
    <row r="1130">
      <c r="A1130" s="125" t="s">
        <v>1946</v>
      </c>
      <c r="B1130" s="125" t="s">
        <v>1947</v>
      </c>
      <c r="C1130" s="126">
        <v>7.06020062E8</v>
      </c>
    </row>
    <row r="1131">
      <c r="A1131" s="125" t="s">
        <v>1948</v>
      </c>
      <c r="B1131" s="125" t="s">
        <v>1949</v>
      </c>
      <c r="C1131" s="126">
        <v>7.04136759E8</v>
      </c>
    </row>
    <row r="1132">
      <c r="A1132" s="125" t="s">
        <v>1950</v>
      </c>
      <c r="B1132" s="125" t="s">
        <v>1951</v>
      </c>
      <c r="C1132" s="126">
        <v>7.02703734E8</v>
      </c>
    </row>
    <row r="1133">
      <c r="A1133" s="125" t="s">
        <v>1952</v>
      </c>
      <c r="B1133" s="125" t="s">
        <v>1953</v>
      </c>
      <c r="C1133" s="126">
        <v>6.98113486E8</v>
      </c>
    </row>
    <row r="1134">
      <c r="A1134" s="125" t="s">
        <v>1954</v>
      </c>
      <c r="B1134" s="125" t="s">
        <v>1955</v>
      </c>
      <c r="C1134" s="126">
        <v>6.9622879E8</v>
      </c>
    </row>
    <row r="1135">
      <c r="A1135" s="125" t="s">
        <v>1956</v>
      </c>
      <c r="B1135" s="125" t="s">
        <v>1957</v>
      </c>
      <c r="C1135" s="126">
        <v>6.96105865E8</v>
      </c>
    </row>
    <row r="1136">
      <c r="A1136" s="125" t="s">
        <v>1958</v>
      </c>
      <c r="B1136" s="125" t="s">
        <v>1959</v>
      </c>
      <c r="C1136" s="126">
        <v>6.95753972E8</v>
      </c>
    </row>
    <row r="1137">
      <c r="A1137" s="125" t="s">
        <v>1960</v>
      </c>
      <c r="B1137" s="125" t="s">
        <v>1961</v>
      </c>
      <c r="C1137" s="126">
        <v>6.941907E8</v>
      </c>
    </row>
    <row r="1138">
      <c r="A1138" s="125" t="s">
        <v>1962</v>
      </c>
      <c r="B1138" s="125" t="s">
        <v>1963</v>
      </c>
      <c r="C1138" s="126">
        <v>6.92651539E8</v>
      </c>
    </row>
    <row r="1139">
      <c r="A1139" s="125" t="s">
        <v>1964</v>
      </c>
      <c r="B1139" s="125" t="s">
        <v>1965</v>
      </c>
      <c r="C1139" s="126">
        <v>6.89478967E8</v>
      </c>
    </row>
    <row r="1140">
      <c r="A1140" s="125" t="s">
        <v>1966</v>
      </c>
      <c r="B1140" s="125" t="s">
        <v>1967</v>
      </c>
      <c r="C1140" s="126">
        <v>6.89364193E8</v>
      </c>
    </row>
    <row r="1141">
      <c r="A1141" s="125" t="s">
        <v>1968</v>
      </c>
      <c r="B1141" s="125" t="s">
        <v>1969</v>
      </c>
      <c r="C1141" s="126">
        <v>6.8895637E8</v>
      </c>
    </row>
    <row r="1142">
      <c r="A1142" s="125" t="s">
        <v>1970</v>
      </c>
      <c r="B1142" s="125" t="s">
        <v>1971</v>
      </c>
      <c r="C1142" s="126">
        <v>6.87851535E8</v>
      </c>
    </row>
    <row r="1143">
      <c r="A1143" s="125" t="s">
        <v>1972</v>
      </c>
      <c r="B1143" s="125" t="s">
        <v>1973</v>
      </c>
      <c r="C1143" s="126">
        <v>6.87279161E8</v>
      </c>
    </row>
    <row r="1144">
      <c r="A1144" s="125" t="s">
        <v>1974</v>
      </c>
      <c r="B1144" s="125" t="s">
        <v>1975</v>
      </c>
      <c r="C1144" s="126">
        <v>6.8726814E8</v>
      </c>
    </row>
    <row r="1145">
      <c r="A1145" s="125" t="s">
        <v>1976</v>
      </c>
      <c r="B1145" s="125" t="s">
        <v>1977</v>
      </c>
      <c r="C1145" s="126">
        <v>6.86036581E8</v>
      </c>
    </row>
    <row r="1146">
      <c r="A1146" s="125" t="s">
        <v>1978</v>
      </c>
      <c r="B1146" s="125" t="s">
        <v>1979</v>
      </c>
      <c r="C1146" s="126">
        <v>6.8569674E8</v>
      </c>
    </row>
    <row r="1147">
      <c r="A1147" s="125" t="s">
        <v>1980</v>
      </c>
      <c r="B1147" s="125" t="s">
        <v>1981</v>
      </c>
      <c r="C1147" s="126">
        <v>6.85202327E8</v>
      </c>
    </row>
    <row r="1148">
      <c r="A1148" s="125" t="s">
        <v>1982</v>
      </c>
      <c r="B1148" s="125" t="s">
        <v>1983</v>
      </c>
      <c r="C1148" s="126">
        <v>6.83443877E8</v>
      </c>
    </row>
    <row r="1149">
      <c r="A1149" s="125" t="s">
        <v>1984</v>
      </c>
      <c r="B1149" s="125" t="s">
        <v>1985</v>
      </c>
      <c r="C1149" s="126">
        <v>6.81183898E8</v>
      </c>
    </row>
    <row r="1150">
      <c r="A1150" s="125" t="s">
        <v>1986</v>
      </c>
      <c r="B1150" s="125" t="s">
        <v>1987</v>
      </c>
      <c r="C1150" s="126">
        <v>6.808674E8</v>
      </c>
    </row>
    <row r="1151">
      <c r="A1151" s="125" t="s">
        <v>1988</v>
      </c>
      <c r="B1151" s="125" t="s">
        <v>1989</v>
      </c>
      <c r="C1151" s="126">
        <v>6.80123309E8</v>
      </c>
    </row>
    <row r="1152">
      <c r="A1152" s="125" t="s">
        <v>1990</v>
      </c>
      <c r="B1152" s="125" t="s">
        <v>1991</v>
      </c>
      <c r="C1152" s="126">
        <v>6.79727084E8</v>
      </c>
    </row>
    <row r="1153">
      <c r="A1153" s="125" t="s">
        <v>1992</v>
      </c>
      <c r="B1153" s="125" t="s">
        <v>1993</v>
      </c>
      <c r="C1153" s="126">
        <v>6.79441066E8</v>
      </c>
    </row>
    <row r="1154">
      <c r="A1154" s="125" t="s">
        <v>1994</v>
      </c>
      <c r="B1154" s="125" t="s">
        <v>1995</v>
      </c>
      <c r="C1154" s="126">
        <v>6.78987714E8</v>
      </c>
    </row>
    <row r="1155">
      <c r="A1155" s="125" t="s">
        <v>1996</v>
      </c>
      <c r="B1155" s="125" t="s">
        <v>1997</v>
      </c>
      <c r="C1155" s="126">
        <v>6.78302003E8</v>
      </c>
    </row>
    <row r="1156">
      <c r="A1156" s="125" t="s">
        <v>1998</v>
      </c>
      <c r="B1156" s="125" t="s">
        <v>1999</v>
      </c>
      <c r="C1156" s="126">
        <v>6.77307968E8</v>
      </c>
    </row>
    <row r="1157">
      <c r="A1157" s="125" t="s">
        <v>2000</v>
      </c>
      <c r="B1157" s="125" t="s">
        <v>2001</v>
      </c>
      <c r="C1157" s="126">
        <v>6.76348755E8</v>
      </c>
    </row>
    <row r="1158">
      <c r="A1158" s="125" t="s">
        <v>2002</v>
      </c>
      <c r="B1158" s="125" t="s">
        <v>2003</v>
      </c>
      <c r="C1158" s="126">
        <v>6.76052562E8</v>
      </c>
    </row>
    <row r="1159">
      <c r="A1159" s="125" t="s">
        <v>2004</v>
      </c>
      <c r="B1159" s="125" t="s">
        <v>2005</v>
      </c>
      <c r="C1159" s="126">
        <v>6.74589089E8</v>
      </c>
    </row>
    <row r="1160">
      <c r="A1160" s="125" t="s">
        <v>2006</v>
      </c>
      <c r="B1160" s="125" t="s">
        <v>2007</v>
      </c>
      <c r="C1160" s="126">
        <v>6.73511279E8</v>
      </c>
    </row>
    <row r="1161">
      <c r="A1161" s="125" t="s">
        <v>2008</v>
      </c>
      <c r="B1161" s="125" t="s">
        <v>2009</v>
      </c>
      <c r="C1161" s="126">
        <v>6.73076158E8</v>
      </c>
    </row>
    <row r="1162">
      <c r="A1162" s="125" t="s">
        <v>2010</v>
      </c>
      <c r="B1162" s="125" t="s">
        <v>2011</v>
      </c>
      <c r="C1162" s="126">
        <v>6.7286098E8</v>
      </c>
    </row>
    <row r="1163">
      <c r="A1163" s="125" t="s">
        <v>2012</v>
      </c>
      <c r="B1163" s="125" t="s">
        <v>2013</v>
      </c>
      <c r="C1163" s="126">
        <v>6.71638143E8</v>
      </c>
    </row>
    <row r="1164">
      <c r="A1164" s="125" t="s">
        <v>2014</v>
      </c>
      <c r="B1164" s="125" t="s">
        <v>2015</v>
      </c>
      <c r="C1164" s="126">
        <v>6.71096542E8</v>
      </c>
    </row>
    <row r="1165">
      <c r="A1165" s="125" t="s">
        <v>2016</v>
      </c>
      <c r="B1165" s="125" t="s">
        <v>2017</v>
      </c>
      <c r="C1165" s="126">
        <v>6.7049224E8</v>
      </c>
    </row>
    <row r="1166">
      <c r="A1166" s="125" t="s">
        <v>2018</v>
      </c>
      <c r="B1166" s="125" t="s">
        <v>2019</v>
      </c>
      <c r="C1166" s="126">
        <v>6.69885881E8</v>
      </c>
    </row>
    <row r="1167">
      <c r="A1167" s="125" t="s">
        <v>2020</v>
      </c>
      <c r="B1167" s="125" t="s">
        <v>2021</v>
      </c>
      <c r="C1167" s="126">
        <v>6.69527808E8</v>
      </c>
    </row>
    <row r="1168">
      <c r="A1168" s="125" t="s">
        <v>2022</v>
      </c>
      <c r="B1168" s="125" t="s">
        <v>2023</v>
      </c>
      <c r="C1168" s="126">
        <v>6.67788392E8</v>
      </c>
    </row>
    <row r="1169">
      <c r="A1169" s="125" t="s">
        <v>2024</v>
      </c>
      <c r="B1169" s="125" t="s">
        <v>2025</v>
      </c>
      <c r="C1169" s="126">
        <v>6.66914276E8</v>
      </c>
    </row>
    <row r="1170">
      <c r="A1170" s="125" t="s">
        <v>2026</v>
      </c>
      <c r="B1170" s="125" t="s">
        <v>2027</v>
      </c>
      <c r="C1170" s="126">
        <v>6.66637146E8</v>
      </c>
    </row>
    <row r="1171">
      <c r="A1171" s="125" t="s">
        <v>2028</v>
      </c>
      <c r="B1171" s="125" t="s">
        <v>2029</v>
      </c>
      <c r="C1171" s="126">
        <v>6.66366036E8</v>
      </c>
    </row>
    <row r="1172">
      <c r="A1172" s="125" t="s">
        <v>2030</v>
      </c>
      <c r="B1172" s="125" t="s">
        <v>2031</v>
      </c>
      <c r="C1172" s="126">
        <v>6.65828519E8</v>
      </c>
    </row>
    <row r="1173">
      <c r="A1173" s="125" t="s">
        <v>2032</v>
      </c>
      <c r="B1173" s="125" t="s">
        <v>2033</v>
      </c>
      <c r="C1173" s="126">
        <v>6.65791029E8</v>
      </c>
    </row>
    <row r="1174">
      <c r="A1174" s="125" t="s">
        <v>2034</v>
      </c>
      <c r="B1174" s="125" t="s">
        <v>2035</v>
      </c>
      <c r="C1174" s="126">
        <v>6.61909363E8</v>
      </c>
    </row>
    <row r="1175">
      <c r="A1175" s="125" t="s">
        <v>2036</v>
      </c>
      <c r="B1175" s="125" t="s">
        <v>2037</v>
      </c>
      <c r="C1175" s="126">
        <v>6.61850061E8</v>
      </c>
    </row>
    <row r="1176">
      <c r="A1176" s="125" t="s">
        <v>2038</v>
      </c>
      <c r="B1176" s="125" t="s">
        <v>2039</v>
      </c>
      <c r="C1176" s="126">
        <v>6.60064443E8</v>
      </c>
    </row>
    <row r="1177">
      <c r="A1177" s="125" t="s">
        <v>2040</v>
      </c>
      <c r="B1177" s="125" t="s">
        <v>2041</v>
      </c>
      <c r="C1177" s="126">
        <v>6.59940821E8</v>
      </c>
    </row>
    <row r="1178">
      <c r="A1178" s="125" t="s">
        <v>2042</v>
      </c>
      <c r="B1178" s="125" t="s">
        <v>2043</v>
      </c>
      <c r="C1178" s="126">
        <v>6.57800605E8</v>
      </c>
    </row>
    <row r="1179">
      <c r="A1179" s="125" t="s">
        <v>2044</v>
      </c>
      <c r="B1179" s="125" t="s">
        <v>2045</v>
      </c>
      <c r="C1179" s="126">
        <v>6.55801344E8</v>
      </c>
    </row>
    <row r="1180">
      <c r="A1180" s="125" t="s">
        <v>2046</v>
      </c>
      <c r="B1180" s="125" t="s">
        <v>2047</v>
      </c>
      <c r="C1180" s="126">
        <v>6.54886902E8</v>
      </c>
    </row>
    <row r="1181">
      <c r="A1181" s="125" t="s">
        <v>2048</v>
      </c>
      <c r="B1181" s="125" t="s">
        <v>2049</v>
      </c>
      <c r="C1181" s="126">
        <v>6.53586505E8</v>
      </c>
    </row>
    <row r="1182">
      <c r="A1182" s="125" t="s">
        <v>2050</v>
      </c>
      <c r="B1182" s="125" t="s">
        <v>2051</v>
      </c>
      <c r="C1182" s="126">
        <v>6.53463443E8</v>
      </c>
    </row>
    <row r="1183">
      <c r="A1183" s="125" t="s">
        <v>2052</v>
      </c>
      <c r="B1183" s="125" t="s">
        <v>2053</v>
      </c>
      <c r="C1183" s="126">
        <v>6.53332793E8</v>
      </c>
    </row>
    <row r="1184">
      <c r="A1184" s="125" t="s">
        <v>2054</v>
      </c>
      <c r="B1184" s="125" t="s">
        <v>2055</v>
      </c>
      <c r="C1184" s="126">
        <v>6.53305426E8</v>
      </c>
    </row>
    <row r="1185">
      <c r="A1185" s="125" t="s">
        <v>2056</v>
      </c>
      <c r="B1185" s="125" t="s">
        <v>2057</v>
      </c>
      <c r="C1185" s="126">
        <v>6.53260257E8</v>
      </c>
    </row>
    <row r="1186">
      <c r="A1186" s="125" t="s">
        <v>2058</v>
      </c>
      <c r="B1186" s="125" t="s">
        <v>2059</v>
      </c>
      <c r="C1186" s="126">
        <v>6.51448532E8</v>
      </c>
    </row>
    <row r="1187">
      <c r="A1187" s="125" t="s">
        <v>2060</v>
      </c>
      <c r="B1187" s="125" t="s">
        <v>2061</v>
      </c>
      <c r="C1187" s="126">
        <v>6.50106116E8</v>
      </c>
    </row>
    <row r="1188">
      <c r="A1188" s="125" t="s">
        <v>2062</v>
      </c>
      <c r="B1188" s="125" t="s">
        <v>2063</v>
      </c>
      <c r="C1188" s="126">
        <v>6.49970404E8</v>
      </c>
    </row>
    <row r="1189">
      <c r="A1189" s="125" t="s">
        <v>2064</v>
      </c>
      <c r="B1189" s="125" t="s">
        <v>2065</v>
      </c>
      <c r="C1189" s="126">
        <v>6.44957947E8</v>
      </c>
    </row>
    <row r="1190">
      <c r="A1190" s="125" t="s">
        <v>2066</v>
      </c>
      <c r="B1190" s="125" t="s">
        <v>2067</v>
      </c>
      <c r="C1190" s="126">
        <v>6.44557208E8</v>
      </c>
    </row>
    <row r="1191">
      <c r="A1191" s="125" t="s">
        <v>2068</v>
      </c>
      <c r="B1191" s="125" t="s">
        <v>2069</v>
      </c>
      <c r="C1191" s="126">
        <v>6.4275839E8</v>
      </c>
    </row>
    <row r="1192">
      <c r="A1192" s="125" t="s">
        <v>2070</v>
      </c>
      <c r="B1192" s="125" t="s">
        <v>2071</v>
      </c>
      <c r="C1192" s="126">
        <v>6.38501022E8</v>
      </c>
    </row>
    <row r="1193">
      <c r="A1193" s="125" t="s">
        <v>2072</v>
      </c>
      <c r="B1193" s="125" t="s">
        <v>2073</v>
      </c>
      <c r="C1193" s="126">
        <v>6.3790102E8</v>
      </c>
    </row>
    <row r="1194">
      <c r="A1194" s="125" t="s">
        <v>2074</v>
      </c>
      <c r="B1194" s="125" t="s">
        <v>2075</v>
      </c>
      <c r="C1194" s="126">
        <v>6.36053942E8</v>
      </c>
    </row>
    <row r="1195">
      <c r="A1195" s="125" t="s">
        <v>2076</v>
      </c>
      <c r="B1195" s="125" t="s">
        <v>2077</v>
      </c>
      <c r="C1195" s="126">
        <v>6.33041103E8</v>
      </c>
    </row>
    <row r="1196">
      <c r="A1196" s="125" t="s">
        <v>2078</v>
      </c>
      <c r="B1196" s="125" t="s">
        <v>2079</v>
      </c>
      <c r="C1196" s="126">
        <v>6.32944621E8</v>
      </c>
    </row>
    <row r="1197">
      <c r="A1197" s="125" t="s">
        <v>2080</v>
      </c>
      <c r="B1197" s="125" t="s">
        <v>2081</v>
      </c>
      <c r="C1197" s="126">
        <v>6.31224511E8</v>
      </c>
    </row>
    <row r="1198">
      <c r="A1198" s="125" t="s">
        <v>2082</v>
      </c>
      <c r="B1198" s="125" t="s">
        <v>2083</v>
      </c>
      <c r="C1198" s="126">
        <v>6.3121325E8</v>
      </c>
    </row>
    <row r="1199">
      <c r="A1199" s="125" t="s">
        <v>2084</v>
      </c>
      <c r="B1199" s="125" t="s">
        <v>2085</v>
      </c>
      <c r="C1199" s="126">
        <v>6.29687463E8</v>
      </c>
    </row>
    <row r="1200">
      <c r="A1200" s="125" t="s">
        <v>2086</v>
      </c>
      <c r="B1200" s="125" t="s">
        <v>2087</v>
      </c>
      <c r="C1200" s="126">
        <v>6.29116049E8</v>
      </c>
    </row>
    <row r="1201">
      <c r="A1201" s="125" t="s">
        <v>2088</v>
      </c>
      <c r="B1201" s="125" t="s">
        <v>2089</v>
      </c>
      <c r="C1201" s="126">
        <v>6.29031056E8</v>
      </c>
    </row>
    <row r="1202">
      <c r="A1202" s="125" t="s">
        <v>2090</v>
      </c>
      <c r="B1202" s="125" t="s">
        <v>2091</v>
      </c>
      <c r="C1202" s="126">
        <v>6.26962469E8</v>
      </c>
    </row>
    <row r="1203">
      <c r="A1203" s="125" t="s">
        <v>2092</v>
      </c>
      <c r="B1203" s="125" t="s">
        <v>2093</v>
      </c>
      <c r="C1203" s="126">
        <v>6.24984574E8</v>
      </c>
    </row>
    <row r="1204">
      <c r="A1204" s="125" t="s">
        <v>2094</v>
      </c>
      <c r="B1204" s="125" t="s">
        <v>2095</v>
      </c>
      <c r="C1204" s="126">
        <v>6.2363338E8</v>
      </c>
    </row>
    <row r="1205">
      <c r="A1205" s="125" t="s">
        <v>2096</v>
      </c>
      <c r="B1205" s="125" t="s">
        <v>2097</v>
      </c>
      <c r="C1205" s="126">
        <v>6.21879231E8</v>
      </c>
    </row>
    <row r="1206">
      <c r="A1206" s="125" t="s">
        <v>2098</v>
      </c>
      <c r="B1206" s="125" t="s">
        <v>2099</v>
      </c>
      <c r="C1206" s="126">
        <v>6.20592514E8</v>
      </c>
    </row>
    <row r="1207">
      <c r="A1207" s="125" t="s">
        <v>2100</v>
      </c>
      <c r="B1207" s="125" t="s">
        <v>2101</v>
      </c>
      <c r="C1207" s="126">
        <v>6.20535963E8</v>
      </c>
    </row>
    <row r="1208">
      <c r="A1208" s="125" t="s">
        <v>2102</v>
      </c>
      <c r="B1208" s="125" t="s">
        <v>2103</v>
      </c>
      <c r="C1208" s="126">
        <v>6.20189153E8</v>
      </c>
    </row>
    <row r="1209">
      <c r="A1209" s="125" t="s">
        <v>2104</v>
      </c>
      <c r="B1209" s="125" t="s">
        <v>2105</v>
      </c>
      <c r="C1209" s="126">
        <v>6.19439299E8</v>
      </c>
    </row>
    <row r="1210">
      <c r="A1210" s="125" t="s">
        <v>2106</v>
      </c>
      <c r="B1210" s="125" t="s">
        <v>2107</v>
      </c>
      <c r="C1210" s="126">
        <v>6.18040456E8</v>
      </c>
    </row>
    <row r="1211">
      <c r="A1211" s="125" t="s">
        <v>2108</v>
      </c>
      <c r="B1211" s="125" t="s">
        <v>2109</v>
      </c>
      <c r="C1211" s="126">
        <v>6.17687834E8</v>
      </c>
    </row>
    <row r="1212">
      <c r="A1212" s="125" t="s">
        <v>2110</v>
      </c>
      <c r="B1212" s="125" t="s">
        <v>2111</v>
      </c>
      <c r="C1212" s="126">
        <v>6.17454767E8</v>
      </c>
    </row>
    <row r="1213">
      <c r="A1213" s="125" t="s">
        <v>2112</v>
      </c>
      <c r="B1213" s="125" t="s">
        <v>2113</v>
      </c>
      <c r="C1213" s="126">
        <v>6.17414897E8</v>
      </c>
    </row>
    <row r="1214">
      <c r="A1214" s="125" t="s">
        <v>2114</v>
      </c>
      <c r="B1214" s="125" t="s">
        <v>2115</v>
      </c>
      <c r="C1214" s="126">
        <v>6.17366824E8</v>
      </c>
    </row>
    <row r="1215">
      <c r="A1215" s="125" t="s">
        <v>2116</v>
      </c>
      <c r="B1215" s="125" t="s">
        <v>2117</v>
      </c>
      <c r="C1215" s="126">
        <v>6.16715334E8</v>
      </c>
    </row>
    <row r="1216">
      <c r="A1216" s="125" t="s">
        <v>2118</v>
      </c>
      <c r="B1216" s="125" t="s">
        <v>2119</v>
      </c>
      <c r="C1216" s="126">
        <v>6.16176701E8</v>
      </c>
    </row>
    <row r="1217">
      <c r="A1217" s="125" t="s">
        <v>2120</v>
      </c>
      <c r="B1217" s="125" t="s">
        <v>2121</v>
      </c>
      <c r="C1217" s="126">
        <v>6.16169653E8</v>
      </c>
    </row>
    <row r="1218">
      <c r="A1218" s="125" t="s">
        <v>2122</v>
      </c>
      <c r="B1218" s="125" t="s">
        <v>2123</v>
      </c>
      <c r="C1218" s="126">
        <v>6.15600613E8</v>
      </c>
    </row>
    <row r="1219">
      <c r="A1219" s="125" t="s">
        <v>2124</v>
      </c>
      <c r="B1219" s="125" t="s">
        <v>2125</v>
      </c>
      <c r="C1219" s="126">
        <v>6.13661281E8</v>
      </c>
    </row>
    <row r="1220">
      <c r="A1220" s="125" t="s">
        <v>2126</v>
      </c>
      <c r="B1220" s="125" t="s">
        <v>2127</v>
      </c>
      <c r="C1220" s="126">
        <v>6.13515471E8</v>
      </c>
    </row>
    <row r="1221">
      <c r="A1221" s="125" t="s">
        <v>2128</v>
      </c>
      <c r="B1221" s="125" t="s">
        <v>2129</v>
      </c>
      <c r="C1221" s="126">
        <v>6.1326562E8</v>
      </c>
    </row>
    <row r="1222">
      <c r="A1222" s="125" t="s">
        <v>2130</v>
      </c>
      <c r="B1222" s="125" t="s">
        <v>2131</v>
      </c>
      <c r="C1222" s="126">
        <v>6.11614629E8</v>
      </c>
    </row>
    <row r="1223">
      <c r="A1223" s="125" t="s">
        <v>2132</v>
      </c>
      <c r="B1223" s="125" t="s">
        <v>2133</v>
      </c>
      <c r="C1223" s="126">
        <v>6.10899646E8</v>
      </c>
    </row>
    <row r="1224">
      <c r="A1224" s="125" t="s">
        <v>2134</v>
      </c>
      <c r="B1224" s="125" t="s">
        <v>2135</v>
      </c>
      <c r="C1224" s="126">
        <v>6.10409249E8</v>
      </c>
    </row>
    <row r="1225">
      <c r="A1225" s="125" t="s">
        <v>2136</v>
      </c>
      <c r="B1225" s="125" t="s">
        <v>2137</v>
      </c>
      <c r="C1225" s="126">
        <v>6.09673562E8</v>
      </c>
    </row>
    <row r="1226">
      <c r="A1226" s="125" t="s">
        <v>2138</v>
      </c>
      <c r="B1226" s="125" t="s">
        <v>2139</v>
      </c>
      <c r="C1226" s="126">
        <v>6.09363872E8</v>
      </c>
    </row>
    <row r="1227">
      <c r="A1227" s="125" t="s">
        <v>2140</v>
      </c>
      <c r="B1227" s="125" t="s">
        <v>2141</v>
      </c>
      <c r="C1227" s="126">
        <v>6.08905775E8</v>
      </c>
    </row>
    <row r="1228">
      <c r="A1228" s="125" t="s">
        <v>2142</v>
      </c>
      <c r="B1228" s="125" t="s">
        <v>2143</v>
      </c>
      <c r="C1228" s="126">
        <v>6.07216955E8</v>
      </c>
    </row>
    <row r="1229">
      <c r="A1229" s="125" t="s">
        <v>2144</v>
      </c>
      <c r="B1229" s="125" t="s">
        <v>2145</v>
      </c>
      <c r="C1229" s="126">
        <v>6.04817838E8</v>
      </c>
    </row>
    <row r="1230">
      <c r="A1230" s="125" t="s">
        <v>2146</v>
      </c>
      <c r="B1230" s="125" t="s">
        <v>2147</v>
      </c>
      <c r="C1230" s="126">
        <v>6.02611718E8</v>
      </c>
    </row>
    <row r="1231">
      <c r="A1231" s="125" t="s">
        <v>2148</v>
      </c>
      <c r="B1231" s="125" t="s">
        <v>2149</v>
      </c>
      <c r="C1231" s="126">
        <v>6.02402907E8</v>
      </c>
    </row>
    <row r="1232">
      <c r="A1232" s="125" t="s">
        <v>2150</v>
      </c>
      <c r="B1232" s="125" t="s">
        <v>2151</v>
      </c>
      <c r="C1232" s="126">
        <v>6.01813956E8</v>
      </c>
    </row>
    <row r="1233">
      <c r="A1233" s="125" t="s">
        <v>2152</v>
      </c>
      <c r="B1233" s="125" t="s">
        <v>2153</v>
      </c>
      <c r="C1233" s="126">
        <v>6.01047753E8</v>
      </c>
    </row>
    <row r="1234">
      <c r="A1234" s="125" t="s">
        <v>2154</v>
      </c>
      <c r="B1234" s="125" t="s">
        <v>2155</v>
      </c>
      <c r="C1234" s="126">
        <v>5.98669258E8</v>
      </c>
    </row>
    <row r="1235">
      <c r="A1235" s="125" t="s">
        <v>2156</v>
      </c>
      <c r="B1235" s="125" t="s">
        <v>2157</v>
      </c>
      <c r="C1235" s="126">
        <v>5.98605865E8</v>
      </c>
    </row>
    <row r="1236">
      <c r="A1236" s="125" t="s">
        <v>2158</v>
      </c>
      <c r="B1236" s="125" t="s">
        <v>2159</v>
      </c>
      <c r="C1236" s="126">
        <v>5.98024191E8</v>
      </c>
    </row>
    <row r="1237">
      <c r="A1237" s="125" t="s">
        <v>2160</v>
      </c>
      <c r="B1237" s="125" t="s">
        <v>2161</v>
      </c>
      <c r="C1237" s="126">
        <v>5.974208E8</v>
      </c>
    </row>
    <row r="1238">
      <c r="A1238" s="125" t="s">
        <v>2162</v>
      </c>
      <c r="B1238" s="125" t="s">
        <v>2163</v>
      </c>
      <c r="C1238" s="126">
        <v>5.97394617E8</v>
      </c>
    </row>
    <row r="1239">
      <c r="A1239" s="125" t="s">
        <v>2164</v>
      </c>
      <c r="B1239" s="125" t="s">
        <v>2165</v>
      </c>
      <c r="C1239" s="126">
        <v>5.96167839E8</v>
      </c>
    </row>
    <row r="1240">
      <c r="A1240" s="125" t="s">
        <v>2166</v>
      </c>
      <c r="B1240" s="125" t="s">
        <v>2167</v>
      </c>
      <c r="C1240" s="126">
        <v>5.95947449E8</v>
      </c>
    </row>
    <row r="1241">
      <c r="A1241" s="125" t="s">
        <v>2168</v>
      </c>
      <c r="B1241" s="125" t="s">
        <v>2169</v>
      </c>
      <c r="C1241" s="126">
        <v>5.94906218E8</v>
      </c>
    </row>
    <row r="1242">
      <c r="A1242" s="125" t="s">
        <v>2170</v>
      </c>
      <c r="B1242" s="125" t="s">
        <v>2171</v>
      </c>
      <c r="C1242" s="126">
        <v>5.94566058E8</v>
      </c>
    </row>
    <row r="1243">
      <c r="A1243" s="125" t="s">
        <v>2172</v>
      </c>
      <c r="B1243" s="125" t="s">
        <v>2173</v>
      </c>
      <c r="C1243" s="126">
        <v>5.94093899E8</v>
      </c>
    </row>
    <row r="1244">
      <c r="A1244" s="125" t="s">
        <v>2174</v>
      </c>
      <c r="B1244" s="125" t="s">
        <v>2175</v>
      </c>
      <c r="C1244" s="126">
        <v>5.93048015E8</v>
      </c>
    </row>
    <row r="1245">
      <c r="A1245" s="125" t="s">
        <v>2176</v>
      </c>
      <c r="B1245" s="125" t="s">
        <v>2177</v>
      </c>
      <c r="C1245" s="126">
        <v>5.92984948E8</v>
      </c>
    </row>
    <row r="1246">
      <c r="A1246" s="125" t="s">
        <v>2178</v>
      </c>
      <c r="B1246" s="125" t="s">
        <v>2179</v>
      </c>
      <c r="C1246" s="126">
        <v>5.92621782E8</v>
      </c>
    </row>
    <row r="1247">
      <c r="A1247" s="125" t="s">
        <v>2180</v>
      </c>
      <c r="B1247" s="125" t="s">
        <v>2181</v>
      </c>
      <c r="C1247" s="126">
        <v>5.92165922E8</v>
      </c>
    </row>
    <row r="1248">
      <c r="A1248" s="125" t="s">
        <v>2182</v>
      </c>
      <c r="B1248" s="125" t="s">
        <v>2183</v>
      </c>
      <c r="C1248" s="126">
        <v>5.91982023E8</v>
      </c>
    </row>
    <row r="1249">
      <c r="A1249" s="125" t="s">
        <v>2184</v>
      </c>
      <c r="B1249" s="125" t="s">
        <v>2185</v>
      </c>
      <c r="C1249" s="126">
        <v>5.91217127E8</v>
      </c>
    </row>
    <row r="1250">
      <c r="A1250" s="125" t="s">
        <v>2186</v>
      </c>
      <c r="B1250" s="125" t="s">
        <v>2187</v>
      </c>
      <c r="C1250" s="126">
        <v>5.90645028E8</v>
      </c>
    </row>
    <row r="1251">
      <c r="A1251" s="125" t="s">
        <v>2188</v>
      </c>
      <c r="B1251" s="125" t="s">
        <v>2189</v>
      </c>
      <c r="C1251" s="126">
        <v>5.8944281E8</v>
      </c>
    </row>
    <row r="1252">
      <c r="A1252" s="125" t="s">
        <v>2190</v>
      </c>
      <c r="B1252" s="125" t="s">
        <v>2191</v>
      </c>
      <c r="C1252" s="126">
        <v>5.88939292E8</v>
      </c>
    </row>
    <row r="1253">
      <c r="A1253" s="125" t="s">
        <v>2192</v>
      </c>
      <c r="B1253" s="125" t="s">
        <v>2193</v>
      </c>
      <c r="C1253" s="126">
        <v>5.86486098E8</v>
      </c>
    </row>
    <row r="1254">
      <c r="A1254" s="125" t="s">
        <v>2194</v>
      </c>
      <c r="B1254" s="125" t="s">
        <v>2195</v>
      </c>
      <c r="C1254" s="126">
        <v>5.84261365E8</v>
      </c>
    </row>
    <row r="1255">
      <c r="A1255" s="125" t="s">
        <v>2196</v>
      </c>
      <c r="B1255" s="125" t="s">
        <v>2197</v>
      </c>
      <c r="C1255" s="126">
        <v>5.83870399E8</v>
      </c>
    </row>
    <row r="1256">
      <c r="A1256" s="125" t="s">
        <v>2198</v>
      </c>
      <c r="B1256" s="125" t="s">
        <v>2199</v>
      </c>
      <c r="C1256" s="126">
        <v>5.80839546E8</v>
      </c>
    </row>
    <row r="1257">
      <c r="A1257" s="125" t="s">
        <v>2200</v>
      </c>
      <c r="B1257" s="125" t="s">
        <v>2201</v>
      </c>
      <c r="C1257" s="126">
        <v>5.79906961E8</v>
      </c>
    </row>
    <row r="1258">
      <c r="A1258" s="125" t="s">
        <v>2202</v>
      </c>
      <c r="B1258" s="125" t="s">
        <v>2203</v>
      </c>
      <c r="C1258" s="126">
        <v>5.76352321E8</v>
      </c>
    </row>
    <row r="1259">
      <c r="A1259" s="125" t="s">
        <v>2204</v>
      </c>
      <c r="B1259" s="125" t="s">
        <v>2205</v>
      </c>
      <c r="C1259" s="126">
        <v>5.75301112E8</v>
      </c>
    </row>
    <row r="1260">
      <c r="A1260" s="125" t="s">
        <v>2206</v>
      </c>
      <c r="B1260" s="125" t="s">
        <v>2207</v>
      </c>
      <c r="C1260" s="126">
        <v>5.74475052E8</v>
      </c>
    </row>
    <row r="1261">
      <c r="A1261" s="125" t="s">
        <v>2208</v>
      </c>
      <c r="B1261" s="125" t="s">
        <v>2209</v>
      </c>
      <c r="C1261" s="126">
        <v>5.74463194E8</v>
      </c>
    </row>
    <row r="1262">
      <c r="A1262" s="125" t="s">
        <v>2210</v>
      </c>
      <c r="B1262" s="125" t="s">
        <v>2211</v>
      </c>
      <c r="C1262" s="126">
        <v>5.7416084E8</v>
      </c>
    </row>
    <row r="1263">
      <c r="A1263" s="125" t="s">
        <v>2212</v>
      </c>
      <c r="B1263" s="125" t="s">
        <v>2213</v>
      </c>
      <c r="C1263" s="126">
        <v>5.73378433E8</v>
      </c>
    </row>
    <row r="1264">
      <c r="A1264" s="125" t="s">
        <v>2214</v>
      </c>
      <c r="B1264" s="125" t="s">
        <v>2215</v>
      </c>
      <c r="C1264" s="126">
        <v>5.72658224E8</v>
      </c>
    </row>
    <row r="1265">
      <c r="A1265" s="125" t="s">
        <v>2216</v>
      </c>
      <c r="B1265" s="125" t="s">
        <v>2217</v>
      </c>
      <c r="C1265" s="126">
        <v>5.72500127E8</v>
      </c>
    </row>
    <row r="1266">
      <c r="A1266" s="125" t="s">
        <v>2218</v>
      </c>
      <c r="B1266" s="125" t="s">
        <v>2219</v>
      </c>
      <c r="C1266" s="126">
        <v>5.66746715E8</v>
      </c>
    </row>
    <row r="1267">
      <c r="A1267" s="125" t="s">
        <v>2220</v>
      </c>
      <c r="B1267" s="125" t="s">
        <v>2221</v>
      </c>
      <c r="C1267" s="126">
        <v>5.6636025E8</v>
      </c>
    </row>
    <row r="1268">
      <c r="A1268" s="125" t="s">
        <v>2222</v>
      </c>
      <c r="B1268" s="125" t="s">
        <v>2223</v>
      </c>
      <c r="C1268" s="126">
        <v>5.62781716E8</v>
      </c>
    </row>
    <row r="1269">
      <c r="A1269" s="125" t="s">
        <v>2224</v>
      </c>
      <c r="B1269" s="125" t="s">
        <v>2225</v>
      </c>
      <c r="C1269" s="126">
        <v>5.62105885E8</v>
      </c>
    </row>
    <row r="1270">
      <c r="A1270" s="125" t="s">
        <v>2226</v>
      </c>
      <c r="B1270" s="125" t="s">
        <v>2227</v>
      </c>
      <c r="C1270" s="126">
        <v>5.59163154E8</v>
      </c>
    </row>
    <row r="1271">
      <c r="A1271" s="125" t="s">
        <v>2228</v>
      </c>
      <c r="B1271" s="125" t="s">
        <v>2229</v>
      </c>
      <c r="C1271" s="126">
        <v>5.58617E8</v>
      </c>
    </row>
    <row r="1272">
      <c r="A1272" s="125" t="s">
        <v>2230</v>
      </c>
      <c r="B1272" s="125" t="s">
        <v>2231</v>
      </c>
      <c r="C1272" s="126">
        <v>5.57289222E8</v>
      </c>
    </row>
    <row r="1273">
      <c r="A1273" s="125" t="s">
        <v>2232</v>
      </c>
      <c r="B1273" s="125" t="s">
        <v>2233</v>
      </c>
      <c r="C1273" s="126">
        <v>5.55960074E8</v>
      </c>
    </row>
    <row r="1274">
      <c r="A1274" s="125" t="s">
        <v>2234</v>
      </c>
      <c r="B1274" s="125" t="s">
        <v>2235</v>
      </c>
      <c r="C1274" s="126">
        <v>5.54526612E8</v>
      </c>
    </row>
    <row r="1275">
      <c r="A1275" s="125" t="s">
        <v>2236</v>
      </c>
      <c r="B1275" s="125" t="s">
        <v>2237</v>
      </c>
      <c r="C1275" s="126">
        <v>5.51965654E8</v>
      </c>
    </row>
    <row r="1276">
      <c r="A1276" s="125" t="s">
        <v>2238</v>
      </c>
      <c r="B1276" s="125" t="s">
        <v>2239</v>
      </c>
      <c r="C1276" s="126">
        <v>5.51954952E8</v>
      </c>
    </row>
    <row r="1277">
      <c r="A1277" s="125" t="s">
        <v>2240</v>
      </c>
      <c r="B1277" s="125" t="s">
        <v>2241</v>
      </c>
      <c r="C1277" s="126">
        <v>5.51778441E8</v>
      </c>
    </row>
    <row r="1278">
      <c r="A1278" s="125" t="s">
        <v>2242</v>
      </c>
      <c r="B1278" s="125" t="s">
        <v>2243</v>
      </c>
      <c r="C1278" s="126">
        <v>5.51566547E8</v>
      </c>
    </row>
    <row r="1279">
      <c r="A1279" s="125" t="s">
        <v>2244</v>
      </c>
      <c r="B1279" s="125" t="s">
        <v>2245</v>
      </c>
      <c r="C1279" s="126">
        <v>5.51047082E8</v>
      </c>
    </row>
    <row r="1280">
      <c r="A1280" s="125" t="s">
        <v>2246</v>
      </c>
      <c r="B1280" s="125" t="s">
        <v>2247</v>
      </c>
      <c r="C1280" s="126">
        <v>5.50637134E8</v>
      </c>
    </row>
    <row r="1281">
      <c r="A1281" s="125" t="s">
        <v>2248</v>
      </c>
      <c r="B1281" s="125" t="s">
        <v>2249</v>
      </c>
      <c r="C1281" s="126">
        <v>5.47513382E8</v>
      </c>
    </row>
    <row r="1282">
      <c r="A1282" s="125" t="s">
        <v>2250</v>
      </c>
      <c r="B1282" s="125" t="s">
        <v>2251</v>
      </c>
      <c r="C1282" s="126">
        <v>5.46747443E8</v>
      </c>
    </row>
    <row r="1283">
      <c r="A1283" s="125" t="s">
        <v>2252</v>
      </c>
      <c r="B1283" s="125" t="s">
        <v>2253</v>
      </c>
      <c r="C1283" s="126">
        <v>5.45914034E8</v>
      </c>
    </row>
    <row r="1284">
      <c r="A1284" s="125" t="s">
        <v>2254</v>
      </c>
      <c r="B1284" s="125" t="s">
        <v>2255</v>
      </c>
      <c r="C1284" s="126">
        <v>5.45784484E8</v>
      </c>
    </row>
    <row r="1285">
      <c r="A1285" s="125" t="s">
        <v>2256</v>
      </c>
      <c r="B1285" s="125" t="s">
        <v>2257</v>
      </c>
      <c r="C1285" s="126">
        <v>5.4543217E8</v>
      </c>
    </row>
    <row r="1286">
      <c r="A1286" s="125" t="s">
        <v>2258</v>
      </c>
      <c r="B1286" s="125" t="s">
        <v>2259</v>
      </c>
      <c r="C1286" s="126">
        <v>5.44705642E8</v>
      </c>
    </row>
    <row r="1287">
      <c r="A1287" s="125" t="s">
        <v>2260</v>
      </c>
      <c r="B1287" s="125" t="s">
        <v>2261</v>
      </c>
      <c r="C1287" s="126">
        <v>5.44406152E8</v>
      </c>
    </row>
    <row r="1288">
      <c r="A1288" s="125" t="s">
        <v>2262</v>
      </c>
      <c r="B1288" s="125" t="s">
        <v>2263</v>
      </c>
      <c r="C1288" s="126">
        <v>5.42408573E8</v>
      </c>
    </row>
    <row r="1289">
      <c r="A1289" s="125" t="s">
        <v>2264</v>
      </c>
      <c r="B1289" s="125" t="s">
        <v>2265</v>
      </c>
      <c r="C1289" s="126">
        <v>5.4237935E8</v>
      </c>
    </row>
    <row r="1290">
      <c r="A1290" s="125" t="s">
        <v>2266</v>
      </c>
      <c r="B1290" s="125" t="s">
        <v>2267</v>
      </c>
      <c r="C1290" s="126">
        <v>5.41945731E8</v>
      </c>
    </row>
    <row r="1291">
      <c r="A1291" s="125" t="s">
        <v>2268</v>
      </c>
      <c r="B1291" s="125" t="s">
        <v>2269</v>
      </c>
      <c r="C1291" s="126">
        <v>5.39503477E8</v>
      </c>
    </row>
    <row r="1292">
      <c r="A1292" s="125" t="s">
        <v>2270</v>
      </c>
      <c r="B1292" s="125" t="s">
        <v>2271</v>
      </c>
      <c r="C1292" s="126">
        <v>5.38530028E8</v>
      </c>
    </row>
    <row r="1293">
      <c r="A1293" s="125" t="s">
        <v>2272</v>
      </c>
      <c r="B1293" s="125" t="s">
        <v>2273</v>
      </c>
      <c r="C1293" s="126">
        <v>5.37887362E8</v>
      </c>
    </row>
    <row r="1294">
      <c r="A1294" s="125" t="s">
        <v>2274</v>
      </c>
      <c r="B1294" s="125" t="s">
        <v>2275</v>
      </c>
      <c r="C1294" s="126">
        <v>5.36648705E8</v>
      </c>
    </row>
    <row r="1295">
      <c r="A1295" s="125" t="s">
        <v>2276</v>
      </c>
      <c r="B1295" s="125" t="s">
        <v>2277</v>
      </c>
      <c r="C1295" s="126">
        <v>5.34620616E8</v>
      </c>
    </row>
    <row r="1296">
      <c r="A1296" s="125" t="s">
        <v>2278</v>
      </c>
      <c r="B1296" s="125" t="s">
        <v>2279</v>
      </c>
      <c r="C1296" s="126">
        <v>5.33749751E8</v>
      </c>
    </row>
    <row r="1297">
      <c r="A1297" s="125" t="s">
        <v>2280</v>
      </c>
      <c r="B1297" s="125" t="s">
        <v>2281</v>
      </c>
      <c r="C1297" s="126">
        <v>5.33534546E8</v>
      </c>
    </row>
    <row r="1298">
      <c r="A1298" s="125" t="s">
        <v>2282</v>
      </c>
      <c r="B1298" s="125" t="s">
        <v>2283</v>
      </c>
      <c r="C1298" s="126">
        <v>5.32027511E8</v>
      </c>
    </row>
    <row r="1299">
      <c r="A1299" s="125" t="s">
        <v>2284</v>
      </c>
      <c r="B1299" s="125" t="s">
        <v>2285</v>
      </c>
      <c r="C1299" s="126">
        <v>5.31914082E8</v>
      </c>
    </row>
    <row r="1300">
      <c r="A1300" s="125" t="s">
        <v>2286</v>
      </c>
      <c r="B1300" s="125" t="s">
        <v>2287</v>
      </c>
      <c r="C1300" s="126">
        <v>5.31631203E8</v>
      </c>
    </row>
    <row r="1301">
      <c r="A1301" s="125" t="s">
        <v>2288</v>
      </c>
      <c r="B1301" s="125" t="s">
        <v>2289</v>
      </c>
      <c r="C1301" s="126">
        <v>5.31466292E8</v>
      </c>
    </row>
    <row r="1302">
      <c r="A1302" s="125" t="s">
        <v>2290</v>
      </c>
      <c r="B1302" s="125" t="s">
        <v>2291</v>
      </c>
      <c r="C1302" s="126">
        <v>5.31436961E8</v>
      </c>
    </row>
    <row r="1303">
      <c r="A1303" s="125" t="s">
        <v>2292</v>
      </c>
      <c r="B1303" s="125" t="s">
        <v>2293</v>
      </c>
      <c r="C1303" s="126">
        <v>5.31372339E8</v>
      </c>
    </row>
    <row r="1304">
      <c r="A1304" s="125" t="s">
        <v>2294</v>
      </c>
      <c r="B1304" s="125" t="s">
        <v>2295</v>
      </c>
      <c r="C1304" s="126">
        <v>5.31336654E8</v>
      </c>
    </row>
    <row r="1305">
      <c r="A1305" s="125" t="s">
        <v>2296</v>
      </c>
      <c r="B1305" s="125" t="s">
        <v>2297</v>
      </c>
      <c r="C1305" s="126">
        <v>5.30436063E8</v>
      </c>
    </row>
    <row r="1306">
      <c r="A1306" s="125" t="s">
        <v>2298</v>
      </c>
      <c r="B1306" s="125" t="s">
        <v>2299</v>
      </c>
      <c r="C1306" s="126">
        <v>5.30382506E8</v>
      </c>
    </row>
    <row r="1307">
      <c r="A1307" s="125" t="s">
        <v>2300</v>
      </c>
      <c r="B1307" s="125" t="s">
        <v>2301</v>
      </c>
      <c r="C1307" s="126">
        <v>5.30103956E8</v>
      </c>
    </row>
    <row r="1308">
      <c r="A1308" s="125" t="s">
        <v>2302</v>
      </c>
      <c r="B1308" s="125" t="s">
        <v>2303</v>
      </c>
      <c r="C1308" s="126">
        <v>5.30044682E8</v>
      </c>
    </row>
    <row r="1309">
      <c r="A1309" s="125" t="s">
        <v>2304</v>
      </c>
      <c r="B1309" s="125" t="s">
        <v>2305</v>
      </c>
      <c r="C1309" s="126">
        <v>5.29535173E8</v>
      </c>
    </row>
    <row r="1310">
      <c r="A1310" s="125" t="s">
        <v>2306</v>
      </c>
      <c r="B1310" s="125" t="s">
        <v>2307</v>
      </c>
      <c r="C1310" s="126">
        <v>5.28807295E8</v>
      </c>
    </row>
    <row r="1311">
      <c r="A1311" s="125" t="s">
        <v>2308</v>
      </c>
      <c r="B1311" s="125" t="s">
        <v>2309</v>
      </c>
      <c r="C1311" s="126">
        <v>5.28729011E8</v>
      </c>
    </row>
    <row r="1312">
      <c r="A1312" s="125" t="s">
        <v>2310</v>
      </c>
      <c r="B1312" s="125" t="s">
        <v>2311</v>
      </c>
      <c r="C1312" s="126">
        <v>5.26573664E8</v>
      </c>
    </row>
    <row r="1313">
      <c r="A1313" s="125" t="s">
        <v>2312</v>
      </c>
      <c r="B1313" s="125" t="s">
        <v>2313</v>
      </c>
      <c r="C1313" s="126">
        <v>5.26222365E8</v>
      </c>
    </row>
    <row r="1314">
      <c r="A1314" s="125" t="s">
        <v>2314</v>
      </c>
      <c r="B1314" s="125" t="s">
        <v>2315</v>
      </c>
      <c r="C1314" s="126">
        <v>5.25229668E8</v>
      </c>
    </row>
    <row r="1315">
      <c r="A1315" s="125" t="s">
        <v>2316</v>
      </c>
      <c r="B1315" s="125" t="s">
        <v>2317</v>
      </c>
      <c r="C1315" s="126">
        <v>5.24394E8</v>
      </c>
    </row>
    <row r="1316">
      <c r="A1316" s="125" t="s">
        <v>2318</v>
      </c>
      <c r="B1316" s="125" t="s">
        <v>2319</v>
      </c>
      <c r="C1316" s="126">
        <v>5.23246606E8</v>
      </c>
    </row>
    <row r="1317">
      <c r="A1317" s="125" t="s">
        <v>2320</v>
      </c>
      <c r="B1317" s="125" t="s">
        <v>2321</v>
      </c>
      <c r="C1317" s="126">
        <v>5.23203141E8</v>
      </c>
    </row>
    <row r="1318">
      <c r="A1318" s="125" t="s">
        <v>2322</v>
      </c>
      <c r="B1318" s="125" t="s">
        <v>2323</v>
      </c>
      <c r="C1318" s="126">
        <v>5.23053762E8</v>
      </c>
    </row>
    <row r="1319">
      <c r="A1319" s="125" t="s">
        <v>2324</v>
      </c>
      <c r="B1319" s="125" t="s">
        <v>2325</v>
      </c>
      <c r="C1319" s="126">
        <v>5.22566545E8</v>
      </c>
    </row>
    <row r="1320">
      <c r="A1320" s="125" t="s">
        <v>2326</v>
      </c>
      <c r="B1320" s="125" t="s">
        <v>2327</v>
      </c>
      <c r="C1320" s="126">
        <v>5.19624093E8</v>
      </c>
    </row>
    <row r="1321">
      <c r="A1321" s="125" t="s">
        <v>2328</v>
      </c>
      <c r="B1321" s="125" t="s">
        <v>2329</v>
      </c>
      <c r="C1321" s="126">
        <v>5.18455176E8</v>
      </c>
    </row>
    <row r="1322">
      <c r="A1322" s="125" t="s">
        <v>2330</v>
      </c>
      <c r="B1322" s="125" t="s">
        <v>2331</v>
      </c>
      <c r="C1322" s="126">
        <v>5.18161901E8</v>
      </c>
    </row>
    <row r="1323">
      <c r="A1323" s="125" t="s">
        <v>2332</v>
      </c>
      <c r="B1323" s="125" t="s">
        <v>2333</v>
      </c>
      <c r="C1323" s="126">
        <v>5.16342809E8</v>
      </c>
    </row>
    <row r="1324">
      <c r="A1324" s="125" t="s">
        <v>2334</v>
      </c>
      <c r="B1324" s="125" t="s">
        <v>2335</v>
      </c>
      <c r="C1324" s="126">
        <v>5.16244681E8</v>
      </c>
    </row>
    <row r="1325">
      <c r="A1325" s="125" t="s">
        <v>2336</v>
      </c>
      <c r="B1325" s="125" t="s">
        <v>2337</v>
      </c>
      <c r="C1325" s="126">
        <v>5.15379197E8</v>
      </c>
    </row>
    <row r="1326">
      <c r="A1326" s="125" t="s">
        <v>2338</v>
      </c>
      <c r="B1326" s="125" t="s">
        <v>2339</v>
      </c>
      <c r="C1326" s="126">
        <v>5.15377209E8</v>
      </c>
    </row>
    <row r="1327">
      <c r="A1327" s="125" t="s">
        <v>2340</v>
      </c>
      <c r="B1327" s="125" t="s">
        <v>2341</v>
      </c>
      <c r="C1327" s="126">
        <v>5.15310276E8</v>
      </c>
    </row>
    <row r="1328">
      <c r="A1328" s="125" t="s">
        <v>2342</v>
      </c>
      <c r="B1328" s="125" t="s">
        <v>2343</v>
      </c>
      <c r="C1328" s="126">
        <v>5.14991698E8</v>
      </c>
    </row>
    <row r="1329">
      <c r="A1329" s="125" t="s">
        <v>2344</v>
      </c>
      <c r="B1329" s="125" t="s">
        <v>2345</v>
      </c>
      <c r="C1329" s="126">
        <v>5.14717377E8</v>
      </c>
    </row>
    <row r="1330">
      <c r="A1330" s="125" t="s">
        <v>2346</v>
      </c>
      <c r="B1330" s="125" t="s">
        <v>2347</v>
      </c>
      <c r="C1330" s="126">
        <v>5.14540752E8</v>
      </c>
    </row>
    <row r="1331">
      <c r="A1331" s="125" t="s">
        <v>2348</v>
      </c>
      <c r="B1331" s="125" t="s">
        <v>2349</v>
      </c>
      <c r="C1331" s="126">
        <v>5.11009645E8</v>
      </c>
    </row>
    <row r="1332">
      <c r="A1332" s="125" t="s">
        <v>2350</v>
      </c>
      <c r="B1332" s="125" t="s">
        <v>2351</v>
      </c>
      <c r="C1332" s="126">
        <v>5.08772589E8</v>
      </c>
    </row>
    <row r="1333">
      <c r="A1333" s="125" t="s">
        <v>2352</v>
      </c>
      <c r="B1333" s="125" t="s">
        <v>2353</v>
      </c>
      <c r="C1333" s="126">
        <v>5.08016478E8</v>
      </c>
    </row>
    <row r="1334">
      <c r="A1334" s="125" t="s">
        <v>2354</v>
      </c>
      <c r="B1334" s="125" t="s">
        <v>2355</v>
      </c>
      <c r="C1334" s="126">
        <v>5.07794041E8</v>
      </c>
    </row>
    <row r="1335">
      <c r="A1335" s="125" t="s">
        <v>2356</v>
      </c>
      <c r="B1335" s="125" t="s">
        <v>2357</v>
      </c>
      <c r="C1335" s="126">
        <v>5.07727592E8</v>
      </c>
    </row>
    <row r="1336">
      <c r="A1336" s="125" t="s">
        <v>2358</v>
      </c>
      <c r="B1336" s="125" t="s">
        <v>2359</v>
      </c>
      <c r="C1336" s="126">
        <v>5.06326776E8</v>
      </c>
    </row>
    <row r="1337">
      <c r="A1337" s="125" t="s">
        <v>2360</v>
      </c>
      <c r="B1337" s="125" t="s">
        <v>2361</v>
      </c>
      <c r="C1337" s="126">
        <v>5.0539948E8</v>
      </c>
    </row>
    <row r="1338">
      <c r="A1338" s="125" t="s">
        <v>2362</v>
      </c>
      <c r="B1338" s="125" t="s">
        <v>2363</v>
      </c>
      <c r="C1338" s="126">
        <v>5.04547134E8</v>
      </c>
    </row>
    <row r="1339">
      <c r="A1339" s="125" t="s">
        <v>2364</v>
      </c>
      <c r="B1339" s="125" t="s">
        <v>2365</v>
      </c>
      <c r="C1339" s="126">
        <v>5.03851627E8</v>
      </c>
    </row>
    <row r="1340">
      <c r="A1340" s="125" t="s">
        <v>2366</v>
      </c>
      <c r="B1340" s="125" t="s">
        <v>2367</v>
      </c>
      <c r="C1340" s="126">
        <v>5.02622976E8</v>
      </c>
    </row>
    <row r="1341">
      <c r="A1341" s="125" t="s">
        <v>2368</v>
      </c>
      <c r="B1341" s="125" t="s">
        <v>2369</v>
      </c>
      <c r="C1341" s="126">
        <v>5.00876954E8</v>
      </c>
    </row>
    <row r="1342">
      <c r="A1342" s="125" t="s">
        <v>2370</v>
      </c>
      <c r="B1342" s="125" t="s">
        <v>2371</v>
      </c>
      <c r="C1342" s="126">
        <v>5.00305967E8</v>
      </c>
    </row>
    <row r="1343">
      <c r="A1343" s="125" t="s">
        <v>2372</v>
      </c>
      <c r="B1343" s="125" t="s">
        <v>2373</v>
      </c>
      <c r="C1343" s="126">
        <v>4.97700755E8</v>
      </c>
    </row>
    <row r="1344">
      <c r="A1344" s="125" t="s">
        <v>2374</v>
      </c>
      <c r="B1344" s="125" t="s">
        <v>2375</v>
      </c>
      <c r="C1344" s="126">
        <v>4.97486934E8</v>
      </c>
    </row>
    <row r="1345">
      <c r="A1345" s="125" t="s">
        <v>2376</v>
      </c>
      <c r="B1345" s="125" t="s">
        <v>2377</v>
      </c>
      <c r="C1345" s="126">
        <v>4.97445251E8</v>
      </c>
    </row>
    <row r="1346">
      <c r="A1346" s="125" t="s">
        <v>2378</v>
      </c>
      <c r="B1346" s="125" t="s">
        <v>2379</v>
      </c>
      <c r="C1346" s="126">
        <v>4.96833361E8</v>
      </c>
    </row>
    <row r="1347">
      <c r="A1347" s="125" t="s">
        <v>2380</v>
      </c>
      <c r="B1347" s="125" t="s">
        <v>2381</v>
      </c>
      <c r="C1347" s="126">
        <v>4.95955342E8</v>
      </c>
    </row>
    <row r="1348">
      <c r="A1348" s="125" t="s">
        <v>2382</v>
      </c>
      <c r="B1348" s="125" t="s">
        <v>2383</v>
      </c>
      <c r="C1348" s="126">
        <v>4.95649877E8</v>
      </c>
    </row>
    <row r="1349">
      <c r="A1349" s="125" t="s">
        <v>2384</v>
      </c>
      <c r="B1349" s="125" t="s">
        <v>2385</v>
      </c>
      <c r="C1349" s="126">
        <v>4.94699319E8</v>
      </c>
    </row>
    <row r="1350">
      <c r="A1350" s="125" t="s">
        <v>2386</v>
      </c>
      <c r="B1350" s="125" t="s">
        <v>2387</v>
      </c>
      <c r="C1350" s="126">
        <v>4.93061594E8</v>
      </c>
    </row>
    <row r="1351">
      <c r="A1351" s="125" t="s">
        <v>2388</v>
      </c>
      <c r="B1351" s="125" t="s">
        <v>2389</v>
      </c>
      <c r="C1351" s="126">
        <v>4.92531468E8</v>
      </c>
    </row>
    <row r="1352">
      <c r="A1352" s="125" t="s">
        <v>2390</v>
      </c>
      <c r="B1352" s="125" t="s">
        <v>2391</v>
      </c>
      <c r="C1352" s="126">
        <v>4.9135391E8</v>
      </c>
    </row>
    <row r="1353">
      <c r="A1353" s="125" t="s">
        <v>2392</v>
      </c>
      <c r="B1353" s="125" t="s">
        <v>2393</v>
      </c>
      <c r="C1353" s="126">
        <v>4.91090202E8</v>
      </c>
    </row>
    <row r="1354">
      <c r="A1354" s="125" t="s">
        <v>2394</v>
      </c>
      <c r="B1354" s="125" t="s">
        <v>2395</v>
      </c>
      <c r="C1354" s="126">
        <v>4.89723119E8</v>
      </c>
    </row>
    <row r="1355">
      <c r="A1355" s="125" t="s">
        <v>2396</v>
      </c>
      <c r="B1355" s="125" t="s">
        <v>1244</v>
      </c>
      <c r="C1355" s="126">
        <v>4.8786182E8</v>
      </c>
    </row>
    <row r="1356">
      <c r="A1356" s="125" t="s">
        <v>2397</v>
      </c>
      <c r="B1356" s="125" t="s">
        <v>2398</v>
      </c>
      <c r="C1356" s="126">
        <v>4.87288858E8</v>
      </c>
    </row>
    <row r="1357">
      <c r="A1357" s="125" t="s">
        <v>2399</v>
      </c>
      <c r="B1357" s="125" t="s">
        <v>2400</v>
      </c>
      <c r="C1357" s="126">
        <v>4.85998128E8</v>
      </c>
    </row>
    <row r="1358">
      <c r="A1358" s="125" t="s">
        <v>2401</v>
      </c>
      <c r="B1358" s="125" t="s">
        <v>2402</v>
      </c>
      <c r="C1358" s="126">
        <v>4.85815806E8</v>
      </c>
    </row>
    <row r="1359">
      <c r="A1359" s="125" t="s">
        <v>2403</v>
      </c>
      <c r="B1359" s="125" t="s">
        <v>2404</v>
      </c>
      <c r="C1359" s="126">
        <v>4.8414597E8</v>
      </c>
    </row>
    <row r="1360">
      <c r="A1360" s="125" t="s">
        <v>2405</v>
      </c>
      <c r="B1360" s="125" t="s">
        <v>2406</v>
      </c>
      <c r="C1360" s="126">
        <v>4.83663004E8</v>
      </c>
    </row>
    <row r="1361">
      <c r="A1361" s="125" t="s">
        <v>2407</v>
      </c>
      <c r="B1361" s="125" t="s">
        <v>2408</v>
      </c>
      <c r="C1361" s="126">
        <v>4.81079572E8</v>
      </c>
    </row>
    <row r="1362">
      <c r="A1362" s="125" t="s">
        <v>2409</v>
      </c>
      <c r="B1362" s="125" t="s">
        <v>2410</v>
      </c>
      <c r="C1362" s="126">
        <v>4.80670831E8</v>
      </c>
    </row>
    <row r="1363">
      <c r="A1363" s="125" t="s">
        <v>2411</v>
      </c>
      <c r="B1363" s="125" t="s">
        <v>2412</v>
      </c>
      <c r="C1363" s="126">
        <v>4.801902E8</v>
      </c>
    </row>
    <row r="1364">
      <c r="A1364" s="125" t="s">
        <v>2413</v>
      </c>
      <c r="B1364" s="125" t="s">
        <v>2414</v>
      </c>
      <c r="C1364" s="126">
        <v>4.78830444E8</v>
      </c>
    </row>
    <row r="1365">
      <c r="A1365" s="125" t="s">
        <v>2415</v>
      </c>
      <c r="B1365" s="125" t="s">
        <v>2416</v>
      </c>
      <c r="C1365" s="126">
        <v>4.78812904E8</v>
      </c>
    </row>
    <row r="1366">
      <c r="A1366" s="125" t="s">
        <v>2417</v>
      </c>
      <c r="B1366" s="125" t="s">
        <v>2418</v>
      </c>
      <c r="C1366" s="126">
        <v>4.77762628E8</v>
      </c>
    </row>
    <row r="1367">
      <c r="A1367" s="125" t="s">
        <v>2419</v>
      </c>
      <c r="B1367" s="125" t="s">
        <v>2420</v>
      </c>
      <c r="C1367" s="126">
        <v>4.77719747E8</v>
      </c>
    </row>
    <row r="1368">
      <c r="A1368" s="125" t="s">
        <v>2421</v>
      </c>
      <c r="B1368" s="125" t="s">
        <v>2422</v>
      </c>
      <c r="C1368" s="126">
        <v>4.77213443E8</v>
      </c>
    </row>
    <row r="1369">
      <c r="A1369" s="125" t="s">
        <v>2423</v>
      </c>
      <c r="B1369" s="125" t="s">
        <v>2424</v>
      </c>
      <c r="C1369" s="126">
        <v>4.7680563E8</v>
      </c>
    </row>
    <row r="1370">
      <c r="A1370" s="125" t="s">
        <v>2425</v>
      </c>
      <c r="B1370" s="125" t="s">
        <v>2426</v>
      </c>
      <c r="C1370" s="126">
        <v>4.76077274E8</v>
      </c>
    </row>
    <row r="1371">
      <c r="A1371" s="125" t="s">
        <v>2427</v>
      </c>
      <c r="B1371" s="125" t="s">
        <v>2428</v>
      </c>
      <c r="C1371" s="126">
        <v>4.753802E8</v>
      </c>
    </row>
    <row r="1372">
      <c r="A1372" s="125" t="s">
        <v>2429</v>
      </c>
      <c r="B1372" s="125" t="s">
        <v>2430</v>
      </c>
      <c r="C1372" s="126">
        <v>4.72585208E8</v>
      </c>
    </row>
    <row r="1373">
      <c r="A1373" s="125" t="s">
        <v>2431</v>
      </c>
      <c r="B1373" s="125" t="s">
        <v>2432</v>
      </c>
      <c r="C1373" s="126">
        <v>4.72449053E8</v>
      </c>
    </row>
    <row r="1374">
      <c r="A1374" s="125" t="s">
        <v>2433</v>
      </c>
      <c r="B1374" s="125" t="s">
        <v>2434</v>
      </c>
      <c r="C1374" s="126">
        <v>4.72309097E8</v>
      </c>
    </row>
    <row r="1375">
      <c r="A1375" s="125" t="s">
        <v>2435</v>
      </c>
      <c r="B1375" s="125" t="s">
        <v>2436</v>
      </c>
      <c r="C1375" s="126">
        <v>4.71730809E8</v>
      </c>
    </row>
    <row r="1376">
      <c r="A1376" s="125" t="s">
        <v>2437</v>
      </c>
      <c r="B1376" s="125" t="s">
        <v>2438</v>
      </c>
      <c r="C1376" s="126">
        <v>4.71500466E8</v>
      </c>
    </row>
    <row r="1377">
      <c r="A1377" s="125" t="s">
        <v>2439</v>
      </c>
      <c r="B1377" s="125" t="s">
        <v>2440</v>
      </c>
      <c r="C1377" s="126">
        <v>4.71302454E8</v>
      </c>
    </row>
    <row r="1378">
      <c r="A1378" s="125" t="s">
        <v>2441</v>
      </c>
      <c r="B1378" s="125" t="s">
        <v>2442</v>
      </c>
      <c r="C1378" s="126">
        <v>4.70947209E8</v>
      </c>
    </row>
    <row r="1379">
      <c r="A1379" s="125" t="s">
        <v>2443</v>
      </c>
      <c r="B1379" s="125" t="s">
        <v>2444</v>
      </c>
      <c r="C1379" s="126">
        <v>4.70686701E8</v>
      </c>
    </row>
    <row r="1380">
      <c r="A1380" s="125" t="s">
        <v>2445</v>
      </c>
      <c r="B1380" s="125" t="s">
        <v>2446</v>
      </c>
      <c r="C1380" s="126">
        <v>4.70108196E8</v>
      </c>
    </row>
    <row r="1381">
      <c r="A1381" s="125" t="s">
        <v>2447</v>
      </c>
      <c r="B1381" s="125" t="s">
        <v>2448</v>
      </c>
      <c r="C1381" s="126">
        <v>4.68723169E8</v>
      </c>
    </row>
    <row r="1382">
      <c r="A1382" s="125" t="s">
        <v>2449</v>
      </c>
      <c r="B1382" s="125" t="s">
        <v>2450</v>
      </c>
      <c r="C1382" s="126">
        <v>4.66992812E8</v>
      </c>
    </row>
    <row r="1383">
      <c r="A1383" s="125" t="s">
        <v>2451</v>
      </c>
      <c r="B1383" s="125" t="s">
        <v>2452</v>
      </c>
      <c r="C1383" s="126">
        <v>4.65650424E8</v>
      </c>
    </row>
    <row r="1384">
      <c r="A1384" s="125" t="s">
        <v>2453</v>
      </c>
      <c r="B1384" s="125" t="s">
        <v>2454</v>
      </c>
      <c r="C1384" s="126">
        <v>4.647279E8</v>
      </c>
    </row>
    <row r="1385">
      <c r="A1385" s="125" t="s">
        <v>2455</v>
      </c>
      <c r="B1385" s="125" t="s">
        <v>2456</v>
      </c>
      <c r="C1385" s="126">
        <v>4.64670982E8</v>
      </c>
    </row>
    <row r="1386">
      <c r="A1386" s="125" t="s">
        <v>2457</v>
      </c>
      <c r="B1386" s="125" t="s">
        <v>2458</v>
      </c>
      <c r="C1386" s="126">
        <v>4.64597076E8</v>
      </c>
    </row>
    <row r="1387">
      <c r="A1387" s="125" t="s">
        <v>2459</v>
      </c>
      <c r="B1387" s="125" t="s">
        <v>2460</v>
      </c>
      <c r="C1387" s="126">
        <v>4.6266377E8</v>
      </c>
    </row>
    <row r="1388">
      <c r="A1388" s="125" t="s">
        <v>2461</v>
      </c>
      <c r="B1388" s="125" t="s">
        <v>2462</v>
      </c>
      <c r="C1388" s="126">
        <v>4.62102367E8</v>
      </c>
    </row>
    <row r="1389">
      <c r="A1389" s="125" t="s">
        <v>2463</v>
      </c>
      <c r="B1389" s="125" t="s">
        <v>2464</v>
      </c>
      <c r="C1389" s="126">
        <v>4.62030331E8</v>
      </c>
    </row>
    <row r="1390">
      <c r="A1390" s="125" t="s">
        <v>2465</v>
      </c>
      <c r="B1390" s="125" t="s">
        <v>2466</v>
      </c>
      <c r="C1390" s="126">
        <v>4.6098081E8</v>
      </c>
    </row>
    <row r="1391">
      <c r="A1391" s="125" t="s">
        <v>2467</v>
      </c>
      <c r="B1391" s="125" t="s">
        <v>2468</v>
      </c>
      <c r="C1391" s="126">
        <v>4.60701188E8</v>
      </c>
    </row>
    <row r="1392">
      <c r="A1392" s="125" t="s">
        <v>2469</v>
      </c>
      <c r="B1392" s="125" t="s">
        <v>2470</v>
      </c>
      <c r="C1392" s="126">
        <v>4.60541597E8</v>
      </c>
    </row>
    <row r="1393">
      <c r="A1393" s="125" t="s">
        <v>2471</v>
      </c>
      <c r="B1393" s="125" t="s">
        <v>2472</v>
      </c>
      <c r="C1393" s="126">
        <v>4.5965334E8</v>
      </c>
    </row>
    <row r="1394">
      <c r="A1394" s="125" t="s">
        <v>2473</v>
      </c>
      <c r="B1394" s="125" t="s">
        <v>2474</v>
      </c>
      <c r="C1394" s="126">
        <v>4.5955377E8</v>
      </c>
    </row>
    <row r="1395">
      <c r="A1395" s="125" t="s">
        <v>2475</v>
      </c>
      <c r="B1395" s="125" t="s">
        <v>2476</v>
      </c>
      <c r="C1395" s="126">
        <v>4.57669987E8</v>
      </c>
    </row>
    <row r="1396">
      <c r="A1396" s="125" t="s">
        <v>2477</v>
      </c>
      <c r="B1396" s="125" t="s">
        <v>2478</v>
      </c>
      <c r="C1396" s="126">
        <v>4.56343805E8</v>
      </c>
    </row>
    <row r="1397">
      <c r="A1397" s="125" t="s">
        <v>2479</v>
      </c>
      <c r="B1397" s="125" t="s">
        <v>2480</v>
      </c>
      <c r="C1397" s="126">
        <v>4.55770006E8</v>
      </c>
    </row>
    <row r="1398">
      <c r="A1398" s="125" t="s">
        <v>2481</v>
      </c>
      <c r="B1398" s="125" t="s">
        <v>2482</v>
      </c>
      <c r="C1398" s="126">
        <v>4.55061992E8</v>
      </c>
    </row>
    <row r="1399">
      <c r="A1399" s="125" t="s">
        <v>2483</v>
      </c>
      <c r="B1399" s="125" t="s">
        <v>2484</v>
      </c>
      <c r="C1399" s="126">
        <v>4.54212204E8</v>
      </c>
    </row>
    <row r="1400">
      <c r="A1400" s="125" t="s">
        <v>2485</v>
      </c>
      <c r="B1400" s="125" t="s">
        <v>2486</v>
      </c>
      <c r="C1400" s="126">
        <v>4.53721051E8</v>
      </c>
    </row>
    <row r="1401">
      <c r="A1401" s="125" t="s">
        <v>2487</v>
      </c>
      <c r="B1401" s="125" t="s">
        <v>2488</v>
      </c>
      <c r="C1401" s="126">
        <v>4.53517116E8</v>
      </c>
    </row>
    <row r="1402">
      <c r="A1402" s="125" t="s">
        <v>2489</v>
      </c>
      <c r="B1402" s="125" t="s">
        <v>2490</v>
      </c>
      <c r="C1402" s="126">
        <v>4.52537975E8</v>
      </c>
    </row>
    <row r="1403">
      <c r="A1403" s="125" t="s">
        <v>2491</v>
      </c>
      <c r="B1403" s="125" t="s">
        <v>2492</v>
      </c>
      <c r="C1403" s="126">
        <v>4.51303245E8</v>
      </c>
    </row>
    <row r="1404">
      <c r="A1404" s="125" t="s">
        <v>2493</v>
      </c>
      <c r="B1404" s="125" t="s">
        <v>2494</v>
      </c>
      <c r="C1404" s="126">
        <v>4.51179782E8</v>
      </c>
    </row>
    <row r="1405">
      <c r="A1405" s="125" t="s">
        <v>2495</v>
      </c>
      <c r="B1405" s="125" t="s">
        <v>2496</v>
      </c>
      <c r="C1405" s="126">
        <v>4.46239709E8</v>
      </c>
    </row>
    <row r="1406">
      <c r="A1406" s="125" t="s">
        <v>2497</v>
      </c>
      <c r="B1406" s="125" t="s">
        <v>2498</v>
      </c>
      <c r="C1406" s="126">
        <v>4.45589658E8</v>
      </c>
    </row>
    <row r="1407">
      <c r="A1407" s="125" t="s">
        <v>2499</v>
      </c>
      <c r="B1407" s="125" t="s">
        <v>2500</v>
      </c>
      <c r="C1407" s="126">
        <v>4.45541322E8</v>
      </c>
    </row>
    <row r="1408">
      <c r="A1408" s="125" t="s">
        <v>2501</v>
      </c>
      <c r="B1408" s="125" t="s">
        <v>2502</v>
      </c>
      <c r="C1408" s="126">
        <v>4.45196448E8</v>
      </c>
    </row>
    <row r="1409">
      <c r="A1409" s="125" t="s">
        <v>2503</v>
      </c>
      <c r="B1409" s="125" t="s">
        <v>2504</v>
      </c>
      <c r="C1409" s="126">
        <v>4.44823516E8</v>
      </c>
    </row>
    <row r="1410">
      <c r="A1410" s="125" t="s">
        <v>2505</v>
      </c>
      <c r="B1410" s="125" t="s">
        <v>2506</v>
      </c>
      <c r="C1410" s="126">
        <v>4.44527624E8</v>
      </c>
    </row>
    <row r="1411">
      <c r="A1411" s="125" t="s">
        <v>2507</v>
      </c>
      <c r="B1411" s="125" t="s">
        <v>2508</v>
      </c>
      <c r="C1411" s="126">
        <v>4.43737885E8</v>
      </c>
    </row>
    <row r="1412">
      <c r="A1412" s="125" t="s">
        <v>2509</v>
      </c>
      <c r="B1412" s="125" t="s">
        <v>2510</v>
      </c>
      <c r="C1412" s="126">
        <v>4.43737148E8</v>
      </c>
    </row>
    <row r="1413">
      <c r="A1413" s="125" t="s">
        <v>2511</v>
      </c>
      <c r="B1413" s="125" t="s">
        <v>2512</v>
      </c>
      <c r="C1413" s="126">
        <v>4.43303001E8</v>
      </c>
    </row>
    <row r="1414">
      <c r="A1414" s="125" t="s">
        <v>2513</v>
      </c>
      <c r="B1414" s="125" t="s">
        <v>2514</v>
      </c>
      <c r="C1414" s="126">
        <v>4.42850453E8</v>
      </c>
    </row>
    <row r="1415">
      <c r="A1415" s="125" t="s">
        <v>2515</v>
      </c>
      <c r="B1415" s="125" t="s">
        <v>2516</v>
      </c>
      <c r="C1415" s="126">
        <v>4.42083743E8</v>
      </c>
    </row>
    <row r="1416">
      <c r="A1416" s="125" t="s">
        <v>2517</v>
      </c>
      <c r="B1416" s="125" t="s">
        <v>2518</v>
      </c>
      <c r="C1416" s="126">
        <v>4.41221389E8</v>
      </c>
    </row>
    <row r="1417">
      <c r="A1417" s="125" t="s">
        <v>2519</v>
      </c>
      <c r="B1417" s="125" t="s">
        <v>2520</v>
      </c>
      <c r="C1417" s="126">
        <v>4.40964965E8</v>
      </c>
    </row>
    <row r="1418">
      <c r="A1418" s="125" t="s">
        <v>2521</v>
      </c>
      <c r="B1418" s="125" t="s">
        <v>2522</v>
      </c>
      <c r="C1418" s="126">
        <v>4.40256693E8</v>
      </c>
    </row>
    <row r="1419">
      <c r="A1419" s="125" t="s">
        <v>2523</v>
      </c>
      <c r="B1419" s="125" t="s">
        <v>2524</v>
      </c>
      <c r="C1419" s="126">
        <v>4.40072132E8</v>
      </c>
    </row>
    <row r="1420">
      <c r="A1420" s="125" t="s">
        <v>2525</v>
      </c>
      <c r="B1420" s="125" t="s">
        <v>2526</v>
      </c>
      <c r="C1420" s="126">
        <v>4.39783065E8</v>
      </c>
    </row>
    <row r="1421">
      <c r="A1421" s="125" t="s">
        <v>2527</v>
      </c>
      <c r="B1421" s="125" t="s">
        <v>2528</v>
      </c>
      <c r="C1421" s="126">
        <v>4.39714374E8</v>
      </c>
    </row>
    <row r="1422">
      <c r="A1422" s="125" t="s">
        <v>2529</v>
      </c>
      <c r="B1422" s="125" t="s">
        <v>2530</v>
      </c>
      <c r="C1422" s="126">
        <v>4.39164964E8</v>
      </c>
    </row>
    <row r="1423">
      <c r="A1423" s="125" t="s">
        <v>2531</v>
      </c>
      <c r="B1423" s="125" t="s">
        <v>2532</v>
      </c>
      <c r="C1423" s="126">
        <v>4.39056731E8</v>
      </c>
    </row>
    <row r="1424">
      <c r="A1424" s="125" t="s">
        <v>2533</v>
      </c>
      <c r="B1424" s="125" t="s">
        <v>2534</v>
      </c>
      <c r="C1424" s="126">
        <v>4.38436108E8</v>
      </c>
    </row>
    <row r="1425">
      <c r="A1425" s="125" t="s">
        <v>2535</v>
      </c>
      <c r="B1425" s="125" t="s">
        <v>2536</v>
      </c>
      <c r="C1425" s="126">
        <v>4.3711999E8</v>
      </c>
    </row>
    <row r="1426">
      <c r="A1426" s="125" t="s">
        <v>2537</v>
      </c>
      <c r="B1426" s="125" t="s">
        <v>2538</v>
      </c>
      <c r="C1426" s="126">
        <v>4.34146622E8</v>
      </c>
    </row>
    <row r="1427">
      <c r="A1427" s="125" t="s">
        <v>2539</v>
      </c>
      <c r="B1427" s="125" t="s">
        <v>2540</v>
      </c>
      <c r="C1427" s="126">
        <v>4.33127862E8</v>
      </c>
    </row>
    <row r="1428">
      <c r="A1428" s="125" t="s">
        <v>2541</v>
      </c>
      <c r="B1428" s="125" t="s">
        <v>2542</v>
      </c>
      <c r="C1428" s="126">
        <v>4.32715684E8</v>
      </c>
    </row>
    <row r="1429">
      <c r="A1429" s="125" t="s">
        <v>2543</v>
      </c>
      <c r="B1429" s="125" t="s">
        <v>2544</v>
      </c>
      <c r="C1429" s="126">
        <v>4.31319007E8</v>
      </c>
    </row>
    <row r="1430">
      <c r="A1430" s="125" t="s">
        <v>2545</v>
      </c>
      <c r="B1430" s="125" t="s">
        <v>2546</v>
      </c>
      <c r="C1430" s="126">
        <v>4.30761289E8</v>
      </c>
    </row>
    <row r="1431">
      <c r="A1431" s="125" t="s">
        <v>2547</v>
      </c>
      <c r="B1431" s="125" t="s">
        <v>2548</v>
      </c>
      <c r="C1431" s="126">
        <v>4.27759568E8</v>
      </c>
    </row>
    <row r="1432">
      <c r="A1432" s="125" t="s">
        <v>2549</v>
      </c>
      <c r="B1432" s="125" t="s">
        <v>2550</v>
      </c>
      <c r="C1432" s="126">
        <v>4.27180394E8</v>
      </c>
    </row>
    <row r="1433">
      <c r="A1433" s="125" t="s">
        <v>2551</v>
      </c>
      <c r="B1433" s="125" t="s">
        <v>2552</v>
      </c>
      <c r="C1433" s="126">
        <v>4.26742871E8</v>
      </c>
    </row>
    <row r="1434">
      <c r="A1434" s="125" t="s">
        <v>2553</v>
      </c>
      <c r="B1434" s="125" t="s">
        <v>2554</v>
      </c>
      <c r="C1434" s="126">
        <v>4.26591727E8</v>
      </c>
    </row>
    <row r="1435">
      <c r="A1435" s="125" t="s">
        <v>2555</v>
      </c>
      <c r="B1435" s="125" t="s">
        <v>2556</v>
      </c>
      <c r="C1435" s="126">
        <v>4.26243272E8</v>
      </c>
    </row>
    <row r="1436">
      <c r="A1436" s="125" t="s">
        <v>2557</v>
      </c>
      <c r="B1436" s="125" t="s">
        <v>2558</v>
      </c>
      <c r="C1436" s="126">
        <v>4.25294601E8</v>
      </c>
    </row>
    <row r="1437">
      <c r="A1437" s="125" t="s">
        <v>2559</v>
      </c>
      <c r="B1437" s="125" t="s">
        <v>2560</v>
      </c>
      <c r="C1437" s="126">
        <v>4.25077798E8</v>
      </c>
    </row>
    <row r="1438">
      <c r="A1438" s="125" t="s">
        <v>2561</v>
      </c>
      <c r="B1438" s="125" t="s">
        <v>2562</v>
      </c>
      <c r="C1438" s="126">
        <v>4.24949251E8</v>
      </c>
    </row>
    <row r="1439">
      <c r="A1439" s="125" t="s">
        <v>2563</v>
      </c>
      <c r="B1439" s="125" t="s">
        <v>2564</v>
      </c>
      <c r="C1439" s="126">
        <v>4.23515051E8</v>
      </c>
    </row>
    <row r="1440">
      <c r="A1440" s="125" t="s">
        <v>2565</v>
      </c>
      <c r="B1440" s="125" t="s">
        <v>2566</v>
      </c>
      <c r="C1440" s="126">
        <v>4.22869963E8</v>
      </c>
    </row>
    <row r="1441">
      <c r="A1441" s="125" t="s">
        <v>2567</v>
      </c>
      <c r="B1441" s="125" t="s">
        <v>2568</v>
      </c>
      <c r="C1441" s="126">
        <v>4.22392954E8</v>
      </c>
    </row>
    <row r="1442">
      <c r="A1442" s="125" t="s">
        <v>2569</v>
      </c>
      <c r="B1442" s="125" t="s">
        <v>2570</v>
      </c>
      <c r="C1442" s="126">
        <v>4.2237909E8</v>
      </c>
    </row>
    <row r="1443">
      <c r="A1443" s="125" t="s">
        <v>2571</v>
      </c>
      <c r="B1443" s="125" t="s">
        <v>2572</v>
      </c>
      <c r="C1443" s="126">
        <v>4.21826589E8</v>
      </c>
    </row>
    <row r="1444">
      <c r="A1444" s="125" t="s">
        <v>2573</v>
      </c>
      <c r="B1444" s="125" t="s">
        <v>2574</v>
      </c>
      <c r="C1444" s="126">
        <v>4.21767942E8</v>
      </c>
    </row>
    <row r="1445">
      <c r="A1445" s="125" t="s">
        <v>2575</v>
      </c>
      <c r="B1445" s="125" t="s">
        <v>2576</v>
      </c>
      <c r="C1445" s="126">
        <v>4.20204396E8</v>
      </c>
    </row>
    <row r="1446">
      <c r="A1446" s="125" t="s">
        <v>2577</v>
      </c>
      <c r="B1446" s="125" t="s">
        <v>2578</v>
      </c>
      <c r="C1446" s="126">
        <v>4.18446428E8</v>
      </c>
    </row>
    <row r="1447">
      <c r="A1447" s="125" t="s">
        <v>2579</v>
      </c>
      <c r="B1447" s="125" t="s">
        <v>2580</v>
      </c>
      <c r="C1447" s="126">
        <v>4.17563756E8</v>
      </c>
    </row>
    <row r="1448">
      <c r="A1448" s="125" t="s">
        <v>2581</v>
      </c>
      <c r="B1448" s="125" t="s">
        <v>2582</v>
      </c>
      <c r="C1448" s="126">
        <v>4.16854127E8</v>
      </c>
    </row>
    <row r="1449">
      <c r="A1449" s="125" t="s">
        <v>2583</v>
      </c>
      <c r="B1449" s="125" t="s">
        <v>2584</v>
      </c>
      <c r="C1449" s="126">
        <v>4.16021789E8</v>
      </c>
    </row>
    <row r="1450">
      <c r="A1450" s="125" t="s">
        <v>2585</v>
      </c>
      <c r="B1450" s="125" t="s">
        <v>2586</v>
      </c>
      <c r="C1450" s="126">
        <v>4.15251215E8</v>
      </c>
    </row>
    <row r="1451">
      <c r="A1451" s="125" t="s">
        <v>2587</v>
      </c>
      <c r="B1451" s="125" t="s">
        <v>2588</v>
      </c>
      <c r="C1451" s="126">
        <v>4.15143343E8</v>
      </c>
    </row>
    <row r="1452">
      <c r="A1452" s="125" t="s">
        <v>2589</v>
      </c>
      <c r="B1452" s="125" t="s">
        <v>2590</v>
      </c>
      <c r="C1452" s="126">
        <v>4.13520921E8</v>
      </c>
    </row>
    <row r="1453">
      <c r="A1453" s="125" t="s">
        <v>2591</v>
      </c>
      <c r="B1453" s="125" t="s">
        <v>2592</v>
      </c>
      <c r="C1453" s="126">
        <v>4.12008288E8</v>
      </c>
    </row>
    <row r="1454">
      <c r="A1454" s="125" t="s">
        <v>2593</v>
      </c>
      <c r="B1454" s="125" t="s">
        <v>2594</v>
      </c>
      <c r="C1454" s="126">
        <v>4.11789872E8</v>
      </c>
    </row>
    <row r="1455">
      <c r="A1455" s="125" t="s">
        <v>2595</v>
      </c>
      <c r="B1455" s="125" t="s">
        <v>2596</v>
      </c>
      <c r="C1455" s="126">
        <v>4.11645108E8</v>
      </c>
    </row>
    <row r="1456">
      <c r="A1456" s="125" t="s">
        <v>2597</v>
      </c>
      <c r="B1456" s="125" t="s">
        <v>2598</v>
      </c>
      <c r="C1456" s="126">
        <v>4.11033394E8</v>
      </c>
    </row>
    <row r="1457">
      <c r="A1457" s="125" t="s">
        <v>2599</v>
      </c>
      <c r="B1457" s="125" t="s">
        <v>2600</v>
      </c>
      <c r="C1457" s="126">
        <v>4.07649149E8</v>
      </c>
    </row>
    <row r="1458">
      <c r="A1458" s="125" t="s">
        <v>2601</v>
      </c>
      <c r="B1458" s="125" t="s">
        <v>2602</v>
      </c>
      <c r="C1458" s="126">
        <v>4.05552252E8</v>
      </c>
    </row>
    <row r="1459">
      <c r="A1459" s="125" t="s">
        <v>2603</v>
      </c>
      <c r="B1459" s="125" t="s">
        <v>2604</v>
      </c>
      <c r="C1459" s="126">
        <v>4.05425272E8</v>
      </c>
    </row>
    <row r="1460">
      <c r="A1460" s="125" t="s">
        <v>2605</v>
      </c>
      <c r="B1460" s="125" t="s">
        <v>2606</v>
      </c>
      <c r="C1460" s="126">
        <v>4.05209951E8</v>
      </c>
    </row>
    <row r="1461">
      <c r="A1461" s="125" t="s">
        <v>2607</v>
      </c>
      <c r="B1461" s="125" t="s">
        <v>2608</v>
      </c>
      <c r="C1461" s="126">
        <v>4.04277207E8</v>
      </c>
    </row>
    <row r="1462">
      <c r="A1462" s="125" t="s">
        <v>2609</v>
      </c>
      <c r="B1462" s="125" t="s">
        <v>2610</v>
      </c>
      <c r="C1462" s="126">
        <v>4.03729631E8</v>
      </c>
    </row>
    <row r="1463">
      <c r="A1463" s="125" t="s">
        <v>2611</v>
      </c>
      <c r="B1463" s="125" t="s">
        <v>2612</v>
      </c>
      <c r="C1463" s="126">
        <v>4.03165069E8</v>
      </c>
    </row>
    <row r="1464">
      <c r="A1464" s="125" t="s">
        <v>2613</v>
      </c>
      <c r="B1464" s="125" t="s">
        <v>2614</v>
      </c>
      <c r="C1464" s="126">
        <v>4.02017039E8</v>
      </c>
    </row>
    <row r="1465">
      <c r="A1465" s="125" t="s">
        <v>2615</v>
      </c>
      <c r="B1465" s="125" t="s">
        <v>2616</v>
      </c>
      <c r="C1465" s="126">
        <v>4.01691279E8</v>
      </c>
    </row>
    <row r="1466">
      <c r="A1466" s="125" t="s">
        <v>2617</v>
      </c>
      <c r="B1466" s="125" t="s">
        <v>2618</v>
      </c>
      <c r="C1466" s="126">
        <v>3.99448775E8</v>
      </c>
    </row>
    <row r="1467">
      <c r="A1467" s="125" t="s">
        <v>2619</v>
      </c>
      <c r="B1467" s="125" t="s">
        <v>2620</v>
      </c>
      <c r="C1467" s="126">
        <v>3.97845213E8</v>
      </c>
    </row>
    <row r="1468">
      <c r="A1468" s="125" t="s">
        <v>2621</v>
      </c>
      <c r="B1468" s="125" t="s">
        <v>2622</v>
      </c>
      <c r="C1468" s="126">
        <v>3.97824691E8</v>
      </c>
    </row>
    <row r="1469">
      <c r="A1469" s="125" t="s">
        <v>2623</v>
      </c>
      <c r="B1469" s="125" t="s">
        <v>2624</v>
      </c>
      <c r="C1469" s="126">
        <v>3.96407336E8</v>
      </c>
    </row>
    <row r="1470">
      <c r="A1470" s="125" t="s">
        <v>2625</v>
      </c>
      <c r="B1470" s="125" t="s">
        <v>2626</v>
      </c>
      <c r="C1470" s="126">
        <v>3.96158238E8</v>
      </c>
    </row>
    <row r="1471">
      <c r="A1471" s="125" t="s">
        <v>2627</v>
      </c>
      <c r="B1471" s="125" t="s">
        <v>2628</v>
      </c>
      <c r="C1471" s="126">
        <v>3.9586717E8</v>
      </c>
    </row>
    <row r="1472">
      <c r="A1472" s="125" t="s">
        <v>2629</v>
      </c>
      <c r="B1472" s="125" t="s">
        <v>2630</v>
      </c>
      <c r="C1472" s="126">
        <v>3.95739486E8</v>
      </c>
    </row>
    <row r="1473">
      <c r="A1473" s="125" t="s">
        <v>2631</v>
      </c>
      <c r="B1473" s="125" t="s">
        <v>2632</v>
      </c>
      <c r="C1473" s="126">
        <v>3.94797381E8</v>
      </c>
    </row>
    <row r="1474">
      <c r="A1474" s="125" t="s">
        <v>2633</v>
      </c>
      <c r="B1474" s="125" t="s">
        <v>2634</v>
      </c>
      <c r="C1474" s="126">
        <v>3.94772161E8</v>
      </c>
    </row>
    <row r="1475">
      <c r="A1475" s="125" t="s">
        <v>2635</v>
      </c>
      <c r="B1475" s="125" t="s">
        <v>2636</v>
      </c>
      <c r="C1475" s="126">
        <v>3.93669234E8</v>
      </c>
    </row>
    <row r="1476">
      <c r="A1476" s="125" t="s">
        <v>2637</v>
      </c>
      <c r="B1476" s="125" t="s">
        <v>2638</v>
      </c>
      <c r="C1476" s="126">
        <v>3.92853453E8</v>
      </c>
    </row>
    <row r="1477">
      <c r="A1477" s="125" t="s">
        <v>2639</v>
      </c>
      <c r="B1477" s="125" t="s">
        <v>2640</v>
      </c>
      <c r="C1477" s="126">
        <v>3.91959E8</v>
      </c>
    </row>
    <row r="1478">
      <c r="A1478" s="125" t="s">
        <v>2641</v>
      </c>
      <c r="B1478" s="125" t="s">
        <v>2642</v>
      </c>
      <c r="C1478" s="126">
        <v>3.9132013E8</v>
      </c>
    </row>
    <row r="1479">
      <c r="A1479" s="125" t="s">
        <v>2643</v>
      </c>
      <c r="B1479" s="125" t="s">
        <v>2644</v>
      </c>
      <c r="C1479" s="126">
        <v>3.88819211E8</v>
      </c>
    </row>
    <row r="1480">
      <c r="A1480" s="125" t="s">
        <v>2645</v>
      </c>
      <c r="B1480" s="125" t="s">
        <v>2646</v>
      </c>
      <c r="C1480" s="126">
        <v>3.88352849E8</v>
      </c>
    </row>
    <row r="1481">
      <c r="A1481" s="125" t="s">
        <v>2647</v>
      </c>
      <c r="B1481" s="125" t="s">
        <v>2648</v>
      </c>
      <c r="C1481" s="126">
        <v>3.86384521E8</v>
      </c>
    </row>
    <row r="1482">
      <c r="A1482" s="125" t="s">
        <v>2649</v>
      </c>
      <c r="B1482" s="125" t="s">
        <v>2650</v>
      </c>
      <c r="C1482" s="126">
        <v>3.85639911E8</v>
      </c>
    </row>
    <row r="1483">
      <c r="A1483" s="125" t="s">
        <v>2651</v>
      </c>
      <c r="B1483" s="125" t="s">
        <v>2652</v>
      </c>
      <c r="C1483" s="126">
        <v>3.84522962E8</v>
      </c>
    </row>
    <row r="1484">
      <c r="A1484" s="125" t="s">
        <v>2653</v>
      </c>
      <c r="B1484" s="125" t="s">
        <v>2654</v>
      </c>
      <c r="C1484" s="126">
        <v>3.84262682E8</v>
      </c>
    </row>
    <row r="1485">
      <c r="A1485" s="125" t="s">
        <v>2655</v>
      </c>
      <c r="B1485" s="125" t="s">
        <v>2656</v>
      </c>
      <c r="C1485" s="126">
        <v>3.84232297E8</v>
      </c>
    </row>
    <row r="1486">
      <c r="A1486" s="125" t="s">
        <v>2657</v>
      </c>
      <c r="B1486" s="125" t="s">
        <v>2658</v>
      </c>
      <c r="C1486" s="126">
        <v>3.83917063E8</v>
      </c>
    </row>
    <row r="1487">
      <c r="A1487" s="125" t="s">
        <v>2659</v>
      </c>
      <c r="B1487" s="125" t="s">
        <v>2660</v>
      </c>
      <c r="C1487" s="126">
        <v>3.83896204E8</v>
      </c>
    </row>
    <row r="1488">
      <c r="A1488" s="125" t="s">
        <v>2661</v>
      </c>
      <c r="B1488" s="125" t="s">
        <v>2662</v>
      </c>
      <c r="C1488" s="126">
        <v>3.83632096E8</v>
      </c>
    </row>
    <row r="1489">
      <c r="A1489" s="125" t="s">
        <v>2663</v>
      </c>
      <c r="B1489" s="125" t="s">
        <v>2664</v>
      </c>
      <c r="C1489" s="126">
        <v>3.83287688E8</v>
      </c>
    </row>
    <row r="1490">
      <c r="A1490" s="125" t="s">
        <v>2665</v>
      </c>
      <c r="B1490" s="125" t="s">
        <v>2666</v>
      </c>
      <c r="C1490" s="126">
        <v>3.83128375E8</v>
      </c>
    </row>
    <row r="1491">
      <c r="A1491" s="125" t="s">
        <v>2667</v>
      </c>
      <c r="B1491" s="125" t="s">
        <v>2668</v>
      </c>
      <c r="C1491" s="126">
        <v>3.82721E8</v>
      </c>
    </row>
    <row r="1492">
      <c r="A1492" s="125" t="s">
        <v>2669</v>
      </c>
      <c r="B1492" s="125" t="s">
        <v>2670</v>
      </c>
      <c r="C1492" s="126">
        <v>3.82597425E8</v>
      </c>
    </row>
    <row r="1493">
      <c r="A1493" s="125" t="s">
        <v>2671</v>
      </c>
      <c r="B1493" s="125" t="s">
        <v>2672</v>
      </c>
      <c r="C1493" s="126">
        <v>3.82301268E8</v>
      </c>
    </row>
    <row r="1494">
      <c r="A1494" s="125" t="s">
        <v>2673</v>
      </c>
      <c r="B1494" s="125" t="s">
        <v>2674</v>
      </c>
      <c r="C1494" s="126">
        <v>3.82282477E8</v>
      </c>
    </row>
    <row r="1495">
      <c r="A1495" s="125" t="s">
        <v>2675</v>
      </c>
      <c r="B1495" s="125" t="s">
        <v>2676</v>
      </c>
      <c r="C1495" s="126">
        <v>3.80626541E8</v>
      </c>
    </row>
    <row r="1496">
      <c r="A1496" s="125" t="s">
        <v>2677</v>
      </c>
      <c r="B1496" s="125" t="s">
        <v>2678</v>
      </c>
      <c r="C1496" s="126">
        <v>3.80598718E8</v>
      </c>
    </row>
    <row r="1497">
      <c r="A1497" s="125" t="s">
        <v>2679</v>
      </c>
      <c r="B1497" s="125" t="s">
        <v>2680</v>
      </c>
      <c r="C1497" s="126">
        <v>3.80519986E8</v>
      </c>
    </row>
    <row r="1498">
      <c r="A1498" s="125" t="s">
        <v>2681</v>
      </c>
      <c r="B1498" s="125" t="s">
        <v>2682</v>
      </c>
      <c r="C1498" s="126">
        <v>3.79651979E8</v>
      </c>
    </row>
    <row r="1499">
      <c r="A1499" s="125" t="s">
        <v>2683</v>
      </c>
      <c r="B1499" s="125" t="s">
        <v>2684</v>
      </c>
      <c r="C1499" s="126">
        <v>3.79030182E8</v>
      </c>
    </row>
    <row r="1500">
      <c r="A1500" s="125" t="s">
        <v>2685</v>
      </c>
      <c r="B1500" s="125" t="s">
        <v>2686</v>
      </c>
      <c r="C1500" s="126">
        <v>3.78803672E8</v>
      </c>
    </row>
    <row r="1501">
      <c r="A1501" s="125" t="s">
        <v>2687</v>
      </c>
      <c r="B1501" s="125" t="s">
        <v>2688</v>
      </c>
      <c r="C1501" s="126">
        <v>3.77931661E8</v>
      </c>
    </row>
    <row r="1502">
      <c r="A1502" s="125" t="s">
        <v>2689</v>
      </c>
      <c r="B1502" s="125" t="s">
        <v>2690</v>
      </c>
      <c r="C1502" s="126">
        <v>3.77511128E8</v>
      </c>
    </row>
    <row r="1503">
      <c r="A1503" s="125" t="s">
        <v>2691</v>
      </c>
      <c r="B1503" s="125" t="s">
        <v>2692</v>
      </c>
      <c r="C1503" s="126">
        <v>3.76063188E8</v>
      </c>
    </row>
    <row r="1504">
      <c r="A1504" s="125" t="s">
        <v>2693</v>
      </c>
      <c r="B1504" s="125" t="s">
        <v>2694</v>
      </c>
      <c r="C1504" s="126">
        <v>3.75889161E8</v>
      </c>
    </row>
    <row r="1505">
      <c r="A1505" s="125" t="s">
        <v>2695</v>
      </c>
      <c r="B1505" s="125" t="s">
        <v>2696</v>
      </c>
      <c r="C1505" s="126">
        <v>3.75853272E8</v>
      </c>
    </row>
    <row r="1506">
      <c r="A1506" s="125" t="s">
        <v>2697</v>
      </c>
      <c r="B1506" s="125" t="s">
        <v>2698</v>
      </c>
      <c r="C1506" s="126">
        <v>3.75360249E8</v>
      </c>
    </row>
    <row r="1507">
      <c r="A1507" s="125" t="s">
        <v>2699</v>
      </c>
      <c r="B1507" s="125" t="s">
        <v>2700</v>
      </c>
      <c r="C1507" s="126">
        <v>3.75332675E8</v>
      </c>
    </row>
    <row r="1508">
      <c r="A1508" s="125" t="s">
        <v>2701</v>
      </c>
      <c r="B1508" s="125" t="s">
        <v>2702</v>
      </c>
      <c r="C1508" s="126">
        <v>3.74517656E8</v>
      </c>
    </row>
    <row r="1509">
      <c r="A1509" s="125" t="s">
        <v>2703</v>
      </c>
      <c r="B1509" s="125" t="s">
        <v>2704</v>
      </c>
      <c r="C1509" s="126">
        <v>3.74343548E8</v>
      </c>
    </row>
    <row r="1510">
      <c r="A1510" s="125" t="s">
        <v>2705</v>
      </c>
      <c r="B1510" s="125" t="s">
        <v>2706</v>
      </c>
      <c r="C1510" s="126">
        <v>3.73316347E8</v>
      </c>
    </row>
    <row r="1511">
      <c r="A1511" s="125" t="s">
        <v>2707</v>
      </c>
      <c r="B1511" s="125" t="s">
        <v>2708</v>
      </c>
      <c r="C1511" s="126">
        <v>3.72884627E8</v>
      </c>
    </row>
    <row r="1512">
      <c r="A1512" s="125" t="s">
        <v>2709</v>
      </c>
      <c r="B1512" s="125" t="s">
        <v>2710</v>
      </c>
      <c r="C1512" s="126">
        <v>3.72147871E8</v>
      </c>
    </row>
    <row r="1513">
      <c r="A1513" s="125" t="s">
        <v>2711</v>
      </c>
      <c r="B1513" s="125" t="s">
        <v>2712</v>
      </c>
      <c r="C1513" s="126">
        <v>3.70134046E8</v>
      </c>
    </row>
    <row r="1514">
      <c r="A1514" s="125" t="s">
        <v>2713</v>
      </c>
      <c r="B1514" s="125" t="s">
        <v>2714</v>
      </c>
      <c r="C1514" s="126">
        <v>3.69257213E8</v>
      </c>
    </row>
    <row r="1515">
      <c r="A1515" s="125" t="s">
        <v>2715</v>
      </c>
      <c r="B1515" s="125" t="s">
        <v>2716</v>
      </c>
      <c r="C1515" s="126">
        <v>3.6908436E8</v>
      </c>
    </row>
    <row r="1516">
      <c r="A1516" s="125" t="s">
        <v>2717</v>
      </c>
      <c r="B1516" s="125" t="s">
        <v>2718</v>
      </c>
      <c r="C1516" s="126">
        <v>3.68965344E8</v>
      </c>
    </row>
    <row r="1517">
      <c r="A1517" s="125" t="s">
        <v>2719</v>
      </c>
      <c r="B1517" s="125" t="s">
        <v>2720</v>
      </c>
      <c r="C1517" s="126">
        <v>3.68915055E8</v>
      </c>
    </row>
    <row r="1518">
      <c r="A1518" s="125" t="s">
        <v>2721</v>
      </c>
      <c r="B1518" s="125" t="s">
        <v>2722</v>
      </c>
      <c r="C1518" s="126">
        <v>3.68162057E8</v>
      </c>
    </row>
    <row r="1519">
      <c r="A1519" s="125" t="s">
        <v>2723</v>
      </c>
      <c r="B1519" s="125" t="s">
        <v>2724</v>
      </c>
      <c r="C1519" s="126">
        <v>3.6759513E8</v>
      </c>
    </row>
    <row r="1520">
      <c r="A1520" s="125" t="s">
        <v>2725</v>
      </c>
      <c r="B1520" s="125" t="s">
        <v>2726</v>
      </c>
      <c r="C1520" s="126">
        <v>3.66213324E8</v>
      </c>
    </row>
    <row r="1521">
      <c r="A1521" s="125" t="s">
        <v>2727</v>
      </c>
      <c r="B1521" s="125" t="s">
        <v>2728</v>
      </c>
      <c r="C1521" s="126">
        <v>3.65664616E8</v>
      </c>
    </row>
    <row r="1522">
      <c r="A1522" s="125" t="s">
        <v>2729</v>
      </c>
      <c r="B1522" s="125" t="s">
        <v>2730</v>
      </c>
      <c r="C1522" s="126">
        <v>3.65655116E8</v>
      </c>
    </row>
    <row r="1523">
      <c r="A1523" s="125" t="s">
        <v>2731</v>
      </c>
      <c r="B1523" s="125" t="s">
        <v>2732</v>
      </c>
      <c r="C1523" s="126">
        <v>3.65277602E8</v>
      </c>
    </row>
    <row r="1524">
      <c r="A1524" s="125" t="s">
        <v>2733</v>
      </c>
      <c r="B1524" s="125" t="s">
        <v>2734</v>
      </c>
      <c r="C1524" s="126">
        <v>3.65104707E8</v>
      </c>
    </row>
    <row r="1525">
      <c r="A1525" s="125" t="s">
        <v>2735</v>
      </c>
      <c r="B1525" s="125" t="s">
        <v>2736</v>
      </c>
      <c r="C1525" s="126">
        <v>3.63554708E8</v>
      </c>
    </row>
    <row r="1526">
      <c r="A1526" s="125" t="s">
        <v>2737</v>
      </c>
      <c r="B1526" s="125" t="s">
        <v>2738</v>
      </c>
      <c r="C1526" s="126">
        <v>3.62984054E8</v>
      </c>
    </row>
    <row r="1527">
      <c r="A1527" s="125" t="s">
        <v>2739</v>
      </c>
      <c r="B1527" s="125" t="s">
        <v>2740</v>
      </c>
      <c r="C1527" s="126">
        <v>3.62880467E8</v>
      </c>
    </row>
    <row r="1528">
      <c r="A1528" s="125" t="s">
        <v>2741</v>
      </c>
      <c r="B1528" s="125" t="s">
        <v>2742</v>
      </c>
      <c r="C1528" s="126">
        <v>3.6253751E8</v>
      </c>
    </row>
    <row r="1529">
      <c r="A1529" s="125" t="s">
        <v>2743</v>
      </c>
      <c r="B1529" s="125" t="s">
        <v>2744</v>
      </c>
      <c r="C1529" s="126">
        <v>3.62238931E8</v>
      </c>
    </row>
    <row r="1530">
      <c r="A1530" s="125" t="s">
        <v>2745</v>
      </c>
      <c r="B1530" s="125" t="s">
        <v>2746</v>
      </c>
      <c r="C1530" s="126">
        <v>3.61996276E8</v>
      </c>
    </row>
    <row r="1531">
      <c r="A1531" s="125" t="s">
        <v>2747</v>
      </c>
      <c r="B1531" s="125" t="s">
        <v>2748</v>
      </c>
      <c r="C1531" s="126">
        <v>3.60023562E8</v>
      </c>
    </row>
    <row r="1532">
      <c r="A1532" s="125" t="s">
        <v>2749</v>
      </c>
      <c r="B1532" s="125" t="s">
        <v>2750</v>
      </c>
      <c r="C1532" s="126">
        <v>3.5948558E8</v>
      </c>
    </row>
    <row r="1533">
      <c r="A1533" s="125" t="s">
        <v>2751</v>
      </c>
      <c r="B1533" s="125" t="s">
        <v>2752</v>
      </c>
      <c r="C1533" s="126">
        <v>3.59284194E8</v>
      </c>
    </row>
    <row r="1534">
      <c r="A1534" s="125" t="s">
        <v>2753</v>
      </c>
      <c r="B1534" s="125" t="s">
        <v>2754</v>
      </c>
      <c r="C1534" s="126">
        <v>3.58854978E8</v>
      </c>
    </row>
    <row r="1535">
      <c r="A1535" s="125" t="s">
        <v>2755</v>
      </c>
      <c r="B1535" s="125" t="s">
        <v>2756</v>
      </c>
      <c r="C1535" s="126">
        <v>3.58612556E8</v>
      </c>
    </row>
    <row r="1536">
      <c r="A1536" s="125" t="s">
        <v>2757</v>
      </c>
      <c r="B1536" s="125" t="s">
        <v>2758</v>
      </c>
      <c r="C1536" s="126">
        <v>3.58100868E8</v>
      </c>
    </row>
    <row r="1537">
      <c r="A1537" s="125" t="s">
        <v>2759</v>
      </c>
      <c r="B1537" s="125" t="s">
        <v>2760</v>
      </c>
      <c r="C1537" s="126">
        <v>3.57968426E8</v>
      </c>
    </row>
    <row r="1538">
      <c r="A1538" s="125" t="s">
        <v>2761</v>
      </c>
      <c r="B1538" s="125" t="s">
        <v>2762</v>
      </c>
      <c r="C1538" s="126">
        <v>3.57465426E8</v>
      </c>
    </row>
    <row r="1539">
      <c r="A1539" s="125" t="s">
        <v>2763</v>
      </c>
      <c r="B1539" s="125" t="s">
        <v>2764</v>
      </c>
      <c r="C1539" s="126">
        <v>3.57248952E8</v>
      </c>
    </row>
    <row r="1540">
      <c r="A1540" s="125" t="s">
        <v>2765</v>
      </c>
      <c r="B1540" s="125" t="s">
        <v>2766</v>
      </c>
      <c r="C1540" s="126">
        <v>3.57231556E8</v>
      </c>
    </row>
    <row r="1541">
      <c r="A1541" s="125" t="s">
        <v>2767</v>
      </c>
      <c r="B1541" s="125" t="s">
        <v>2768</v>
      </c>
      <c r="C1541" s="126">
        <v>3.56808607E8</v>
      </c>
    </row>
    <row r="1542">
      <c r="A1542" s="125" t="s">
        <v>2769</v>
      </c>
      <c r="B1542" s="125" t="s">
        <v>2770</v>
      </c>
      <c r="C1542" s="126">
        <v>3.56173587E8</v>
      </c>
    </row>
    <row r="1543">
      <c r="A1543" s="125" t="s">
        <v>2771</v>
      </c>
      <c r="B1543" s="125" t="s">
        <v>2772</v>
      </c>
      <c r="C1543" s="126">
        <v>3.5471631E8</v>
      </c>
    </row>
    <row r="1544">
      <c r="A1544" s="125" t="s">
        <v>2773</v>
      </c>
      <c r="B1544" s="125" t="s">
        <v>2774</v>
      </c>
      <c r="C1544" s="126">
        <v>3.54399485E8</v>
      </c>
    </row>
    <row r="1545">
      <c r="A1545" s="125" t="s">
        <v>2775</v>
      </c>
      <c r="B1545" s="125" t="s">
        <v>2776</v>
      </c>
      <c r="C1545" s="126">
        <v>3.53740776E8</v>
      </c>
    </row>
    <row r="1546">
      <c r="A1546" s="125" t="s">
        <v>2777</v>
      </c>
      <c r="B1546" s="125" t="s">
        <v>2778</v>
      </c>
      <c r="C1546" s="126">
        <v>3.53497356E8</v>
      </c>
    </row>
    <row r="1547">
      <c r="A1547" s="125" t="s">
        <v>2779</v>
      </c>
      <c r="B1547" s="125" t="s">
        <v>2780</v>
      </c>
      <c r="C1547" s="126">
        <v>3.52781887E8</v>
      </c>
    </row>
    <row r="1548">
      <c r="A1548" s="125" t="s">
        <v>2781</v>
      </c>
      <c r="B1548" s="125" t="s">
        <v>2782</v>
      </c>
      <c r="C1548" s="126">
        <v>3.51919044E8</v>
      </c>
    </row>
    <row r="1549">
      <c r="A1549" s="125" t="s">
        <v>2783</v>
      </c>
      <c r="B1549" s="125" t="s">
        <v>2784</v>
      </c>
      <c r="C1549" s="126">
        <v>3.51773535E8</v>
      </c>
    </row>
    <row r="1550">
      <c r="A1550" s="125" t="s">
        <v>2785</v>
      </c>
      <c r="B1550" s="125" t="s">
        <v>2786</v>
      </c>
      <c r="C1550" s="126">
        <v>3.51682425E8</v>
      </c>
    </row>
    <row r="1551">
      <c r="A1551" s="125" t="s">
        <v>2787</v>
      </c>
      <c r="B1551" s="125" t="s">
        <v>2788</v>
      </c>
      <c r="C1551" s="126">
        <v>3.51297761E8</v>
      </c>
    </row>
    <row r="1552">
      <c r="A1552" s="125" t="s">
        <v>2789</v>
      </c>
      <c r="B1552" s="125" t="s">
        <v>2790</v>
      </c>
      <c r="C1552" s="126">
        <v>3.50979882E8</v>
      </c>
    </row>
    <row r="1553">
      <c r="A1553" s="125" t="s">
        <v>2791</v>
      </c>
      <c r="B1553" s="125" t="s">
        <v>2792</v>
      </c>
      <c r="C1553" s="126">
        <v>3.48927005E8</v>
      </c>
    </row>
    <row r="1554">
      <c r="A1554" s="125" t="s">
        <v>2793</v>
      </c>
      <c r="B1554" s="125" t="s">
        <v>2794</v>
      </c>
      <c r="C1554" s="126">
        <v>3.48719456E8</v>
      </c>
    </row>
    <row r="1555">
      <c r="A1555" s="125" t="s">
        <v>2795</v>
      </c>
      <c r="B1555" s="125" t="s">
        <v>2796</v>
      </c>
      <c r="C1555" s="126">
        <v>3.48566732E8</v>
      </c>
    </row>
    <row r="1556">
      <c r="A1556" s="125" t="s">
        <v>2797</v>
      </c>
      <c r="B1556" s="125" t="s">
        <v>2798</v>
      </c>
      <c r="C1556" s="126">
        <v>3.48179198E8</v>
      </c>
    </row>
    <row r="1557">
      <c r="A1557" s="125" t="s">
        <v>2799</v>
      </c>
      <c r="B1557" s="125" t="s">
        <v>2800</v>
      </c>
      <c r="C1557" s="126">
        <v>3.46940711E8</v>
      </c>
    </row>
    <row r="1558">
      <c r="A1558" s="125" t="s">
        <v>2801</v>
      </c>
      <c r="B1558" s="125" t="s">
        <v>2802</v>
      </c>
      <c r="C1558" s="126">
        <v>3.45918213E8</v>
      </c>
    </row>
    <row r="1559">
      <c r="A1559" s="125" t="s">
        <v>2803</v>
      </c>
      <c r="B1559" s="125" t="s">
        <v>2804</v>
      </c>
      <c r="C1559" s="126">
        <v>3.4493346E8</v>
      </c>
    </row>
    <row r="1560">
      <c r="A1560" s="125" t="s">
        <v>2805</v>
      </c>
      <c r="B1560" s="125" t="s">
        <v>2806</v>
      </c>
      <c r="C1560" s="126">
        <v>3.4471703E8</v>
      </c>
    </row>
    <row r="1561">
      <c r="A1561" s="125" t="s">
        <v>2807</v>
      </c>
      <c r="B1561" s="125" t="s">
        <v>2808</v>
      </c>
      <c r="C1561" s="126">
        <v>3.43685911E8</v>
      </c>
    </row>
    <row r="1562">
      <c r="A1562" s="125" t="s">
        <v>2809</v>
      </c>
      <c r="B1562" s="125" t="s">
        <v>2810</v>
      </c>
      <c r="C1562" s="126">
        <v>3.43097993E8</v>
      </c>
    </row>
    <row r="1563">
      <c r="A1563" s="125" t="s">
        <v>2811</v>
      </c>
      <c r="B1563" s="125" t="s">
        <v>2812</v>
      </c>
      <c r="C1563" s="126">
        <v>3.42699001E8</v>
      </c>
    </row>
    <row r="1564">
      <c r="A1564" s="125" t="s">
        <v>2813</v>
      </c>
      <c r="B1564" s="125" t="s">
        <v>2814</v>
      </c>
      <c r="C1564" s="126">
        <v>3.42651182E8</v>
      </c>
    </row>
    <row r="1565">
      <c r="A1565" s="125" t="s">
        <v>2815</v>
      </c>
      <c r="B1565" s="125" t="s">
        <v>2816</v>
      </c>
      <c r="C1565" s="126">
        <v>3.41874073E8</v>
      </c>
    </row>
    <row r="1566">
      <c r="A1566" s="125" t="s">
        <v>2817</v>
      </c>
      <c r="B1566" s="125" t="s">
        <v>2818</v>
      </c>
      <c r="C1566" s="126">
        <v>3.4109619E8</v>
      </c>
    </row>
    <row r="1567">
      <c r="A1567" s="125" t="s">
        <v>2819</v>
      </c>
      <c r="B1567" s="125" t="s">
        <v>2820</v>
      </c>
      <c r="C1567" s="126">
        <v>3.40978932E8</v>
      </c>
    </row>
    <row r="1568">
      <c r="A1568" s="125" t="s">
        <v>2821</v>
      </c>
      <c r="B1568" s="125" t="s">
        <v>2822</v>
      </c>
      <c r="C1568" s="126">
        <v>3.40783533E8</v>
      </c>
    </row>
    <row r="1569">
      <c r="A1569" s="125" t="s">
        <v>2823</v>
      </c>
      <c r="B1569" s="125" t="s">
        <v>2824</v>
      </c>
      <c r="C1569" s="126">
        <v>3.40165347E8</v>
      </c>
    </row>
    <row r="1570">
      <c r="A1570" s="125" t="s">
        <v>2825</v>
      </c>
      <c r="B1570" s="125" t="s">
        <v>2826</v>
      </c>
      <c r="C1570" s="126">
        <v>3.39912806E8</v>
      </c>
    </row>
    <row r="1571">
      <c r="A1571" s="125" t="s">
        <v>2827</v>
      </c>
      <c r="B1571" s="125" t="s">
        <v>2828</v>
      </c>
      <c r="C1571" s="126">
        <v>3.39807976E8</v>
      </c>
    </row>
    <row r="1572">
      <c r="A1572" s="125" t="s">
        <v>2829</v>
      </c>
      <c r="B1572" s="125" t="s">
        <v>2830</v>
      </c>
      <c r="C1572" s="126">
        <v>3.38232735E8</v>
      </c>
    </row>
    <row r="1573">
      <c r="A1573" s="125" t="s">
        <v>2831</v>
      </c>
      <c r="B1573" s="125" t="s">
        <v>2832</v>
      </c>
      <c r="C1573" s="126">
        <v>3.34218556E8</v>
      </c>
    </row>
    <row r="1574">
      <c r="A1574" s="125" t="s">
        <v>2833</v>
      </c>
      <c r="B1574" s="125" t="s">
        <v>2834</v>
      </c>
      <c r="C1574" s="126">
        <v>3.33780202E8</v>
      </c>
    </row>
    <row r="1575">
      <c r="A1575" s="125" t="s">
        <v>2835</v>
      </c>
      <c r="B1575" s="125" t="s">
        <v>2836</v>
      </c>
      <c r="C1575" s="126">
        <v>3.333969E8</v>
      </c>
    </row>
    <row r="1576">
      <c r="A1576" s="125" t="s">
        <v>2837</v>
      </c>
      <c r="B1576" s="125" t="s">
        <v>2838</v>
      </c>
      <c r="C1576" s="126">
        <v>3.31730586E8</v>
      </c>
    </row>
    <row r="1577">
      <c r="A1577" s="125" t="s">
        <v>2839</v>
      </c>
      <c r="B1577" s="125" t="s">
        <v>2840</v>
      </c>
      <c r="C1577" s="126">
        <v>3.31520293E8</v>
      </c>
    </row>
    <row r="1578">
      <c r="A1578" s="125" t="s">
        <v>2841</v>
      </c>
      <c r="B1578" s="125" t="s">
        <v>2842</v>
      </c>
      <c r="C1578" s="126">
        <v>3.31052961E8</v>
      </c>
    </row>
    <row r="1579">
      <c r="A1579" s="125" t="s">
        <v>2843</v>
      </c>
      <c r="B1579" s="125" t="s">
        <v>2844</v>
      </c>
      <c r="C1579" s="126">
        <v>3.30914571E8</v>
      </c>
    </row>
    <row r="1580">
      <c r="A1580" s="125" t="s">
        <v>2845</v>
      </c>
      <c r="B1580" s="125" t="s">
        <v>2846</v>
      </c>
      <c r="C1580" s="126">
        <v>3.30505844E8</v>
      </c>
    </row>
    <row r="1581">
      <c r="A1581" s="125" t="s">
        <v>2847</v>
      </c>
      <c r="B1581" s="125" t="s">
        <v>2848</v>
      </c>
      <c r="C1581" s="126">
        <v>3.30331267E8</v>
      </c>
    </row>
    <row r="1582">
      <c r="A1582" s="125" t="s">
        <v>2849</v>
      </c>
      <c r="B1582" s="125" t="s">
        <v>2850</v>
      </c>
      <c r="C1582" s="126">
        <v>3.30193328E8</v>
      </c>
    </row>
    <row r="1583">
      <c r="A1583" s="125" t="s">
        <v>2851</v>
      </c>
      <c r="B1583" s="125" t="s">
        <v>2852</v>
      </c>
      <c r="C1583" s="126">
        <v>3.30116349E8</v>
      </c>
    </row>
    <row r="1584">
      <c r="A1584" s="125" t="s">
        <v>2853</v>
      </c>
      <c r="B1584" s="125" t="s">
        <v>2854</v>
      </c>
      <c r="C1584" s="126">
        <v>3.28728377E8</v>
      </c>
    </row>
    <row r="1585">
      <c r="A1585" s="125" t="s">
        <v>2855</v>
      </c>
      <c r="B1585" s="125" t="s">
        <v>2856</v>
      </c>
      <c r="C1585" s="126">
        <v>3.27932058E8</v>
      </c>
    </row>
    <row r="1586">
      <c r="A1586" s="125" t="s">
        <v>2857</v>
      </c>
      <c r="B1586" s="125" t="s">
        <v>2858</v>
      </c>
      <c r="C1586" s="126">
        <v>3.26835056E8</v>
      </c>
    </row>
    <row r="1587">
      <c r="A1587" s="125" t="s">
        <v>2859</v>
      </c>
      <c r="B1587" s="125" t="s">
        <v>2860</v>
      </c>
      <c r="C1587" s="126">
        <v>3.26541732E8</v>
      </c>
    </row>
    <row r="1588">
      <c r="A1588" s="125" t="s">
        <v>2861</v>
      </c>
      <c r="B1588" s="125" t="s">
        <v>2862</v>
      </c>
      <c r="C1588" s="126">
        <v>3.26178862E8</v>
      </c>
    </row>
    <row r="1589">
      <c r="A1589" s="125" t="s">
        <v>2863</v>
      </c>
      <c r="B1589" s="125" t="s">
        <v>2864</v>
      </c>
      <c r="C1589" s="126">
        <v>3.25877411E8</v>
      </c>
    </row>
    <row r="1590">
      <c r="A1590" s="125" t="s">
        <v>2865</v>
      </c>
      <c r="B1590" s="125" t="s">
        <v>2866</v>
      </c>
      <c r="C1590" s="126">
        <v>3.25225005E8</v>
      </c>
    </row>
    <row r="1591">
      <c r="A1591" s="125" t="s">
        <v>2867</v>
      </c>
      <c r="B1591" s="125" t="s">
        <v>2868</v>
      </c>
      <c r="C1591" s="126">
        <v>3.25218611E8</v>
      </c>
    </row>
    <row r="1592">
      <c r="A1592" s="125" t="s">
        <v>2869</v>
      </c>
      <c r="B1592" s="125" t="s">
        <v>2870</v>
      </c>
      <c r="C1592" s="126">
        <v>3.25207955E8</v>
      </c>
    </row>
    <row r="1593">
      <c r="A1593" s="125" t="s">
        <v>2871</v>
      </c>
      <c r="B1593" s="125" t="s">
        <v>2872</v>
      </c>
      <c r="C1593" s="126">
        <v>3.24938904E8</v>
      </c>
    </row>
    <row r="1594">
      <c r="A1594" s="125" t="s">
        <v>2873</v>
      </c>
      <c r="B1594" s="125" t="s">
        <v>2874</v>
      </c>
      <c r="C1594" s="126">
        <v>3.24258956E8</v>
      </c>
    </row>
    <row r="1595">
      <c r="A1595" s="125" t="s">
        <v>2875</v>
      </c>
      <c r="B1595" s="125" t="s">
        <v>2876</v>
      </c>
      <c r="C1595" s="126">
        <v>3.23895642E8</v>
      </c>
    </row>
    <row r="1596">
      <c r="A1596" s="125" t="s">
        <v>2877</v>
      </c>
      <c r="B1596" s="125" t="s">
        <v>2878</v>
      </c>
      <c r="C1596" s="126">
        <v>3.23880985E8</v>
      </c>
    </row>
    <row r="1597">
      <c r="A1597" s="125" t="s">
        <v>2879</v>
      </c>
      <c r="B1597" s="125" t="s">
        <v>2880</v>
      </c>
      <c r="C1597" s="126">
        <v>3.21698434E8</v>
      </c>
    </row>
    <row r="1598">
      <c r="A1598" s="125" t="s">
        <v>2881</v>
      </c>
      <c r="B1598" s="125" t="s">
        <v>2882</v>
      </c>
      <c r="C1598" s="126">
        <v>3.18698998E8</v>
      </c>
    </row>
    <row r="1599">
      <c r="A1599" s="125" t="s">
        <v>2883</v>
      </c>
      <c r="B1599" s="125" t="s">
        <v>2884</v>
      </c>
      <c r="C1599" s="126">
        <v>3.18412032E8</v>
      </c>
    </row>
    <row r="1600">
      <c r="A1600" s="125" t="s">
        <v>2885</v>
      </c>
      <c r="B1600" s="125" t="s">
        <v>2886</v>
      </c>
      <c r="C1600" s="126">
        <v>3.18356532E8</v>
      </c>
    </row>
    <row r="1601">
      <c r="A1601" s="125" t="s">
        <v>2887</v>
      </c>
      <c r="B1601" s="125" t="s">
        <v>2888</v>
      </c>
      <c r="C1601" s="126">
        <v>3.17799327E8</v>
      </c>
    </row>
    <row r="1602">
      <c r="A1602" s="125" t="s">
        <v>2889</v>
      </c>
      <c r="B1602" s="125" t="s">
        <v>2890</v>
      </c>
      <c r="C1602" s="126">
        <v>3.17092577E8</v>
      </c>
    </row>
    <row r="1603">
      <c r="A1603" s="125" t="s">
        <v>2891</v>
      </c>
      <c r="B1603" s="125" t="s">
        <v>2892</v>
      </c>
      <c r="C1603" s="126">
        <v>3.16988403E8</v>
      </c>
    </row>
    <row r="1604">
      <c r="A1604" s="125" t="s">
        <v>2893</v>
      </c>
      <c r="B1604" s="125" t="s">
        <v>2894</v>
      </c>
      <c r="C1604" s="126">
        <v>3.16755571E8</v>
      </c>
    </row>
    <row r="1605">
      <c r="A1605" s="125" t="s">
        <v>2895</v>
      </c>
      <c r="B1605" s="125" t="s">
        <v>2896</v>
      </c>
      <c r="C1605" s="126">
        <v>3.15807704E8</v>
      </c>
    </row>
    <row r="1606">
      <c r="A1606" s="125" t="s">
        <v>2897</v>
      </c>
      <c r="B1606" s="125" t="s">
        <v>2898</v>
      </c>
      <c r="C1606" s="126">
        <v>3.14729088E8</v>
      </c>
    </row>
    <row r="1607">
      <c r="A1607" s="125" t="s">
        <v>2899</v>
      </c>
      <c r="B1607" s="125" t="s">
        <v>2900</v>
      </c>
      <c r="C1607" s="126">
        <v>3.14209107E8</v>
      </c>
    </row>
    <row r="1608">
      <c r="A1608" s="125" t="s">
        <v>2901</v>
      </c>
      <c r="B1608" s="125" t="s">
        <v>2902</v>
      </c>
      <c r="C1608" s="126">
        <v>3.14134152E8</v>
      </c>
    </row>
    <row r="1609">
      <c r="A1609" s="125" t="s">
        <v>2903</v>
      </c>
      <c r="B1609" s="125" t="s">
        <v>2904</v>
      </c>
      <c r="C1609" s="126">
        <v>3.1383877E8</v>
      </c>
    </row>
    <row r="1610">
      <c r="A1610" s="125" t="s">
        <v>2905</v>
      </c>
      <c r="B1610" s="125" t="s">
        <v>2906</v>
      </c>
      <c r="C1610" s="126">
        <v>3.12835759E8</v>
      </c>
    </row>
    <row r="1611">
      <c r="A1611" s="125" t="s">
        <v>2907</v>
      </c>
      <c r="B1611" s="125" t="s">
        <v>2908</v>
      </c>
      <c r="C1611" s="126">
        <v>3.12696E8</v>
      </c>
    </row>
    <row r="1612">
      <c r="A1612" s="125" t="s">
        <v>2909</v>
      </c>
      <c r="B1612" s="125" t="s">
        <v>2910</v>
      </c>
      <c r="C1612" s="126">
        <v>3.10538811E8</v>
      </c>
    </row>
    <row r="1613">
      <c r="A1613" s="125" t="s">
        <v>2911</v>
      </c>
      <c r="B1613" s="125" t="s">
        <v>2912</v>
      </c>
      <c r="C1613" s="126">
        <v>3.10107551E8</v>
      </c>
    </row>
    <row r="1614">
      <c r="A1614" s="125" t="s">
        <v>2913</v>
      </c>
      <c r="B1614" s="125" t="s">
        <v>2914</v>
      </c>
      <c r="C1614" s="126">
        <v>3.09515089E8</v>
      </c>
    </row>
    <row r="1615">
      <c r="A1615" s="125" t="s">
        <v>2915</v>
      </c>
      <c r="B1615" s="125" t="s">
        <v>2916</v>
      </c>
      <c r="C1615" s="126">
        <v>3.08591155E8</v>
      </c>
    </row>
    <row r="1616">
      <c r="A1616" s="125" t="s">
        <v>2917</v>
      </c>
      <c r="B1616" s="125" t="s">
        <v>2918</v>
      </c>
      <c r="C1616" s="126">
        <v>3.07214047E8</v>
      </c>
    </row>
    <row r="1617">
      <c r="A1617" s="125" t="s">
        <v>2919</v>
      </c>
      <c r="B1617" s="125" t="s">
        <v>2920</v>
      </c>
      <c r="C1617" s="126">
        <v>3.06826313E8</v>
      </c>
    </row>
    <row r="1618">
      <c r="A1618" s="125" t="s">
        <v>2921</v>
      </c>
      <c r="B1618" s="125" t="s">
        <v>2922</v>
      </c>
      <c r="C1618" s="126">
        <v>3.06442819E8</v>
      </c>
    </row>
    <row r="1619">
      <c r="A1619" s="125" t="s">
        <v>2923</v>
      </c>
      <c r="B1619" s="125" t="s">
        <v>2924</v>
      </c>
      <c r="C1619" s="126">
        <v>3.06033416E8</v>
      </c>
    </row>
    <row r="1620">
      <c r="A1620" s="125" t="s">
        <v>2925</v>
      </c>
      <c r="B1620" s="125" t="s">
        <v>2926</v>
      </c>
      <c r="C1620" s="126">
        <v>3.05617546E8</v>
      </c>
    </row>
    <row r="1621">
      <c r="A1621" s="125" t="s">
        <v>2927</v>
      </c>
      <c r="B1621" s="125" t="s">
        <v>2928</v>
      </c>
      <c r="C1621" s="126">
        <v>3.05006325E8</v>
      </c>
    </row>
    <row r="1622">
      <c r="A1622" s="125" t="s">
        <v>2929</v>
      </c>
      <c r="B1622" s="125" t="s">
        <v>2930</v>
      </c>
      <c r="C1622" s="126">
        <v>3.04060767E8</v>
      </c>
    </row>
    <row r="1623">
      <c r="A1623" s="125" t="s">
        <v>2931</v>
      </c>
      <c r="B1623" s="125" t="s">
        <v>2932</v>
      </c>
      <c r="C1623" s="126">
        <v>3.04052477E8</v>
      </c>
    </row>
    <row r="1624">
      <c r="A1624" s="125" t="s">
        <v>2933</v>
      </c>
      <c r="B1624" s="125" t="s">
        <v>2934</v>
      </c>
      <c r="C1624" s="126">
        <v>3.03916405E8</v>
      </c>
    </row>
    <row r="1625">
      <c r="A1625" s="125" t="s">
        <v>2935</v>
      </c>
      <c r="B1625" s="125" t="s">
        <v>2936</v>
      </c>
      <c r="C1625" s="126">
        <v>3.02920236E8</v>
      </c>
    </row>
    <row r="1626">
      <c r="A1626" s="125" t="s">
        <v>2937</v>
      </c>
      <c r="B1626" s="125" t="s">
        <v>2938</v>
      </c>
      <c r="C1626" s="126">
        <v>3.02623101E8</v>
      </c>
    </row>
    <row r="1627">
      <c r="A1627" s="125" t="s">
        <v>2939</v>
      </c>
      <c r="B1627" s="125" t="s">
        <v>2940</v>
      </c>
      <c r="C1627" s="126">
        <v>3.0261341E8</v>
      </c>
    </row>
    <row r="1628">
      <c r="A1628" s="125" t="s">
        <v>2941</v>
      </c>
      <c r="B1628" s="125" t="s">
        <v>2942</v>
      </c>
      <c r="C1628" s="126">
        <v>3.01712002E8</v>
      </c>
    </row>
    <row r="1629">
      <c r="A1629" s="125" t="s">
        <v>2943</v>
      </c>
      <c r="B1629" s="125" t="s">
        <v>2944</v>
      </c>
      <c r="C1629" s="126">
        <v>3.01079928E8</v>
      </c>
    </row>
    <row r="1630">
      <c r="A1630" s="125" t="s">
        <v>2945</v>
      </c>
      <c r="B1630" s="125" t="s">
        <v>2946</v>
      </c>
      <c r="C1630" s="126">
        <v>3.00922636E8</v>
      </c>
    </row>
    <row r="1631">
      <c r="A1631" s="125" t="s">
        <v>2947</v>
      </c>
      <c r="B1631" s="125" t="s">
        <v>2948</v>
      </c>
      <c r="C1631" s="126">
        <v>3.0061749E8</v>
      </c>
    </row>
    <row r="1632">
      <c r="A1632" s="125" t="s">
        <v>2949</v>
      </c>
      <c r="B1632" s="125" t="s">
        <v>2950</v>
      </c>
      <c r="C1632" s="126">
        <v>3.0041651E8</v>
      </c>
    </row>
    <row r="1633">
      <c r="A1633" s="125" t="s">
        <v>2951</v>
      </c>
      <c r="B1633" s="125" t="s">
        <v>2952</v>
      </c>
      <c r="C1633" s="126">
        <v>2.98551107E8</v>
      </c>
    </row>
    <row r="1634">
      <c r="A1634" s="125" t="s">
        <v>2953</v>
      </c>
      <c r="B1634" s="125" t="s">
        <v>2954</v>
      </c>
      <c r="C1634" s="126">
        <v>2.9765682E8</v>
      </c>
    </row>
    <row r="1635">
      <c r="A1635" s="125" t="s">
        <v>2955</v>
      </c>
      <c r="B1635" s="125" t="s">
        <v>2956</v>
      </c>
      <c r="C1635" s="126">
        <v>2.97377948E8</v>
      </c>
    </row>
    <row r="1636">
      <c r="A1636" s="125" t="s">
        <v>2957</v>
      </c>
      <c r="B1636" s="125" t="s">
        <v>2958</v>
      </c>
      <c r="C1636" s="126">
        <v>2.97177117E8</v>
      </c>
    </row>
    <row r="1637">
      <c r="A1637" s="125" t="s">
        <v>2959</v>
      </c>
      <c r="B1637" s="125" t="s">
        <v>2960</v>
      </c>
      <c r="C1637" s="126">
        <v>2.9672658E8</v>
      </c>
    </row>
    <row r="1638">
      <c r="A1638" s="125" t="s">
        <v>2961</v>
      </c>
      <c r="B1638" s="125" t="s">
        <v>2962</v>
      </c>
      <c r="C1638" s="126">
        <v>2.96698383E8</v>
      </c>
    </row>
    <row r="1639">
      <c r="A1639" s="125" t="s">
        <v>2963</v>
      </c>
      <c r="B1639" s="125" t="s">
        <v>2964</v>
      </c>
      <c r="C1639" s="126">
        <v>2.96317124E8</v>
      </c>
    </row>
    <row r="1640">
      <c r="A1640" s="125" t="s">
        <v>2965</v>
      </c>
      <c r="B1640" s="125" t="s">
        <v>2966</v>
      </c>
      <c r="C1640" s="126">
        <v>2.95259346E8</v>
      </c>
    </row>
    <row r="1641">
      <c r="A1641" s="125" t="s">
        <v>2967</v>
      </c>
      <c r="B1641" s="125" t="s">
        <v>2968</v>
      </c>
      <c r="C1641" s="126">
        <v>2.94957439E8</v>
      </c>
    </row>
    <row r="1642">
      <c r="A1642" s="125" t="s">
        <v>2969</v>
      </c>
      <c r="B1642" s="125" t="s">
        <v>2970</v>
      </c>
      <c r="C1642" s="126">
        <v>2.94639427E8</v>
      </c>
    </row>
    <row r="1643">
      <c r="A1643" s="125" t="s">
        <v>2971</v>
      </c>
      <c r="B1643" s="125" t="s">
        <v>2972</v>
      </c>
      <c r="C1643" s="126">
        <v>2.92338463E8</v>
      </c>
    </row>
    <row r="1644">
      <c r="A1644" s="125" t="s">
        <v>2973</v>
      </c>
      <c r="B1644" s="125" t="s">
        <v>2974</v>
      </c>
      <c r="C1644" s="126">
        <v>2.90592208E8</v>
      </c>
    </row>
    <row r="1645">
      <c r="A1645" s="125" t="s">
        <v>2975</v>
      </c>
      <c r="B1645" s="125" t="s">
        <v>2976</v>
      </c>
      <c r="C1645" s="126">
        <v>2.89830369E8</v>
      </c>
    </row>
    <row r="1646">
      <c r="A1646" s="125" t="s">
        <v>2977</v>
      </c>
      <c r="B1646" s="125" t="s">
        <v>2978</v>
      </c>
      <c r="C1646" s="126">
        <v>2.89498459E8</v>
      </c>
    </row>
    <row r="1647">
      <c r="A1647" s="125" t="s">
        <v>2979</v>
      </c>
      <c r="B1647" s="125" t="s">
        <v>2980</v>
      </c>
      <c r="C1647" s="126">
        <v>2.8781499E8</v>
      </c>
    </row>
    <row r="1648">
      <c r="A1648" s="125" t="s">
        <v>2981</v>
      </c>
      <c r="B1648" s="125" t="s">
        <v>2982</v>
      </c>
      <c r="C1648" s="126">
        <v>2.87066576E8</v>
      </c>
    </row>
    <row r="1649">
      <c r="A1649" s="125" t="s">
        <v>2983</v>
      </c>
      <c r="B1649" s="125" t="s">
        <v>2984</v>
      </c>
      <c r="C1649" s="126">
        <v>2.86484963E8</v>
      </c>
    </row>
    <row r="1650">
      <c r="A1650" s="125" t="s">
        <v>2985</v>
      </c>
      <c r="B1650" s="125" t="s">
        <v>2986</v>
      </c>
      <c r="C1650" s="126">
        <v>2.85951099E8</v>
      </c>
    </row>
    <row r="1651">
      <c r="A1651" s="125" t="s">
        <v>2987</v>
      </c>
      <c r="B1651" s="125" t="s">
        <v>2988</v>
      </c>
      <c r="C1651" s="126">
        <v>2.85621599E8</v>
      </c>
    </row>
    <row r="1652">
      <c r="A1652" s="125" t="s">
        <v>2989</v>
      </c>
      <c r="B1652" s="125" t="s">
        <v>2990</v>
      </c>
      <c r="C1652" s="126">
        <v>2.85547158E8</v>
      </c>
    </row>
    <row r="1653">
      <c r="A1653" s="125" t="s">
        <v>2991</v>
      </c>
      <c r="B1653" s="125" t="s">
        <v>2992</v>
      </c>
      <c r="C1653" s="126">
        <v>2.85033438E8</v>
      </c>
    </row>
    <row r="1654">
      <c r="A1654" s="125" t="s">
        <v>2993</v>
      </c>
      <c r="B1654" s="125" t="s">
        <v>2994</v>
      </c>
      <c r="C1654" s="126">
        <v>2.84027337E8</v>
      </c>
    </row>
    <row r="1655">
      <c r="A1655" s="125" t="s">
        <v>2995</v>
      </c>
      <c r="B1655" s="125" t="s">
        <v>2996</v>
      </c>
      <c r="C1655" s="126">
        <v>2.83649216E8</v>
      </c>
    </row>
    <row r="1656">
      <c r="A1656" s="125" t="s">
        <v>2997</v>
      </c>
      <c r="B1656" s="125" t="s">
        <v>2998</v>
      </c>
      <c r="C1656" s="126">
        <v>2.83277775E8</v>
      </c>
    </row>
    <row r="1657">
      <c r="A1657" s="125" t="s">
        <v>2999</v>
      </c>
      <c r="B1657" s="125" t="s">
        <v>3000</v>
      </c>
      <c r="C1657" s="126">
        <v>2.82963656E8</v>
      </c>
    </row>
    <row r="1658">
      <c r="A1658" s="125" t="s">
        <v>3001</v>
      </c>
      <c r="B1658" s="125" t="s">
        <v>3002</v>
      </c>
      <c r="C1658" s="126">
        <v>2.82952148E8</v>
      </c>
    </row>
    <row r="1659">
      <c r="A1659" s="125" t="s">
        <v>3003</v>
      </c>
      <c r="B1659" s="125" t="s">
        <v>3004</v>
      </c>
      <c r="C1659" s="126">
        <v>2.82804083E8</v>
      </c>
    </row>
    <row r="1660">
      <c r="A1660" s="125" t="s">
        <v>3005</v>
      </c>
      <c r="B1660" s="125" t="s">
        <v>3006</v>
      </c>
      <c r="C1660" s="126">
        <v>2.81789987E8</v>
      </c>
    </row>
    <row r="1661">
      <c r="A1661" s="125" t="s">
        <v>3007</v>
      </c>
      <c r="B1661" s="125" t="s">
        <v>3008</v>
      </c>
      <c r="C1661" s="126">
        <v>2.8160956E8</v>
      </c>
    </row>
    <row r="1662">
      <c r="A1662" s="125" t="s">
        <v>3009</v>
      </c>
      <c r="B1662" s="125" t="s">
        <v>3010</v>
      </c>
      <c r="C1662" s="126">
        <v>2.8002306E8</v>
      </c>
    </row>
    <row r="1663">
      <c r="A1663" s="125" t="s">
        <v>3011</v>
      </c>
      <c r="B1663" s="125" t="s">
        <v>3012</v>
      </c>
      <c r="C1663" s="126">
        <v>2.79579224E8</v>
      </c>
    </row>
    <row r="1664">
      <c r="A1664" s="125" t="s">
        <v>3013</v>
      </c>
      <c r="B1664" s="125" t="s">
        <v>3014</v>
      </c>
      <c r="C1664" s="126">
        <v>2.78914188E8</v>
      </c>
    </row>
    <row r="1665">
      <c r="A1665" s="125" t="s">
        <v>3015</v>
      </c>
      <c r="B1665" s="125" t="s">
        <v>3016</v>
      </c>
      <c r="C1665" s="126">
        <v>2.78006525E8</v>
      </c>
    </row>
    <row r="1666">
      <c r="A1666" s="125" t="s">
        <v>3017</v>
      </c>
      <c r="B1666" s="125" t="s">
        <v>3018</v>
      </c>
      <c r="C1666" s="126">
        <v>2.7773094E8</v>
      </c>
    </row>
    <row r="1667">
      <c r="A1667" s="125" t="s">
        <v>3019</v>
      </c>
      <c r="B1667" s="125" t="s">
        <v>3020</v>
      </c>
      <c r="C1667" s="126">
        <v>2.76751096E8</v>
      </c>
    </row>
    <row r="1668">
      <c r="A1668" s="125" t="s">
        <v>3021</v>
      </c>
      <c r="B1668" s="125" t="s">
        <v>3022</v>
      </c>
      <c r="C1668" s="126">
        <v>2.76620237E8</v>
      </c>
    </row>
    <row r="1669">
      <c r="A1669" s="125" t="s">
        <v>3023</v>
      </c>
      <c r="B1669" s="125" t="s">
        <v>3024</v>
      </c>
      <c r="C1669" s="126">
        <v>2.7471221E8</v>
      </c>
    </row>
    <row r="1670">
      <c r="A1670" s="125" t="s">
        <v>3025</v>
      </c>
      <c r="B1670" s="125" t="s">
        <v>3026</v>
      </c>
      <c r="C1670" s="126">
        <v>2.74690889E8</v>
      </c>
    </row>
    <row r="1671">
      <c r="A1671" s="125" t="s">
        <v>3027</v>
      </c>
      <c r="B1671" s="125" t="s">
        <v>3028</v>
      </c>
      <c r="C1671" s="126">
        <v>2.74664693E8</v>
      </c>
    </row>
    <row r="1672">
      <c r="A1672" s="125" t="s">
        <v>3029</v>
      </c>
      <c r="B1672" s="125" t="s">
        <v>3030</v>
      </c>
      <c r="C1672" s="126">
        <v>2.72855585E8</v>
      </c>
    </row>
    <row r="1673">
      <c r="A1673" s="125" t="s">
        <v>3031</v>
      </c>
      <c r="B1673" s="125" t="s">
        <v>3032</v>
      </c>
      <c r="C1673" s="126">
        <v>2.71986299E8</v>
      </c>
    </row>
    <row r="1674">
      <c r="A1674" s="125" t="s">
        <v>3033</v>
      </c>
      <c r="B1674" s="125" t="s">
        <v>3034</v>
      </c>
      <c r="C1674" s="126">
        <v>2.71895156E8</v>
      </c>
    </row>
    <row r="1675">
      <c r="A1675" s="125" t="s">
        <v>3035</v>
      </c>
      <c r="B1675" s="125" t="s">
        <v>3036</v>
      </c>
      <c r="C1675" s="126">
        <v>2.71855887E8</v>
      </c>
    </row>
    <row r="1676">
      <c r="A1676" s="125" t="s">
        <v>3037</v>
      </c>
      <c r="B1676" s="125" t="s">
        <v>3038</v>
      </c>
      <c r="C1676" s="126">
        <v>2.71200731E8</v>
      </c>
    </row>
    <row r="1677">
      <c r="A1677" s="125" t="s">
        <v>3039</v>
      </c>
      <c r="B1677" s="125" t="s">
        <v>3040</v>
      </c>
      <c r="C1677" s="126">
        <v>2.70628774E8</v>
      </c>
    </row>
    <row r="1678">
      <c r="A1678" s="125" t="s">
        <v>3041</v>
      </c>
      <c r="B1678" s="125" t="s">
        <v>3042</v>
      </c>
      <c r="C1678" s="126">
        <v>2.7002182E8</v>
      </c>
    </row>
    <row r="1679">
      <c r="A1679" s="125" t="s">
        <v>3043</v>
      </c>
      <c r="B1679" s="125" t="s">
        <v>3044</v>
      </c>
      <c r="C1679" s="126">
        <v>2.69810158E8</v>
      </c>
    </row>
    <row r="1680">
      <c r="A1680" s="125" t="s">
        <v>3045</v>
      </c>
      <c r="B1680" s="125" t="s">
        <v>3046</v>
      </c>
      <c r="C1680" s="126">
        <v>2.69146954E8</v>
      </c>
    </row>
    <row r="1681">
      <c r="A1681" s="125" t="s">
        <v>3047</v>
      </c>
      <c r="B1681" s="125" t="s">
        <v>3048</v>
      </c>
      <c r="C1681" s="126">
        <v>2.68447608E8</v>
      </c>
    </row>
    <row r="1682">
      <c r="A1682" s="125" t="s">
        <v>3049</v>
      </c>
      <c r="B1682" s="125" t="s">
        <v>3050</v>
      </c>
      <c r="C1682" s="126">
        <v>2.68139015E8</v>
      </c>
    </row>
    <row r="1683">
      <c r="A1683" s="125" t="s">
        <v>3051</v>
      </c>
      <c r="B1683" s="125" t="s">
        <v>3052</v>
      </c>
      <c r="C1683" s="126">
        <v>2.6809205E8</v>
      </c>
    </row>
    <row r="1684">
      <c r="A1684" s="125" t="s">
        <v>3053</v>
      </c>
      <c r="B1684" s="125" t="s">
        <v>3054</v>
      </c>
      <c r="C1684" s="126">
        <v>2.6779011E8</v>
      </c>
    </row>
    <row r="1685">
      <c r="A1685" s="125" t="s">
        <v>3055</v>
      </c>
      <c r="B1685" s="125" t="s">
        <v>3056</v>
      </c>
      <c r="C1685" s="126">
        <v>2.67199475E8</v>
      </c>
    </row>
    <row r="1686">
      <c r="A1686" s="125" t="s">
        <v>3057</v>
      </c>
      <c r="B1686" s="125" t="s">
        <v>3058</v>
      </c>
      <c r="C1686" s="126">
        <v>2.66380183E8</v>
      </c>
    </row>
    <row r="1687">
      <c r="A1687" s="125" t="s">
        <v>3059</v>
      </c>
      <c r="B1687" s="125" t="s">
        <v>3060</v>
      </c>
      <c r="C1687" s="126">
        <v>2.65352262E8</v>
      </c>
    </row>
    <row r="1688">
      <c r="A1688" s="125" t="s">
        <v>3061</v>
      </c>
      <c r="B1688" s="125" t="s">
        <v>3062</v>
      </c>
      <c r="C1688" s="126">
        <v>2.65316517E8</v>
      </c>
    </row>
    <row r="1689">
      <c r="A1689" s="125" t="s">
        <v>3063</v>
      </c>
      <c r="B1689" s="125" t="s">
        <v>3064</v>
      </c>
      <c r="C1689" s="126">
        <v>2.64720296E8</v>
      </c>
    </row>
    <row r="1690">
      <c r="A1690" s="125" t="s">
        <v>3065</v>
      </c>
      <c r="B1690" s="125" t="s">
        <v>3066</v>
      </c>
      <c r="C1690" s="126">
        <v>2.64070175E8</v>
      </c>
    </row>
    <row r="1691">
      <c r="A1691" s="125" t="s">
        <v>3067</v>
      </c>
      <c r="B1691" s="125" t="s">
        <v>3068</v>
      </c>
      <c r="C1691" s="126">
        <v>2.63412498E8</v>
      </c>
    </row>
    <row r="1692">
      <c r="A1692" s="125" t="s">
        <v>3069</v>
      </c>
      <c r="B1692" s="125" t="s">
        <v>3070</v>
      </c>
      <c r="C1692" s="126">
        <v>2.62820728E8</v>
      </c>
    </row>
    <row r="1693">
      <c r="A1693" s="125" t="s">
        <v>3071</v>
      </c>
      <c r="B1693" s="125" t="s">
        <v>3072</v>
      </c>
      <c r="C1693" s="126">
        <v>2.62176829E8</v>
      </c>
    </row>
    <row r="1694">
      <c r="A1694" s="125" t="s">
        <v>3073</v>
      </c>
      <c r="B1694" s="125" t="s">
        <v>3074</v>
      </c>
      <c r="C1694" s="126">
        <v>2.61678286E8</v>
      </c>
    </row>
    <row r="1695">
      <c r="A1695" s="125" t="s">
        <v>3075</v>
      </c>
      <c r="B1695" s="125" t="s">
        <v>3076</v>
      </c>
      <c r="C1695" s="126">
        <v>2.61243965E8</v>
      </c>
    </row>
    <row r="1696">
      <c r="A1696" s="125" t="s">
        <v>3077</v>
      </c>
      <c r="B1696" s="125" t="s">
        <v>3078</v>
      </c>
      <c r="C1696" s="126">
        <v>2.60454217E8</v>
      </c>
    </row>
    <row r="1697">
      <c r="A1697" s="125" t="s">
        <v>3079</v>
      </c>
      <c r="B1697" s="125" t="s">
        <v>3080</v>
      </c>
      <c r="C1697" s="126">
        <v>2.60066329E8</v>
      </c>
    </row>
    <row r="1698">
      <c r="A1698" s="125" t="s">
        <v>3081</v>
      </c>
      <c r="B1698" s="125" t="s">
        <v>3082</v>
      </c>
      <c r="C1698" s="126">
        <v>2.57805918E8</v>
      </c>
    </row>
    <row r="1699">
      <c r="A1699" s="125" t="s">
        <v>3083</v>
      </c>
      <c r="B1699" s="125" t="s">
        <v>3084</v>
      </c>
      <c r="C1699" s="126">
        <v>2.56854412E8</v>
      </c>
    </row>
    <row r="1700">
      <c r="A1700" s="125" t="s">
        <v>3085</v>
      </c>
      <c r="B1700" s="125" t="s">
        <v>3086</v>
      </c>
      <c r="C1700" s="126">
        <v>2.56795E8</v>
      </c>
    </row>
    <row r="1701">
      <c r="A1701" s="125" t="s">
        <v>3087</v>
      </c>
      <c r="B1701" s="125" t="s">
        <v>3088</v>
      </c>
      <c r="C1701" s="126">
        <v>2.5664826E8</v>
      </c>
    </row>
    <row r="1702">
      <c r="A1702" s="125" t="s">
        <v>3089</v>
      </c>
      <c r="B1702" s="125" t="s">
        <v>3090</v>
      </c>
      <c r="C1702" s="126">
        <v>2.55851055E8</v>
      </c>
    </row>
    <row r="1703">
      <c r="A1703" s="125" t="s">
        <v>3091</v>
      </c>
      <c r="B1703" s="125" t="s">
        <v>3092</v>
      </c>
      <c r="C1703" s="126">
        <v>2.55685413E8</v>
      </c>
    </row>
    <row r="1704">
      <c r="A1704" s="125" t="s">
        <v>3093</v>
      </c>
      <c r="B1704" s="125" t="s">
        <v>3094</v>
      </c>
      <c r="C1704" s="126">
        <v>2.54752885E8</v>
      </c>
    </row>
    <row r="1705">
      <c r="A1705" s="125" t="s">
        <v>3095</v>
      </c>
      <c r="B1705" s="125" t="s">
        <v>3096</v>
      </c>
      <c r="C1705" s="126">
        <v>2.53802124E8</v>
      </c>
    </row>
    <row r="1706">
      <c r="A1706" s="125" t="s">
        <v>3097</v>
      </c>
      <c r="B1706" s="125" t="s">
        <v>3098</v>
      </c>
      <c r="C1706" s="126">
        <v>2.53489116E8</v>
      </c>
    </row>
    <row r="1707">
      <c r="A1707" s="125" t="s">
        <v>3099</v>
      </c>
      <c r="B1707" s="125" t="s">
        <v>3100</v>
      </c>
      <c r="C1707" s="126">
        <v>2.53419278E8</v>
      </c>
    </row>
    <row r="1708">
      <c r="A1708" s="125" t="s">
        <v>3101</v>
      </c>
      <c r="B1708" s="125" t="s">
        <v>3102</v>
      </c>
      <c r="C1708" s="126">
        <v>2.49994156E8</v>
      </c>
    </row>
    <row r="1709">
      <c r="A1709" s="125" t="s">
        <v>3103</v>
      </c>
      <c r="B1709" s="125" t="s">
        <v>3104</v>
      </c>
      <c r="C1709" s="126">
        <v>2.49697975E8</v>
      </c>
    </row>
    <row r="1710">
      <c r="A1710" s="125" t="s">
        <v>3105</v>
      </c>
      <c r="B1710" s="125" t="s">
        <v>3106</v>
      </c>
      <c r="C1710" s="126">
        <v>2.49272675E8</v>
      </c>
    </row>
    <row r="1711">
      <c r="A1711" s="125" t="s">
        <v>3107</v>
      </c>
      <c r="B1711" s="125" t="s">
        <v>3108</v>
      </c>
      <c r="C1711" s="126">
        <v>2.49130442E8</v>
      </c>
    </row>
    <row r="1712">
      <c r="A1712" s="125" t="s">
        <v>3109</v>
      </c>
      <c r="B1712" s="125" t="s">
        <v>3110</v>
      </c>
      <c r="C1712" s="126">
        <v>2.48929087E8</v>
      </c>
    </row>
    <row r="1713">
      <c r="A1713" s="125" t="s">
        <v>3111</v>
      </c>
      <c r="B1713" s="125" t="s">
        <v>3112</v>
      </c>
      <c r="C1713" s="126">
        <v>2.48707E8</v>
      </c>
    </row>
    <row r="1714">
      <c r="A1714" s="125" t="s">
        <v>3113</v>
      </c>
      <c r="B1714" s="125" t="s">
        <v>3114</v>
      </c>
      <c r="C1714" s="126">
        <v>2.48193676E8</v>
      </c>
    </row>
    <row r="1715">
      <c r="A1715" s="125" t="s">
        <v>3115</v>
      </c>
      <c r="B1715" s="125" t="s">
        <v>3116</v>
      </c>
      <c r="C1715" s="126">
        <v>2.46822857E8</v>
      </c>
    </row>
    <row r="1716">
      <c r="A1716" s="125" t="s">
        <v>3117</v>
      </c>
      <c r="B1716" s="125" t="s">
        <v>3118</v>
      </c>
      <c r="C1716" s="126">
        <v>2.45502367E8</v>
      </c>
    </row>
    <row r="1717">
      <c r="A1717" s="125" t="s">
        <v>3119</v>
      </c>
      <c r="B1717" s="125" t="s">
        <v>3120</v>
      </c>
      <c r="C1717" s="126">
        <v>2.45492765E8</v>
      </c>
    </row>
    <row r="1718">
      <c r="A1718" s="125" t="s">
        <v>3121</v>
      </c>
      <c r="B1718" s="125" t="s">
        <v>3122</v>
      </c>
      <c r="C1718" s="126">
        <v>2.45352907E8</v>
      </c>
    </row>
    <row r="1719">
      <c r="A1719" s="125" t="s">
        <v>3123</v>
      </c>
      <c r="B1719" s="125" t="s">
        <v>3124</v>
      </c>
      <c r="C1719" s="126">
        <v>2.4250194E8</v>
      </c>
    </row>
    <row r="1720">
      <c r="A1720" s="125" t="s">
        <v>3125</v>
      </c>
      <c r="B1720" s="125" t="s">
        <v>3126</v>
      </c>
      <c r="C1720" s="126">
        <v>2.42466329E8</v>
      </c>
    </row>
    <row r="1721">
      <c r="A1721" s="125" t="s">
        <v>3127</v>
      </c>
      <c r="B1721" s="125" t="s">
        <v>3128</v>
      </c>
      <c r="C1721" s="126">
        <v>2.42364142E8</v>
      </c>
    </row>
    <row r="1722">
      <c r="A1722" s="125" t="s">
        <v>3129</v>
      </c>
      <c r="B1722" s="125" t="s">
        <v>3130</v>
      </c>
      <c r="C1722" s="126">
        <v>2.42022383E8</v>
      </c>
    </row>
    <row r="1723">
      <c r="A1723" s="125" t="s">
        <v>3131</v>
      </c>
      <c r="B1723" s="125" t="s">
        <v>3132</v>
      </c>
      <c r="C1723" s="126">
        <v>2.41932061E8</v>
      </c>
    </row>
    <row r="1724">
      <c r="A1724" s="125" t="s">
        <v>3133</v>
      </c>
      <c r="B1724" s="125" t="s">
        <v>3134</v>
      </c>
      <c r="C1724" s="126">
        <v>2.41690403E8</v>
      </c>
    </row>
    <row r="1725">
      <c r="A1725" s="125" t="s">
        <v>3135</v>
      </c>
      <c r="B1725" s="125" t="s">
        <v>3136</v>
      </c>
      <c r="C1725" s="126">
        <v>2.41429461E8</v>
      </c>
    </row>
    <row r="1726">
      <c r="A1726" s="125" t="s">
        <v>3137</v>
      </c>
      <c r="B1726" s="125" t="s">
        <v>3138</v>
      </c>
      <c r="C1726" s="126">
        <v>2.40364665E8</v>
      </c>
    </row>
    <row r="1727">
      <c r="A1727" s="125" t="s">
        <v>3139</v>
      </c>
      <c r="B1727" s="125" t="s">
        <v>3140</v>
      </c>
      <c r="C1727" s="126">
        <v>2.40233233E8</v>
      </c>
    </row>
    <row r="1728">
      <c r="A1728" s="125" t="s">
        <v>3141</v>
      </c>
      <c r="B1728" s="125" t="s">
        <v>3142</v>
      </c>
      <c r="C1728" s="126">
        <v>2.40202725E8</v>
      </c>
    </row>
    <row r="1729">
      <c r="A1729" s="125" t="s">
        <v>3143</v>
      </c>
      <c r="B1729" s="125" t="s">
        <v>3144</v>
      </c>
      <c r="C1729" s="126">
        <v>2.39313498E8</v>
      </c>
    </row>
    <row r="1730">
      <c r="A1730" s="125" t="s">
        <v>3145</v>
      </c>
      <c r="B1730" s="125" t="s">
        <v>3146</v>
      </c>
      <c r="C1730" s="126">
        <v>2.38800291E8</v>
      </c>
    </row>
    <row r="1731">
      <c r="A1731" s="125" t="s">
        <v>3147</v>
      </c>
      <c r="B1731" s="125" t="s">
        <v>3148</v>
      </c>
      <c r="C1731" s="126">
        <v>2.38766514E8</v>
      </c>
    </row>
    <row r="1732">
      <c r="A1732" s="125" t="s">
        <v>3149</v>
      </c>
      <c r="B1732" s="125" t="s">
        <v>3150</v>
      </c>
      <c r="C1732" s="126">
        <v>2.38614823E8</v>
      </c>
    </row>
    <row r="1733">
      <c r="A1733" s="125" t="s">
        <v>3151</v>
      </c>
      <c r="B1733" s="125" t="s">
        <v>3152</v>
      </c>
      <c r="C1733" s="126">
        <v>2.37854764E8</v>
      </c>
    </row>
    <row r="1734">
      <c r="A1734" s="125" t="s">
        <v>3153</v>
      </c>
      <c r="B1734" s="125" t="s">
        <v>3154</v>
      </c>
      <c r="C1734" s="126">
        <v>2.37763422E8</v>
      </c>
    </row>
    <row r="1735">
      <c r="A1735" s="125" t="s">
        <v>3155</v>
      </c>
      <c r="B1735" s="125" t="s">
        <v>3156</v>
      </c>
      <c r="C1735" s="126">
        <v>2.37202737E8</v>
      </c>
    </row>
    <row r="1736">
      <c r="A1736" s="125" t="s">
        <v>3157</v>
      </c>
      <c r="B1736" s="125" t="s">
        <v>3158</v>
      </c>
      <c r="C1736" s="126">
        <v>2.37120533E8</v>
      </c>
    </row>
    <row r="1737">
      <c r="A1737" s="125" t="s">
        <v>3159</v>
      </c>
      <c r="B1737" s="125" t="s">
        <v>3160</v>
      </c>
      <c r="C1737" s="126">
        <v>2.37031453E8</v>
      </c>
    </row>
    <row r="1738">
      <c r="A1738" s="125" t="s">
        <v>3161</v>
      </c>
      <c r="B1738" s="125" t="s">
        <v>3162</v>
      </c>
      <c r="C1738" s="126">
        <v>2.36710077E8</v>
      </c>
    </row>
    <row r="1739">
      <c r="A1739" s="125" t="s">
        <v>3163</v>
      </c>
      <c r="B1739" s="125" t="s">
        <v>3164</v>
      </c>
      <c r="C1739" s="126">
        <v>2.35189197E8</v>
      </c>
    </row>
    <row r="1740">
      <c r="A1740" s="125" t="s">
        <v>3165</v>
      </c>
      <c r="B1740" s="125" t="s">
        <v>3166</v>
      </c>
      <c r="C1740" s="126">
        <v>2.34362128E8</v>
      </c>
    </row>
    <row r="1741">
      <c r="A1741" s="125" t="s">
        <v>3167</v>
      </c>
      <c r="B1741" s="125" t="s">
        <v>3168</v>
      </c>
      <c r="C1741" s="126">
        <v>2.33698471E8</v>
      </c>
    </row>
    <row r="1742">
      <c r="A1742" s="125" t="s">
        <v>3169</v>
      </c>
      <c r="B1742" s="125" t="s">
        <v>3170</v>
      </c>
      <c r="C1742" s="126">
        <v>2.33452203E8</v>
      </c>
    </row>
    <row r="1743">
      <c r="A1743" s="125" t="s">
        <v>3171</v>
      </c>
      <c r="B1743" s="125" t="s">
        <v>3172</v>
      </c>
      <c r="C1743" s="126">
        <v>2.33415616E8</v>
      </c>
    </row>
    <row r="1744">
      <c r="A1744" s="125" t="s">
        <v>3173</v>
      </c>
      <c r="B1744" s="125" t="s">
        <v>3174</v>
      </c>
      <c r="C1744" s="126">
        <v>2.29713717E8</v>
      </c>
    </row>
    <row r="1745">
      <c r="A1745" s="125" t="s">
        <v>3175</v>
      </c>
      <c r="B1745" s="125" t="s">
        <v>3176</v>
      </c>
      <c r="C1745" s="126">
        <v>2.29066939E8</v>
      </c>
    </row>
    <row r="1746">
      <c r="A1746" s="125" t="s">
        <v>3177</v>
      </c>
      <c r="B1746" s="125" t="s">
        <v>3178</v>
      </c>
      <c r="C1746" s="126">
        <v>2.28870642E8</v>
      </c>
    </row>
    <row r="1747">
      <c r="A1747" s="125" t="s">
        <v>3179</v>
      </c>
      <c r="B1747" s="125" t="s">
        <v>3180</v>
      </c>
      <c r="C1747" s="126">
        <v>2.27465146E8</v>
      </c>
    </row>
    <row r="1748">
      <c r="A1748" s="125" t="s">
        <v>3181</v>
      </c>
      <c r="B1748" s="125" t="s">
        <v>3182</v>
      </c>
      <c r="C1748" s="126">
        <v>2.26963125E8</v>
      </c>
    </row>
    <row r="1749">
      <c r="A1749" s="125" t="s">
        <v>3183</v>
      </c>
      <c r="B1749" s="125" t="s">
        <v>3184</v>
      </c>
      <c r="C1749" s="126">
        <v>2.25645246E8</v>
      </c>
    </row>
    <row r="1750">
      <c r="A1750" s="125" t="s">
        <v>3185</v>
      </c>
      <c r="B1750" s="125" t="s">
        <v>3186</v>
      </c>
      <c r="C1750" s="126">
        <v>2.25542207E8</v>
      </c>
    </row>
    <row r="1751">
      <c r="A1751" s="125" t="s">
        <v>3187</v>
      </c>
      <c r="B1751" s="125" t="s">
        <v>3188</v>
      </c>
      <c r="C1751" s="126">
        <v>2.24701289E8</v>
      </c>
    </row>
    <row r="1752">
      <c r="A1752" s="125" t="s">
        <v>3189</v>
      </c>
      <c r="B1752" s="125" t="s">
        <v>3190</v>
      </c>
      <c r="C1752" s="126">
        <v>2.24617221E8</v>
      </c>
    </row>
    <row r="1753">
      <c r="A1753" s="125" t="s">
        <v>3191</v>
      </c>
      <c r="B1753" s="125" t="s">
        <v>3192</v>
      </c>
      <c r="C1753" s="126">
        <v>2.23893793E8</v>
      </c>
    </row>
    <row r="1754">
      <c r="A1754" s="125" t="s">
        <v>3193</v>
      </c>
      <c r="B1754" s="125" t="s">
        <v>3194</v>
      </c>
      <c r="C1754" s="126">
        <v>2.23723624E8</v>
      </c>
    </row>
    <row r="1755">
      <c r="A1755" s="125" t="s">
        <v>3195</v>
      </c>
      <c r="B1755" s="125" t="s">
        <v>3196</v>
      </c>
      <c r="C1755" s="126">
        <v>2.23533898E8</v>
      </c>
    </row>
    <row r="1756">
      <c r="A1756" s="125" t="s">
        <v>3197</v>
      </c>
      <c r="B1756" s="125" t="s">
        <v>3198</v>
      </c>
      <c r="C1756" s="126">
        <v>2.22621063E8</v>
      </c>
    </row>
    <row r="1757">
      <c r="A1757" s="125" t="s">
        <v>3199</v>
      </c>
      <c r="B1757" s="125" t="s">
        <v>3200</v>
      </c>
      <c r="C1757" s="126">
        <v>2.22367451E8</v>
      </c>
    </row>
    <row r="1758">
      <c r="A1758" s="125" t="s">
        <v>3201</v>
      </c>
      <c r="B1758" s="125" t="s">
        <v>3202</v>
      </c>
      <c r="C1758" s="126">
        <v>2.2215559E8</v>
      </c>
    </row>
    <row r="1759">
      <c r="A1759" s="125" t="s">
        <v>3203</v>
      </c>
      <c r="B1759" s="125" t="s">
        <v>3204</v>
      </c>
      <c r="C1759" s="126">
        <v>2.21868818E8</v>
      </c>
    </row>
    <row r="1760">
      <c r="A1760" s="125" t="s">
        <v>3205</v>
      </c>
      <c r="B1760" s="125" t="s">
        <v>3206</v>
      </c>
      <c r="C1760" s="126">
        <v>2.20745006E8</v>
      </c>
    </row>
    <row r="1761">
      <c r="A1761" s="125" t="s">
        <v>3207</v>
      </c>
      <c r="B1761" s="125" t="s">
        <v>3208</v>
      </c>
      <c r="C1761" s="126">
        <v>2.20745006E8</v>
      </c>
    </row>
    <row r="1762">
      <c r="A1762" s="125" t="s">
        <v>3209</v>
      </c>
      <c r="B1762" s="125" t="s">
        <v>3210</v>
      </c>
      <c r="C1762" s="126">
        <v>2.20447337E8</v>
      </c>
    </row>
    <row r="1763">
      <c r="A1763" s="125" t="s">
        <v>3211</v>
      </c>
      <c r="B1763" s="125" t="s">
        <v>3212</v>
      </c>
      <c r="C1763" s="126">
        <v>2.17457595E8</v>
      </c>
    </row>
    <row r="1764">
      <c r="A1764" s="125" t="s">
        <v>3213</v>
      </c>
      <c r="B1764" s="125" t="s">
        <v>3214</v>
      </c>
      <c r="C1764" s="126">
        <v>2.16578933E8</v>
      </c>
    </row>
    <row r="1765">
      <c r="A1765" s="125" t="s">
        <v>3215</v>
      </c>
      <c r="B1765" s="125" t="s">
        <v>3216</v>
      </c>
      <c r="C1765" s="126">
        <v>2.16246437E8</v>
      </c>
    </row>
    <row r="1766">
      <c r="A1766" s="125" t="s">
        <v>3217</v>
      </c>
      <c r="B1766" s="125" t="s">
        <v>3218</v>
      </c>
      <c r="C1766" s="126">
        <v>2.16172075E8</v>
      </c>
    </row>
    <row r="1767">
      <c r="A1767" s="125" t="s">
        <v>3219</v>
      </c>
      <c r="B1767" s="125" t="s">
        <v>3220</v>
      </c>
      <c r="C1767" s="126">
        <v>2.15807166E8</v>
      </c>
    </row>
    <row r="1768">
      <c r="A1768" s="125" t="s">
        <v>3221</v>
      </c>
      <c r="B1768" s="125" t="s">
        <v>3222</v>
      </c>
      <c r="C1768" s="126">
        <v>2.14390675E8</v>
      </c>
    </row>
    <row r="1769">
      <c r="A1769" s="125" t="s">
        <v>3223</v>
      </c>
      <c r="B1769" s="125" t="s">
        <v>3224</v>
      </c>
      <c r="C1769" s="126">
        <v>2.1165734E8</v>
      </c>
    </row>
    <row r="1770">
      <c r="A1770" s="125" t="s">
        <v>3225</v>
      </c>
      <c r="B1770" s="125" t="s">
        <v>3226</v>
      </c>
      <c r="C1770" s="126">
        <v>2.11375328E8</v>
      </c>
    </row>
    <row r="1771">
      <c r="A1771" s="125" t="s">
        <v>3227</v>
      </c>
      <c r="B1771" s="125" t="s">
        <v>3228</v>
      </c>
      <c r="C1771" s="126">
        <v>2.11091207E8</v>
      </c>
    </row>
    <row r="1772">
      <c r="A1772" s="125" t="s">
        <v>3229</v>
      </c>
      <c r="B1772" s="125" t="s">
        <v>3230</v>
      </c>
      <c r="C1772" s="126">
        <v>2.0844347E8</v>
      </c>
    </row>
    <row r="1773">
      <c r="A1773" s="125" t="s">
        <v>3231</v>
      </c>
      <c r="B1773" s="125" t="s">
        <v>3232</v>
      </c>
      <c r="C1773" s="126">
        <v>2.06938342E8</v>
      </c>
    </row>
    <row r="1774">
      <c r="A1774" s="125" t="s">
        <v>3233</v>
      </c>
      <c r="B1774" s="125" t="s">
        <v>3234</v>
      </c>
      <c r="C1774" s="126">
        <v>2.06609803E8</v>
      </c>
    </row>
    <row r="1775">
      <c r="A1775" s="125" t="s">
        <v>3235</v>
      </c>
      <c r="B1775" s="125" t="s">
        <v>3236</v>
      </c>
      <c r="C1775" s="126">
        <v>2.05585807E8</v>
      </c>
    </row>
    <row r="1776">
      <c r="A1776" s="125" t="s">
        <v>3237</v>
      </c>
      <c r="B1776" s="125" t="s">
        <v>3238</v>
      </c>
      <c r="C1776" s="126">
        <v>2.05274321E8</v>
      </c>
    </row>
    <row r="1777">
      <c r="A1777" s="125" t="s">
        <v>3239</v>
      </c>
      <c r="B1777" s="125" t="s">
        <v>3240</v>
      </c>
      <c r="C1777" s="126">
        <v>2.04974271E8</v>
      </c>
    </row>
    <row r="1778">
      <c r="A1778" s="125" t="s">
        <v>3241</v>
      </c>
      <c r="B1778" s="125" t="s">
        <v>3242</v>
      </c>
      <c r="C1778" s="126">
        <v>2.04940221E8</v>
      </c>
    </row>
    <row r="1779">
      <c r="A1779" s="125" t="s">
        <v>3243</v>
      </c>
      <c r="B1779" s="125" t="s">
        <v>3244</v>
      </c>
      <c r="C1779" s="126">
        <v>2.03240897E8</v>
      </c>
    </row>
    <row r="1780">
      <c r="A1780" s="125" t="s">
        <v>3245</v>
      </c>
      <c r="B1780" s="125" t="s">
        <v>3246</v>
      </c>
      <c r="C1780" s="126">
        <v>1.9930757E8</v>
      </c>
    </row>
    <row r="1781">
      <c r="A1781" s="125" t="s">
        <v>3247</v>
      </c>
      <c r="B1781" s="125" t="s">
        <v>3248</v>
      </c>
      <c r="C1781" s="126">
        <v>1.97676884E8</v>
      </c>
    </row>
    <row r="1782">
      <c r="A1782" s="125" t="s">
        <v>3249</v>
      </c>
      <c r="B1782" s="125" t="s">
        <v>3250</v>
      </c>
      <c r="C1782" s="126">
        <v>1.95719579E8</v>
      </c>
    </row>
    <row r="1783">
      <c r="A1783" s="125" t="s">
        <v>3251</v>
      </c>
      <c r="B1783" s="125" t="s">
        <v>3252</v>
      </c>
      <c r="C1783" s="126">
        <v>1.95693972E8</v>
      </c>
    </row>
    <row r="1784">
      <c r="A1784" s="125" t="s">
        <v>3253</v>
      </c>
      <c r="B1784" s="125" t="s">
        <v>3254</v>
      </c>
      <c r="C1784" s="126">
        <v>1.92911358E8</v>
      </c>
    </row>
    <row r="1785">
      <c r="A1785" s="125" t="s">
        <v>3255</v>
      </c>
      <c r="B1785" s="125" t="s">
        <v>3256</v>
      </c>
      <c r="C1785" s="126">
        <v>1.9100589E8</v>
      </c>
    </row>
    <row r="1786">
      <c r="A1786" s="125" t="s">
        <v>3257</v>
      </c>
      <c r="B1786" s="125" t="s">
        <v>3258</v>
      </c>
      <c r="C1786" s="126">
        <v>1.90795282E8</v>
      </c>
    </row>
    <row r="1787">
      <c r="A1787" s="125" t="s">
        <v>3259</v>
      </c>
      <c r="B1787" s="125" t="s">
        <v>3260</v>
      </c>
      <c r="C1787" s="126">
        <v>1.86526425E8</v>
      </c>
    </row>
    <row r="1788">
      <c r="A1788" s="125" t="s">
        <v>3261</v>
      </c>
      <c r="B1788" s="125" t="s">
        <v>3262</v>
      </c>
      <c r="C1788" s="126">
        <v>1.86022946E8</v>
      </c>
    </row>
    <row r="1789">
      <c r="A1789" s="125" t="s">
        <v>3263</v>
      </c>
      <c r="B1789" s="125" t="s">
        <v>3264</v>
      </c>
      <c r="C1789" s="126">
        <v>1.85313328E8</v>
      </c>
    </row>
    <row r="1790">
      <c r="A1790" s="125" t="s">
        <v>3265</v>
      </c>
      <c r="B1790" s="125" t="s">
        <v>3266</v>
      </c>
      <c r="C1790" s="126">
        <v>1.85285755E8</v>
      </c>
    </row>
    <row r="1791">
      <c r="A1791" s="125" t="s">
        <v>3267</v>
      </c>
      <c r="B1791" s="125" t="s">
        <v>3268</v>
      </c>
      <c r="C1791" s="126">
        <v>1.84836128E8</v>
      </c>
    </row>
    <row r="1792">
      <c r="A1792" s="125" t="s">
        <v>3269</v>
      </c>
      <c r="B1792" s="125" t="s">
        <v>3270</v>
      </c>
      <c r="C1792" s="126">
        <v>1.8467108E8</v>
      </c>
    </row>
    <row r="1793">
      <c r="A1793" s="125" t="s">
        <v>3271</v>
      </c>
      <c r="B1793" s="125" t="s">
        <v>3272</v>
      </c>
      <c r="C1793" s="126">
        <v>1.84195987E8</v>
      </c>
    </row>
    <row r="1794">
      <c r="A1794" s="125" t="s">
        <v>3273</v>
      </c>
      <c r="B1794" s="125" t="s">
        <v>3274</v>
      </c>
      <c r="C1794" s="126">
        <v>1.84115658E8</v>
      </c>
    </row>
    <row r="1795">
      <c r="A1795" s="125" t="s">
        <v>3275</v>
      </c>
      <c r="B1795" s="125" t="s">
        <v>3276</v>
      </c>
      <c r="C1795" s="126">
        <v>1.83750207E8</v>
      </c>
    </row>
    <row r="1796">
      <c r="A1796" s="125" t="s">
        <v>3277</v>
      </c>
      <c r="B1796" s="125" t="s">
        <v>3278</v>
      </c>
      <c r="C1796" s="126">
        <v>1.82370882E8</v>
      </c>
    </row>
    <row r="1797">
      <c r="A1797" s="125" t="s">
        <v>3279</v>
      </c>
      <c r="B1797" s="125" t="s">
        <v>3280</v>
      </c>
      <c r="C1797" s="126">
        <v>1.82048242E8</v>
      </c>
    </row>
    <row r="1798">
      <c r="A1798" s="125" t="s">
        <v>3281</v>
      </c>
      <c r="B1798" s="125" t="s">
        <v>3282</v>
      </c>
      <c r="C1798" s="126">
        <v>1.8139212E8</v>
      </c>
    </row>
    <row r="1799">
      <c r="A1799" s="125" t="s">
        <v>3283</v>
      </c>
      <c r="B1799" s="125" t="s">
        <v>3284</v>
      </c>
      <c r="C1799" s="126">
        <v>1.80576744E8</v>
      </c>
    </row>
    <row r="1800">
      <c r="A1800" s="125" t="s">
        <v>3285</v>
      </c>
      <c r="B1800" s="125" t="s">
        <v>3286</v>
      </c>
      <c r="C1800" s="126">
        <v>1.80112572E8</v>
      </c>
    </row>
    <row r="1801">
      <c r="A1801" s="125" t="s">
        <v>3287</v>
      </c>
      <c r="B1801" s="125" t="s">
        <v>3288</v>
      </c>
      <c r="C1801" s="126">
        <v>1.78603779E8</v>
      </c>
    </row>
    <row r="1802">
      <c r="A1802" s="125" t="b">
        <v>1</v>
      </c>
      <c r="B1802" s="125" t="s">
        <v>3289</v>
      </c>
      <c r="C1802" s="126">
        <v>1.78533488E8</v>
      </c>
    </row>
    <row r="1803">
      <c r="A1803" s="125" t="s">
        <v>3290</v>
      </c>
      <c r="B1803" s="125" t="s">
        <v>3291</v>
      </c>
      <c r="C1803" s="126">
        <v>1.75231904E8</v>
      </c>
    </row>
    <row r="1804">
      <c r="A1804" s="125" t="s">
        <v>3292</v>
      </c>
      <c r="B1804" s="125" t="s">
        <v>3293</v>
      </c>
      <c r="C1804" s="126">
        <v>1.75111305E8</v>
      </c>
    </row>
    <row r="1805">
      <c r="A1805" s="125" t="s">
        <v>3294</v>
      </c>
      <c r="B1805" s="125" t="s">
        <v>3295</v>
      </c>
      <c r="C1805" s="126">
        <v>1.70152819E8</v>
      </c>
    </row>
    <row r="1806">
      <c r="A1806" s="125" t="s">
        <v>3296</v>
      </c>
      <c r="B1806" s="125" t="s">
        <v>3297</v>
      </c>
      <c r="C1806" s="126">
        <v>1.69868671E8</v>
      </c>
    </row>
    <row r="1807">
      <c r="A1807" s="125" t="s">
        <v>3298</v>
      </c>
      <c r="B1807" s="125" t="s">
        <v>3299</v>
      </c>
      <c r="C1807" s="126">
        <v>1.69037873E8</v>
      </c>
    </row>
    <row r="1808">
      <c r="A1808" s="125" t="s">
        <v>3300</v>
      </c>
      <c r="B1808" s="125" t="s">
        <v>3301</v>
      </c>
      <c r="C1808" s="126">
        <v>1.67586466E8</v>
      </c>
    </row>
    <row r="1809">
      <c r="A1809" s="125" t="s">
        <v>3302</v>
      </c>
      <c r="B1809" s="125" t="s">
        <v>3303</v>
      </c>
      <c r="C1809" s="126">
        <v>1.67252033E8</v>
      </c>
    </row>
    <row r="1810">
      <c r="A1810" s="125" t="s">
        <v>3304</v>
      </c>
      <c r="B1810" s="125" t="s">
        <v>3305</v>
      </c>
      <c r="C1810" s="126">
        <v>1.66565846E8</v>
      </c>
    </row>
    <row r="1811">
      <c r="A1811" s="125" t="s">
        <v>3306</v>
      </c>
      <c r="B1811" s="125" t="s">
        <v>3307</v>
      </c>
      <c r="C1811" s="126">
        <v>1.65592592E8</v>
      </c>
    </row>
    <row r="1812">
      <c r="A1812" s="125" t="s">
        <v>3308</v>
      </c>
      <c r="B1812" s="125" t="s">
        <v>3309</v>
      </c>
      <c r="C1812" s="126">
        <v>1.65471619E8</v>
      </c>
    </row>
    <row r="1813">
      <c r="A1813" s="125" t="s">
        <v>3310</v>
      </c>
      <c r="B1813" s="125" t="s">
        <v>3311</v>
      </c>
      <c r="C1813" s="126">
        <v>1.64730964E8</v>
      </c>
    </row>
    <row r="1814">
      <c r="A1814" s="125" t="s">
        <v>3312</v>
      </c>
      <c r="B1814" s="125" t="s">
        <v>3313</v>
      </c>
      <c r="C1814" s="126">
        <v>1.64062673E8</v>
      </c>
    </row>
    <row r="1815">
      <c r="A1815" s="125" t="s">
        <v>3314</v>
      </c>
      <c r="B1815" s="125" t="s">
        <v>3315</v>
      </c>
      <c r="C1815" s="126">
        <v>1.63330306E8</v>
      </c>
    </row>
    <row r="1816">
      <c r="A1816" s="125" t="s">
        <v>3316</v>
      </c>
      <c r="B1816" s="125" t="s">
        <v>3317</v>
      </c>
      <c r="C1816" s="126">
        <v>1.63220242E8</v>
      </c>
    </row>
    <row r="1817">
      <c r="A1817" s="125" t="s">
        <v>3318</v>
      </c>
      <c r="B1817" s="125" t="s">
        <v>3319</v>
      </c>
      <c r="C1817" s="126">
        <v>1.61821717E8</v>
      </c>
    </row>
    <row r="1818">
      <c r="A1818" s="125" t="s">
        <v>3320</v>
      </c>
      <c r="B1818" s="125" t="s">
        <v>3321</v>
      </c>
      <c r="C1818" s="126">
        <v>1.61506829E8</v>
      </c>
    </row>
    <row r="1819">
      <c r="A1819" s="125" t="s">
        <v>3322</v>
      </c>
      <c r="B1819" s="125" t="s">
        <v>3323</v>
      </c>
      <c r="C1819" s="126">
        <v>1.61487344E8</v>
      </c>
    </row>
    <row r="1820">
      <c r="A1820" s="125" t="s">
        <v>3324</v>
      </c>
      <c r="B1820" s="125" t="s">
        <v>3325</v>
      </c>
      <c r="C1820" s="126">
        <v>1.59546848E8</v>
      </c>
    </row>
    <row r="1821">
      <c r="A1821" s="125" t="s">
        <v>3326</v>
      </c>
      <c r="B1821" s="125" t="s">
        <v>3327</v>
      </c>
      <c r="C1821" s="126">
        <v>1.53991298E8</v>
      </c>
    </row>
    <row r="1822">
      <c r="A1822" s="125" t="s">
        <v>3328</v>
      </c>
      <c r="B1822" s="125" t="s">
        <v>3329</v>
      </c>
      <c r="C1822" s="126">
        <v>1.53532422E8</v>
      </c>
    </row>
    <row r="1823">
      <c r="A1823" s="125" t="s">
        <v>3330</v>
      </c>
      <c r="B1823" s="125" t="s">
        <v>3331</v>
      </c>
      <c r="C1823" s="126">
        <v>1.50907476E8</v>
      </c>
    </row>
    <row r="1824">
      <c r="A1824" s="125" t="s">
        <v>3332</v>
      </c>
      <c r="B1824" s="125" t="s">
        <v>3333</v>
      </c>
      <c r="C1824" s="126">
        <v>1.49899097E8</v>
      </c>
    </row>
    <row r="1825">
      <c r="A1825" s="125" t="s">
        <v>3334</v>
      </c>
      <c r="B1825" s="125" t="s">
        <v>3335</v>
      </c>
      <c r="C1825" s="126">
        <v>1.46460489E8</v>
      </c>
    </row>
    <row r="1826">
      <c r="A1826" s="125" t="s">
        <v>3336</v>
      </c>
      <c r="B1826" s="125" t="s">
        <v>3337</v>
      </c>
      <c r="C1826" s="126">
        <v>1.46115239E8</v>
      </c>
    </row>
    <row r="1827">
      <c r="A1827" s="125" t="s">
        <v>3338</v>
      </c>
      <c r="B1827" s="125" t="s">
        <v>3339</v>
      </c>
      <c r="C1827" s="126">
        <v>1.45228933E8</v>
      </c>
    </row>
    <row r="1828">
      <c r="A1828" s="125" t="s">
        <v>3340</v>
      </c>
      <c r="B1828" s="125" t="s">
        <v>3341</v>
      </c>
      <c r="C1828" s="126">
        <v>1.43543092E8</v>
      </c>
    </row>
    <row r="1829">
      <c r="A1829" s="125" t="s">
        <v>3342</v>
      </c>
      <c r="B1829" s="125" t="s">
        <v>3343</v>
      </c>
      <c r="C1829" s="126">
        <v>1.41125888E8</v>
      </c>
    </row>
    <row r="1830">
      <c r="A1830" s="125" t="s">
        <v>3344</v>
      </c>
      <c r="B1830" s="125" t="s">
        <v>3345</v>
      </c>
      <c r="C1830" s="126">
        <v>1.40794774E8</v>
      </c>
    </row>
    <row r="1831">
      <c r="A1831" s="125" t="s">
        <v>3346</v>
      </c>
      <c r="B1831" s="125" t="s">
        <v>3347</v>
      </c>
      <c r="C1831" s="126">
        <v>1.39664893E8</v>
      </c>
    </row>
    <row r="1832">
      <c r="A1832" s="125" t="s">
        <v>3348</v>
      </c>
      <c r="B1832" s="125" t="s">
        <v>3349</v>
      </c>
      <c r="C1832" s="126">
        <v>1.3781706E8</v>
      </c>
    </row>
    <row r="1833">
      <c r="A1833" s="125" t="s">
        <v>3350</v>
      </c>
      <c r="B1833" s="125" t="s">
        <v>3351</v>
      </c>
      <c r="C1833" s="126">
        <v>1.36224119E8</v>
      </c>
    </row>
    <row r="1834">
      <c r="A1834" s="125" t="s">
        <v>3352</v>
      </c>
      <c r="B1834" s="125" t="s">
        <v>3353</v>
      </c>
      <c r="C1834" s="126">
        <v>1.33506099E8</v>
      </c>
    </row>
    <row r="1835">
      <c r="A1835" s="125" t="s">
        <v>3354</v>
      </c>
      <c r="B1835" s="125" t="s">
        <v>3355</v>
      </c>
      <c r="C1835" s="126">
        <v>1.33493585E8</v>
      </c>
    </row>
    <row r="1836">
      <c r="A1836" s="125" t="s">
        <v>3356</v>
      </c>
      <c r="B1836" s="125" t="s">
        <v>3357</v>
      </c>
      <c r="C1836" s="126">
        <v>1.33148894E8</v>
      </c>
    </row>
    <row r="1837">
      <c r="A1837" s="125" t="s">
        <v>3358</v>
      </c>
      <c r="B1837" s="125" t="s">
        <v>3359</v>
      </c>
      <c r="C1837" s="126">
        <v>1.32188302E8</v>
      </c>
    </row>
    <row r="1838">
      <c r="A1838" s="125" t="s">
        <v>3360</v>
      </c>
      <c r="B1838" s="125" t="s">
        <v>3361</v>
      </c>
      <c r="C1838" s="126">
        <v>1.30180328E8</v>
      </c>
    </row>
    <row r="1839">
      <c r="A1839" s="125" t="s">
        <v>3362</v>
      </c>
      <c r="B1839" s="125" t="s">
        <v>3363</v>
      </c>
      <c r="C1839" s="126">
        <v>1.29422368E8</v>
      </c>
    </row>
    <row r="1840">
      <c r="A1840" s="125" t="s">
        <v>3364</v>
      </c>
      <c r="B1840" s="125" t="s">
        <v>3365</v>
      </c>
      <c r="C1840" s="126">
        <v>1.26261643E8</v>
      </c>
    </row>
    <row r="1841">
      <c r="A1841" s="125" t="s">
        <v>3366</v>
      </c>
      <c r="B1841" s="125" t="s">
        <v>3367</v>
      </c>
      <c r="C1841" s="126">
        <v>1.25975219E8</v>
      </c>
    </row>
    <row r="1842">
      <c r="A1842" s="125" t="s">
        <v>3368</v>
      </c>
      <c r="B1842" s="125" t="s">
        <v>3369</v>
      </c>
      <c r="C1842" s="126">
        <v>1.25470317E8</v>
      </c>
    </row>
    <row r="1843">
      <c r="A1843" s="125" t="s">
        <v>3370</v>
      </c>
      <c r="B1843" s="125" t="s">
        <v>3371</v>
      </c>
      <c r="C1843" s="126">
        <v>1.25015089E8</v>
      </c>
    </row>
    <row r="1844">
      <c r="A1844" s="125" t="s">
        <v>3372</v>
      </c>
      <c r="B1844" s="125" t="s">
        <v>3373</v>
      </c>
      <c r="C1844" s="126">
        <v>1.24009122E8</v>
      </c>
    </row>
    <row r="1845">
      <c r="A1845" s="125" t="s">
        <v>3374</v>
      </c>
      <c r="B1845" s="125" t="s">
        <v>3375</v>
      </c>
      <c r="C1845" s="126">
        <v>1.22151249E8</v>
      </c>
    </row>
    <row r="1846">
      <c r="A1846" s="125" t="s">
        <v>3376</v>
      </c>
      <c r="B1846" s="125" t="s">
        <v>3377</v>
      </c>
      <c r="C1846" s="126">
        <v>1.20212818E8</v>
      </c>
    </row>
    <row r="1847">
      <c r="A1847" s="125" t="s">
        <v>3378</v>
      </c>
      <c r="B1847" s="125" t="s">
        <v>3379</v>
      </c>
      <c r="C1847" s="126">
        <v>1.20096608E8</v>
      </c>
    </row>
    <row r="1848">
      <c r="A1848" s="125" t="s">
        <v>3380</v>
      </c>
      <c r="B1848" s="125" t="s">
        <v>3381</v>
      </c>
      <c r="C1848" s="126">
        <v>1.19504306E8</v>
      </c>
    </row>
    <row r="1849">
      <c r="A1849" s="125" t="s">
        <v>3382</v>
      </c>
      <c r="B1849" s="125" t="s">
        <v>3383</v>
      </c>
      <c r="C1849" s="126">
        <v>1.19130201E8</v>
      </c>
    </row>
    <row r="1850">
      <c r="A1850" s="125" t="s">
        <v>3384</v>
      </c>
      <c r="B1850" s="125" t="s">
        <v>3385</v>
      </c>
      <c r="C1850" s="126">
        <v>1.16454142E8</v>
      </c>
    </row>
    <row r="1851">
      <c r="A1851" s="125" t="s">
        <v>3386</v>
      </c>
      <c r="B1851" s="125" t="s">
        <v>3387</v>
      </c>
      <c r="C1851" s="126">
        <v>1.16319845E8</v>
      </c>
    </row>
    <row r="1852">
      <c r="A1852" s="125" t="s">
        <v>3388</v>
      </c>
      <c r="B1852" s="125" t="s">
        <v>3389</v>
      </c>
      <c r="C1852" s="126">
        <v>1.14342027E8</v>
      </c>
    </row>
    <row r="1853">
      <c r="A1853" s="125" t="s">
        <v>3390</v>
      </c>
      <c r="B1853" s="125" t="s">
        <v>3391</v>
      </c>
      <c r="C1853" s="126">
        <v>1.14170663E8</v>
      </c>
    </row>
    <row r="1854">
      <c r="A1854" s="125" t="s">
        <v>3392</v>
      </c>
      <c r="B1854" s="125" t="s">
        <v>3393</v>
      </c>
      <c r="C1854" s="126">
        <v>1.1385876E8</v>
      </c>
    </row>
    <row r="1855">
      <c r="A1855" s="125" t="s">
        <v>3394</v>
      </c>
      <c r="B1855" s="125" t="s">
        <v>3395</v>
      </c>
      <c r="C1855" s="126">
        <v>1.13210379E8</v>
      </c>
    </row>
    <row r="1856">
      <c r="A1856" s="125" t="s">
        <v>3396</v>
      </c>
      <c r="B1856" s="125" t="s">
        <v>3397</v>
      </c>
      <c r="C1856" s="126">
        <v>1.11518942E8</v>
      </c>
    </row>
    <row r="1857">
      <c r="A1857" s="125" t="s">
        <v>3398</v>
      </c>
      <c r="B1857" s="125" t="s">
        <v>3399</v>
      </c>
      <c r="C1857" s="126">
        <v>1.10996905E8</v>
      </c>
    </row>
    <row r="1858">
      <c r="A1858" s="125" t="s">
        <v>3400</v>
      </c>
      <c r="B1858" s="125" t="s">
        <v>3401</v>
      </c>
      <c r="C1858" s="126">
        <v>1.09807746E8</v>
      </c>
    </row>
    <row r="1859">
      <c r="A1859" s="125" t="s">
        <v>3402</v>
      </c>
      <c r="B1859" s="125" t="s">
        <v>3403</v>
      </c>
      <c r="C1859" s="126">
        <v>1.09606432E8</v>
      </c>
    </row>
    <row r="1860">
      <c r="A1860" s="125" t="s">
        <v>3404</v>
      </c>
      <c r="B1860" s="125" t="s">
        <v>3405</v>
      </c>
      <c r="C1860" s="126">
        <v>1.09288766E8</v>
      </c>
    </row>
    <row r="1861">
      <c r="A1861" s="125" t="s">
        <v>3406</v>
      </c>
      <c r="B1861" s="125" t="s">
        <v>3407</v>
      </c>
      <c r="C1861" s="126">
        <v>9.9962005E7</v>
      </c>
    </row>
    <row r="1862">
      <c r="A1862" s="125" t="s">
        <v>3408</v>
      </c>
      <c r="B1862" s="125" t="s">
        <v>3409</v>
      </c>
      <c r="C1862" s="126">
        <v>9.960226E7</v>
      </c>
    </row>
    <row r="1863">
      <c r="A1863" s="125" t="s">
        <v>3410</v>
      </c>
      <c r="B1863" s="125" t="s">
        <v>3411</v>
      </c>
      <c r="C1863" s="126">
        <v>9.5342684E7</v>
      </c>
    </row>
    <row r="1864">
      <c r="A1864" s="125" t="s">
        <v>3412</v>
      </c>
      <c r="B1864" s="125" t="s">
        <v>3413</v>
      </c>
      <c r="C1864" s="126">
        <v>9.251954E7</v>
      </c>
    </row>
    <row r="1865">
      <c r="A1865" s="125" t="s">
        <v>3414</v>
      </c>
      <c r="B1865" s="125" t="s">
        <v>3415</v>
      </c>
      <c r="C1865" s="126">
        <v>8.4979995E7</v>
      </c>
    </row>
    <row r="1866">
      <c r="A1866" s="125" t="s">
        <v>3416</v>
      </c>
      <c r="B1866" s="125" t="s">
        <v>3417</v>
      </c>
      <c r="C1866" s="126">
        <v>7.9372293E7</v>
      </c>
    </row>
    <row r="1867">
      <c r="A1867" s="125" t="s">
        <v>3418</v>
      </c>
      <c r="B1867" s="125" t="s">
        <v>3419</v>
      </c>
      <c r="C1867" s="126">
        <v>7.7119215E7</v>
      </c>
    </row>
    <row r="1868">
      <c r="A1868" s="125" t="s">
        <v>3420</v>
      </c>
      <c r="B1868" s="125" t="s">
        <v>3421</v>
      </c>
      <c r="C1868" s="126">
        <v>7.5433439E7</v>
      </c>
    </row>
    <row r="1869">
      <c r="A1869" s="125" t="s">
        <v>3422</v>
      </c>
      <c r="B1869" s="125" t="s">
        <v>3423</v>
      </c>
      <c r="C1869" s="126">
        <v>7.4335682E7</v>
      </c>
    </row>
    <row r="1870">
      <c r="A1870" s="125" t="s">
        <v>3424</v>
      </c>
      <c r="B1870" s="125" t="s">
        <v>3425</v>
      </c>
      <c r="C1870" s="126">
        <v>7.3049218E7</v>
      </c>
    </row>
    <row r="1871">
      <c r="A1871" s="125" t="s">
        <v>3426</v>
      </c>
      <c r="B1871" s="125" t="s">
        <v>3427</v>
      </c>
      <c r="C1871" s="126">
        <v>7.1045853E7</v>
      </c>
    </row>
    <row r="1872">
      <c r="A1872" s="125" t="s">
        <v>3428</v>
      </c>
      <c r="B1872" s="125" t="s">
        <v>3429</v>
      </c>
      <c r="C1872" s="126">
        <v>6.955507E7</v>
      </c>
    </row>
    <row r="1873">
      <c r="A1873" s="125" t="s">
        <v>3430</v>
      </c>
      <c r="B1873" s="125" t="s">
        <v>3431</v>
      </c>
      <c r="C1873" s="126">
        <v>6.8790594E7</v>
      </c>
    </row>
    <row r="1874">
      <c r="A1874" s="125" t="s">
        <v>3432</v>
      </c>
      <c r="B1874" s="125" t="s">
        <v>3433</v>
      </c>
      <c r="C1874" s="126">
        <v>6.6565246E7</v>
      </c>
    </row>
    <row r="1875">
      <c r="A1875" s="125" t="s">
        <v>3434</v>
      </c>
      <c r="B1875" s="125" t="s">
        <v>3435</v>
      </c>
      <c r="C1875" s="126">
        <v>6.4062926E7</v>
      </c>
    </row>
    <row r="1876">
      <c r="A1876" s="125" t="s">
        <v>3436</v>
      </c>
      <c r="B1876" s="125" t="s">
        <v>3437</v>
      </c>
      <c r="C1876" s="126">
        <v>6.1710934E7</v>
      </c>
    </row>
    <row r="1877">
      <c r="A1877" s="125" t="s">
        <v>3438</v>
      </c>
      <c r="B1877" s="125" t="s">
        <v>3439</v>
      </c>
      <c r="C1877" s="126">
        <v>4.9493616E7</v>
      </c>
    </row>
    <row r="1878">
      <c r="A1878" s="125" t="s">
        <v>3440</v>
      </c>
      <c r="B1878" s="125" t="s">
        <v>3441</v>
      </c>
      <c r="C1878" s="126">
        <v>3.889487E7</v>
      </c>
    </row>
    <row r="1879">
      <c r="A1879" s="125" t="s">
        <v>3442</v>
      </c>
      <c r="B1879" s="125" t="s">
        <v>3443</v>
      </c>
      <c r="C1879" s="126">
        <v>3.8727136E7</v>
      </c>
    </row>
    <row r="1880">
      <c r="A1880" s="125" t="s">
        <v>3444</v>
      </c>
      <c r="B1880" s="125" t="s">
        <v>3445</v>
      </c>
      <c r="C1880" s="126">
        <v>3.4492898E7</v>
      </c>
    </row>
    <row r="1881">
      <c r="A1881" s="125" t="s">
        <v>3446</v>
      </c>
      <c r="B1881" s="125" t="s">
        <v>3447</v>
      </c>
      <c r="C1881" s="126">
        <v>3.1564524E7</v>
      </c>
    </row>
    <row r="1882">
      <c r="A1882" s="125" t="s">
        <v>3448</v>
      </c>
      <c r="B1882" s="125" t="s">
        <v>3449</v>
      </c>
      <c r="C1882" s="126">
        <v>2.8456515E7</v>
      </c>
    </row>
    <row r="1883">
      <c r="A1883" s="125" t="s">
        <v>3450</v>
      </c>
      <c r="B1883" s="125" t="s">
        <v>3451</v>
      </c>
      <c r="C1883" s="126">
        <v>2.8356375E7</v>
      </c>
    </row>
    <row r="1884">
      <c r="A1884" s="125" t="s">
        <v>3452</v>
      </c>
      <c r="B1884" s="125" t="s">
        <v>3453</v>
      </c>
      <c r="C1884" s="126">
        <v>2.7564932E7</v>
      </c>
    </row>
    <row r="1885">
      <c r="A1885" s="125" t="s">
        <v>3454</v>
      </c>
      <c r="B1885" s="125" t="s">
        <v>3455</v>
      </c>
      <c r="C1885" s="126">
        <v>2.748855E7</v>
      </c>
    </row>
    <row r="1886">
      <c r="A1886" s="125" t="s">
        <v>3456</v>
      </c>
      <c r="B1886" s="125" t="s">
        <v>3457</v>
      </c>
      <c r="C1886" s="126">
        <v>2.1574658E7</v>
      </c>
    </row>
    <row r="1887">
      <c r="A1887" s="125" t="s">
        <v>3458</v>
      </c>
      <c r="B1887" s="125" t="s">
        <v>3459</v>
      </c>
      <c r="C1887" s="126">
        <v>1.7496729E7</v>
      </c>
    </row>
    <row r="1888">
      <c r="A1888" s="125" t="s">
        <v>3460</v>
      </c>
      <c r="B1888" s="125" t="s">
        <v>3461</v>
      </c>
      <c r="C1888" s="126">
        <v>1.7072893E7</v>
      </c>
    </row>
    <row r="1889">
      <c r="A1889" s="125" t="s">
        <v>3462</v>
      </c>
      <c r="B1889" s="125" t="s">
        <v>3463</v>
      </c>
      <c r="C1889" s="126">
        <v>1.28499E7</v>
      </c>
    </row>
  </sheetData>
  <autoFilter ref="$A$3:$D$33">
    <sortState ref="A3:D33">
      <sortCondition descending="1" ref="D3:D33"/>
    </sortState>
  </autoFilter>
  <mergeCells count="15">
    <mergeCell ref="Q1:Q3"/>
    <mergeCell ref="R1:R3"/>
    <mergeCell ref="S1:S3"/>
    <mergeCell ref="E2:F2"/>
    <mergeCell ref="G2:H2"/>
    <mergeCell ref="I2:J2"/>
    <mergeCell ref="K2:L2"/>
    <mergeCell ref="E1:F1"/>
    <mergeCell ref="G1:H1"/>
    <mergeCell ref="I1:J1"/>
    <mergeCell ref="K1:L1"/>
    <mergeCell ref="M1:N1"/>
    <mergeCell ref="O1:O3"/>
    <mergeCell ref="P1:P3"/>
    <mergeCell ref="M2:N2"/>
  </mergeCells>
  <drawing r:id="rId1"/>
</worksheet>
</file>