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Sc AS\Sem1\End Sem Projects\FM &amp; Excel (CM1) (done)\"/>
    </mc:Choice>
  </mc:AlternateContent>
  <xr:revisionPtr revIDLastSave="0" documentId="13_ncr:1_{E6E9129A-1A73-46E5-BBA9-F0E162455F7B}" xr6:coauthVersionLast="47" xr6:coauthVersionMax="47" xr10:uidLastSave="{00000000-0000-0000-0000-000000000000}"/>
  <bookViews>
    <workbookView xWindow="-110" yWindow="-110" windowWidth="19420" windowHeight="10300" tabRatio="844" firstSheet="3" activeTab="9" xr2:uid="{00000000-000D-0000-FFFF-FFFF00000000}"/>
  </bookViews>
  <sheets>
    <sheet name="Details" sheetId="1" r:id="rId1"/>
    <sheet name="Subsciption Numbers(10 Years)" sheetId="2" r:id="rId2"/>
    <sheet name="CF for 10 years" sheetId="3" r:id="rId3"/>
    <sheet name="Assumptions" sheetId="4" r:id="rId4"/>
    <sheet name="CF for +8 years" sheetId="5" r:id="rId5"/>
    <sheet name="IRR" sheetId="6" r:id="rId6"/>
    <sheet name="Sensivity Analysis 1" sheetId="8" r:id="rId7"/>
    <sheet name="IRR (SensAnal 1)" sheetId="9" r:id="rId8"/>
    <sheet name="Sensivity Analysis 2" sheetId="7" r:id="rId9"/>
    <sheet name="IRR (SensAnal 2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7" l="1"/>
  <c r="D27" i="8"/>
  <c r="D27" i="5"/>
  <c r="G27" i="3"/>
  <c r="F27" i="3"/>
  <c r="E27" i="3"/>
  <c r="E43" i="7"/>
  <c r="E40" i="7"/>
  <c r="C6" i="10"/>
  <c r="C5" i="10"/>
  <c r="C11" i="10" s="1"/>
  <c r="D49" i="7"/>
  <c r="B17" i="10"/>
  <c r="A19" i="10"/>
  <c r="A11" i="10"/>
  <c r="A10" i="10"/>
  <c r="A18" i="10" s="1"/>
  <c r="A9" i="10"/>
  <c r="A16" i="10" s="1"/>
  <c r="A8" i="10"/>
  <c r="A15" i="10" s="1"/>
  <c r="L6" i="10"/>
  <c r="K6" i="10"/>
  <c r="J6" i="10"/>
  <c r="I6" i="10"/>
  <c r="H6" i="10"/>
  <c r="G6" i="10"/>
  <c r="F6" i="10"/>
  <c r="E6" i="10"/>
  <c r="D6" i="10"/>
  <c r="L5" i="10"/>
  <c r="K5" i="10"/>
  <c r="K11" i="10" s="1"/>
  <c r="J5" i="10"/>
  <c r="J11" i="10" s="1"/>
  <c r="I5" i="10"/>
  <c r="H5" i="10"/>
  <c r="G5" i="10"/>
  <c r="G11" i="10" s="1"/>
  <c r="F5" i="10"/>
  <c r="G8" i="10" s="1"/>
  <c r="E5" i="10"/>
  <c r="E9" i="10" s="1"/>
  <c r="D5" i="10"/>
  <c r="D9" i="10" s="1"/>
  <c r="B5" i="10"/>
  <c r="C8" i="10" s="1"/>
  <c r="A19" i="9"/>
  <c r="B17" i="9"/>
  <c r="A16" i="9"/>
  <c r="A11" i="9"/>
  <c r="A10" i="9"/>
  <c r="A18" i="9" s="1"/>
  <c r="A9" i="9"/>
  <c r="A8" i="9"/>
  <c r="A15" i="9" s="1"/>
  <c r="L6" i="9"/>
  <c r="K6" i="9"/>
  <c r="J6" i="9"/>
  <c r="I6" i="9"/>
  <c r="H6" i="9"/>
  <c r="G6" i="9"/>
  <c r="F6" i="9"/>
  <c r="E6" i="9"/>
  <c r="D6" i="9"/>
  <c r="C6" i="9"/>
  <c r="L5" i="9"/>
  <c r="K5" i="9"/>
  <c r="J5" i="9"/>
  <c r="J9" i="9" s="1"/>
  <c r="I5" i="9"/>
  <c r="H5" i="9"/>
  <c r="H9" i="9" s="1"/>
  <c r="G5" i="9"/>
  <c r="F5" i="9"/>
  <c r="E5" i="9"/>
  <c r="D5" i="9"/>
  <c r="D11" i="9" s="1"/>
  <c r="C5" i="9"/>
  <c r="B5" i="9"/>
  <c r="E31" i="8"/>
  <c r="F31" i="8"/>
  <c r="G31" i="8"/>
  <c r="H31" i="8"/>
  <c r="I31" i="8"/>
  <c r="J31" i="8"/>
  <c r="K31" i="8"/>
  <c r="L31" i="8"/>
  <c r="M31" i="8"/>
  <c r="N31" i="8"/>
  <c r="D31" i="8"/>
  <c r="F20" i="8"/>
  <c r="G20" i="8"/>
  <c r="H20" i="8"/>
  <c r="I20" i="8"/>
  <c r="J20" i="8"/>
  <c r="K20" i="8"/>
  <c r="L20" i="8"/>
  <c r="M20" i="8"/>
  <c r="N20" i="8"/>
  <c r="E20" i="8"/>
  <c r="E16" i="8"/>
  <c r="F16" i="8"/>
  <c r="G16" i="8"/>
  <c r="H16" i="8"/>
  <c r="I16" i="8"/>
  <c r="J16" i="8"/>
  <c r="K16" i="8"/>
  <c r="L16" i="8"/>
  <c r="M16" i="8"/>
  <c r="N16" i="8"/>
  <c r="D16" i="8"/>
  <c r="E7" i="8"/>
  <c r="F7" i="8"/>
  <c r="G7" i="8"/>
  <c r="H7" i="8"/>
  <c r="I7" i="8"/>
  <c r="J7" i="8"/>
  <c r="J24" i="8" s="1"/>
  <c r="K7" i="8"/>
  <c r="K24" i="8" s="1"/>
  <c r="L7" i="8"/>
  <c r="L24" i="8" s="1"/>
  <c r="M7" i="8"/>
  <c r="M24" i="8" s="1"/>
  <c r="N7" i="8"/>
  <c r="N26" i="8" s="1"/>
  <c r="D7" i="8"/>
  <c r="C49" i="8"/>
  <c r="C48" i="8"/>
  <c r="C46" i="8"/>
  <c r="C45" i="8"/>
  <c r="N39" i="8"/>
  <c r="M39" i="8"/>
  <c r="L39" i="8"/>
  <c r="K39" i="8"/>
  <c r="J39" i="8"/>
  <c r="I39" i="8"/>
  <c r="H39" i="8"/>
  <c r="H40" i="8" s="1"/>
  <c r="G39" i="8"/>
  <c r="G40" i="8" s="1"/>
  <c r="F39" i="8"/>
  <c r="E39" i="8"/>
  <c r="N38" i="8"/>
  <c r="M38" i="8"/>
  <c r="L38" i="8"/>
  <c r="K38" i="8"/>
  <c r="J38" i="8"/>
  <c r="I38" i="8"/>
  <c r="H38" i="8"/>
  <c r="G38" i="8"/>
  <c r="F38" i="8"/>
  <c r="E38" i="8"/>
  <c r="D38" i="8"/>
  <c r="N35" i="8"/>
  <c r="N32" i="8"/>
  <c r="M32" i="8"/>
  <c r="L32" i="8"/>
  <c r="K32" i="8"/>
  <c r="J32" i="8"/>
  <c r="I32" i="8"/>
  <c r="H32" i="8"/>
  <c r="G32" i="8"/>
  <c r="F32" i="8"/>
  <c r="E32" i="8"/>
  <c r="D32" i="8"/>
  <c r="N30" i="8"/>
  <c r="M30" i="8"/>
  <c r="L30" i="8"/>
  <c r="K30" i="8"/>
  <c r="J30" i="8"/>
  <c r="I30" i="8"/>
  <c r="H30" i="8"/>
  <c r="G30" i="8"/>
  <c r="F30" i="8"/>
  <c r="E30" i="8"/>
  <c r="D30" i="8"/>
  <c r="N29" i="8"/>
  <c r="M29" i="8"/>
  <c r="L29" i="8"/>
  <c r="K29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D26" i="8"/>
  <c r="L25" i="8"/>
  <c r="K25" i="8"/>
  <c r="D25" i="8"/>
  <c r="N24" i="8"/>
  <c r="D24" i="8"/>
  <c r="E23" i="8"/>
  <c r="F23" i="8" s="1"/>
  <c r="G23" i="8" s="1"/>
  <c r="H23" i="8" s="1"/>
  <c r="I23" i="8" s="1"/>
  <c r="J23" i="8" s="1"/>
  <c r="K23" i="8" s="1"/>
  <c r="L23" i="8" s="1"/>
  <c r="M23" i="8" s="1"/>
  <c r="N23" i="8" s="1"/>
  <c r="D22" i="8"/>
  <c r="D21" i="8"/>
  <c r="E21" i="8" s="1"/>
  <c r="E19" i="8"/>
  <c r="F19" i="8" s="1"/>
  <c r="G19" i="8" s="1"/>
  <c r="H19" i="8" s="1"/>
  <c r="I19" i="8" s="1"/>
  <c r="J19" i="8" s="1"/>
  <c r="K19" i="8" s="1"/>
  <c r="L19" i="8" s="1"/>
  <c r="M19" i="8" s="1"/>
  <c r="N19" i="8" s="1"/>
  <c r="D17" i="8"/>
  <c r="D20" i="8" s="1"/>
  <c r="N15" i="8"/>
  <c r="M15" i="8"/>
  <c r="L15" i="8"/>
  <c r="K15" i="8"/>
  <c r="J15" i="8"/>
  <c r="I15" i="8"/>
  <c r="H15" i="8"/>
  <c r="G15" i="8"/>
  <c r="F15" i="8"/>
  <c r="E15" i="8"/>
  <c r="N14" i="8"/>
  <c r="M14" i="8"/>
  <c r="L14" i="8"/>
  <c r="K14" i="8"/>
  <c r="J14" i="8"/>
  <c r="I14" i="8"/>
  <c r="H14" i="8"/>
  <c r="G14" i="8"/>
  <c r="F14" i="8"/>
  <c r="E14" i="8"/>
  <c r="D14" i="8"/>
  <c r="N13" i="8"/>
  <c r="M13" i="8"/>
  <c r="L13" i="8"/>
  <c r="K13" i="8"/>
  <c r="J13" i="8"/>
  <c r="I13" i="8"/>
  <c r="H13" i="8"/>
  <c r="G13" i="8"/>
  <c r="F13" i="8"/>
  <c r="E13" i="8"/>
  <c r="D13" i="8"/>
  <c r="D12" i="8"/>
  <c r="D11" i="8"/>
  <c r="D47" i="8" s="1"/>
  <c r="K26" i="8"/>
  <c r="J25" i="8"/>
  <c r="I24" i="8"/>
  <c r="N6" i="8"/>
  <c r="M6" i="8"/>
  <c r="L6" i="8"/>
  <c r="K6" i="8"/>
  <c r="J6" i="8"/>
  <c r="I6" i="8"/>
  <c r="H6" i="8"/>
  <c r="G6" i="8"/>
  <c r="F6" i="8"/>
  <c r="E6" i="8"/>
  <c r="N5" i="8"/>
  <c r="M5" i="8"/>
  <c r="L5" i="8"/>
  <c r="K5" i="8"/>
  <c r="J5" i="8"/>
  <c r="I5" i="8"/>
  <c r="H5" i="8"/>
  <c r="G5" i="8"/>
  <c r="F5" i="8"/>
  <c r="E5" i="8"/>
  <c r="D5" i="8"/>
  <c r="N4" i="8"/>
  <c r="M4" i="8"/>
  <c r="L4" i="8"/>
  <c r="K4" i="8"/>
  <c r="J4" i="8"/>
  <c r="I4" i="8"/>
  <c r="H4" i="8"/>
  <c r="G4" i="8"/>
  <c r="F4" i="8"/>
  <c r="E4" i="8"/>
  <c r="D4" i="8"/>
  <c r="N7" i="7"/>
  <c r="N26" i="7" s="1"/>
  <c r="M7" i="7"/>
  <c r="L7" i="7"/>
  <c r="K7" i="7"/>
  <c r="J7" i="7"/>
  <c r="I7" i="7"/>
  <c r="H7" i="7"/>
  <c r="G7" i="7"/>
  <c r="F7" i="7"/>
  <c r="E7" i="7"/>
  <c r="K25" i="7"/>
  <c r="L26" i="7"/>
  <c r="L24" i="7"/>
  <c r="M35" i="7"/>
  <c r="D7" i="7"/>
  <c r="D26" i="7" s="1"/>
  <c r="F20" i="7"/>
  <c r="G20" i="7"/>
  <c r="H20" i="7"/>
  <c r="I20" i="7"/>
  <c r="J20" i="7"/>
  <c r="K20" i="7"/>
  <c r="L20" i="7"/>
  <c r="M20" i="7"/>
  <c r="N20" i="7"/>
  <c r="E20" i="7"/>
  <c r="E31" i="7"/>
  <c r="F31" i="7"/>
  <c r="G31" i="7"/>
  <c r="H31" i="7"/>
  <c r="I31" i="7"/>
  <c r="J31" i="7"/>
  <c r="K31" i="7"/>
  <c r="L31" i="7"/>
  <c r="M31" i="7"/>
  <c r="N31" i="7"/>
  <c r="D31" i="7"/>
  <c r="E16" i="7"/>
  <c r="F16" i="7"/>
  <c r="G16" i="7"/>
  <c r="H16" i="7"/>
  <c r="I16" i="7"/>
  <c r="J16" i="7"/>
  <c r="K16" i="7"/>
  <c r="L16" i="7"/>
  <c r="M16" i="7"/>
  <c r="N16" i="7"/>
  <c r="D16" i="7"/>
  <c r="C49" i="7"/>
  <c r="C48" i="7"/>
  <c r="C46" i="7"/>
  <c r="C45" i="7"/>
  <c r="N39" i="7"/>
  <c r="M39" i="7"/>
  <c r="L39" i="7"/>
  <c r="K39" i="7"/>
  <c r="J39" i="7"/>
  <c r="I39" i="7"/>
  <c r="H39" i="7"/>
  <c r="G39" i="7"/>
  <c r="F39" i="7"/>
  <c r="F40" i="7" s="1"/>
  <c r="E39" i="7"/>
  <c r="N38" i="7"/>
  <c r="M38" i="7"/>
  <c r="L38" i="7"/>
  <c r="K38" i="7"/>
  <c r="J38" i="7"/>
  <c r="I38" i="7"/>
  <c r="H38" i="7"/>
  <c r="G38" i="7"/>
  <c r="F38" i="7"/>
  <c r="E38" i="7"/>
  <c r="D38" i="7"/>
  <c r="N32" i="7"/>
  <c r="M32" i="7"/>
  <c r="L32" i="7"/>
  <c r="K32" i="7"/>
  <c r="J32" i="7"/>
  <c r="I32" i="7"/>
  <c r="H32" i="7"/>
  <c r="G32" i="7"/>
  <c r="F32" i="7"/>
  <c r="E32" i="7"/>
  <c r="D32" i="7"/>
  <c r="N30" i="7"/>
  <c r="M30" i="7"/>
  <c r="L30" i="7"/>
  <c r="K30" i="7"/>
  <c r="J30" i="7"/>
  <c r="I30" i="7"/>
  <c r="H30" i="7"/>
  <c r="G30" i="7"/>
  <c r="F30" i="7"/>
  <c r="E30" i="7"/>
  <c r="D30" i="7"/>
  <c r="N29" i="7"/>
  <c r="M29" i="7"/>
  <c r="L29" i="7"/>
  <c r="K29" i="7"/>
  <c r="J29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D25" i="7"/>
  <c r="D24" i="7"/>
  <c r="E23" i="7"/>
  <c r="F23" i="7" s="1"/>
  <c r="G23" i="7" s="1"/>
  <c r="H23" i="7" s="1"/>
  <c r="I23" i="7" s="1"/>
  <c r="J23" i="7" s="1"/>
  <c r="K23" i="7" s="1"/>
  <c r="L23" i="7" s="1"/>
  <c r="M23" i="7" s="1"/>
  <c r="N23" i="7" s="1"/>
  <c r="D22" i="7"/>
  <c r="D21" i="7"/>
  <c r="E21" i="7" s="1"/>
  <c r="F19" i="7"/>
  <c r="G19" i="7" s="1"/>
  <c r="H19" i="7" s="1"/>
  <c r="I19" i="7" s="1"/>
  <c r="J19" i="7" s="1"/>
  <c r="K19" i="7" s="1"/>
  <c r="L19" i="7" s="1"/>
  <c r="M19" i="7" s="1"/>
  <c r="N19" i="7" s="1"/>
  <c r="E19" i="7"/>
  <c r="D17" i="7"/>
  <c r="D20" i="7" s="1"/>
  <c r="N15" i="7"/>
  <c r="M15" i="7"/>
  <c r="L15" i="7"/>
  <c r="K15" i="7"/>
  <c r="J15" i="7"/>
  <c r="I15" i="7"/>
  <c r="H15" i="7"/>
  <c r="G15" i="7"/>
  <c r="F15" i="7"/>
  <c r="E15" i="7"/>
  <c r="N14" i="7"/>
  <c r="M14" i="7"/>
  <c r="L14" i="7"/>
  <c r="K14" i="7"/>
  <c r="J14" i="7"/>
  <c r="I14" i="7"/>
  <c r="H14" i="7"/>
  <c r="G14" i="7"/>
  <c r="F14" i="7"/>
  <c r="E14" i="7"/>
  <c r="D14" i="7"/>
  <c r="N13" i="7"/>
  <c r="M13" i="7"/>
  <c r="L13" i="7"/>
  <c r="K13" i="7"/>
  <c r="J13" i="7"/>
  <c r="I13" i="7"/>
  <c r="H13" i="7"/>
  <c r="G13" i="7"/>
  <c r="F13" i="7"/>
  <c r="E13" i="7"/>
  <c r="D13" i="7"/>
  <c r="D12" i="7"/>
  <c r="D11" i="7"/>
  <c r="D47" i="7" s="1"/>
  <c r="N6" i="7"/>
  <c r="M6" i="7"/>
  <c r="L6" i="7"/>
  <c r="K6" i="7"/>
  <c r="J6" i="7"/>
  <c r="I6" i="7"/>
  <c r="H6" i="7"/>
  <c r="G6" i="7"/>
  <c r="F6" i="7"/>
  <c r="E6" i="7"/>
  <c r="N5" i="7"/>
  <c r="M5" i="7"/>
  <c r="L5" i="7"/>
  <c r="K5" i="7"/>
  <c r="J5" i="7"/>
  <c r="I5" i="7"/>
  <c r="H5" i="7"/>
  <c r="G5" i="7"/>
  <c r="F5" i="7"/>
  <c r="E5" i="7"/>
  <c r="D5" i="7"/>
  <c r="N4" i="7"/>
  <c r="M4" i="7"/>
  <c r="L4" i="7"/>
  <c r="K4" i="7"/>
  <c r="J4" i="7"/>
  <c r="I4" i="7"/>
  <c r="H4" i="7"/>
  <c r="G4" i="7"/>
  <c r="F4" i="7"/>
  <c r="E4" i="7"/>
  <c r="D4" i="7"/>
  <c r="D42" i="5"/>
  <c r="D25" i="6"/>
  <c r="E25" i="6"/>
  <c r="E31" i="6" s="1"/>
  <c r="F25" i="6"/>
  <c r="G25" i="6"/>
  <c r="G29" i="6" s="1"/>
  <c r="H25" i="6"/>
  <c r="H29" i="6" s="1"/>
  <c r="I25" i="6"/>
  <c r="J25" i="6"/>
  <c r="J31" i="6" s="1"/>
  <c r="K25" i="6"/>
  <c r="L25" i="6"/>
  <c r="L31" i="6" s="1"/>
  <c r="M25" i="6"/>
  <c r="N25" i="6"/>
  <c r="O25" i="6"/>
  <c r="O31" i="6" s="1"/>
  <c r="P25" i="6"/>
  <c r="P31" i="6" s="1"/>
  <c r="Q25" i="6"/>
  <c r="Q31" i="6" s="1"/>
  <c r="R25" i="6"/>
  <c r="S25" i="6"/>
  <c r="S31" i="6" s="1"/>
  <c r="T25" i="6"/>
  <c r="T31" i="6" s="1"/>
  <c r="D26" i="6"/>
  <c r="E26" i="6"/>
  <c r="F26" i="6"/>
  <c r="G26" i="6"/>
  <c r="G28" i="6" s="1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B25" i="6"/>
  <c r="C30" i="6" s="1"/>
  <c r="C26" i="6"/>
  <c r="C25" i="6"/>
  <c r="C31" i="6" s="1"/>
  <c r="D6" i="6"/>
  <c r="E6" i="6"/>
  <c r="F6" i="6"/>
  <c r="G6" i="6"/>
  <c r="H6" i="6"/>
  <c r="I6" i="6"/>
  <c r="J6" i="6"/>
  <c r="K6" i="6"/>
  <c r="L6" i="6"/>
  <c r="C6" i="6"/>
  <c r="D5" i="6"/>
  <c r="D9" i="6" s="1"/>
  <c r="E5" i="6"/>
  <c r="F5" i="6"/>
  <c r="G5" i="6"/>
  <c r="H5" i="6"/>
  <c r="I5" i="6"/>
  <c r="I9" i="6" s="1"/>
  <c r="J5" i="6"/>
  <c r="K5" i="6"/>
  <c r="L5" i="6"/>
  <c r="B5" i="6"/>
  <c r="C5" i="6"/>
  <c r="C9" i="6" s="1"/>
  <c r="A8" i="6"/>
  <c r="A15" i="6" s="1"/>
  <c r="A9" i="6"/>
  <c r="A16" i="6" s="1"/>
  <c r="B17" i="6"/>
  <c r="A11" i="6"/>
  <c r="A19" i="6" s="1"/>
  <c r="A10" i="6"/>
  <c r="A18" i="6" s="1"/>
  <c r="E42" i="5"/>
  <c r="F42" i="5"/>
  <c r="G42" i="5"/>
  <c r="H42" i="5"/>
  <c r="I42" i="5"/>
  <c r="J42" i="5"/>
  <c r="K42" i="5"/>
  <c r="D41" i="5"/>
  <c r="F39" i="5"/>
  <c r="G39" i="5"/>
  <c r="H39" i="5"/>
  <c r="I39" i="5"/>
  <c r="J39" i="5"/>
  <c r="K39" i="5"/>
  <c r="E39" i="5"/>
  <c r="D39" i="5"/>
  <c r="D46" i="5"/>
  <c r="K37" i="5"/>
  <c r="J37" i="5"/>
  <c r="I37" i="5"/>
  <c r="H37" i="5"/>
  <c r="G37" i="5"/>
  <c r="F37" i="5"/>
  <c r="E37" i="5"/>
  <c r="D38" i="5"/>
  <c r="D37" i="5"/>
  <c r="C48" i="5"/>
  <c r="C47" i="5"/>
  <c r="C45" i="5"/>
  <c r="C44" i="5"/>
  <c r="K38" i="5"/>
  <c r="J38" i="5"/>
  <c r="I38" i="5"/>
  <c r="H38" i="5"/>
  <c r="G38" i="5"/>
  <c r="F38" i="5"/>
  <c r="E38" i="5"/>
  <c r="N39" i="3"/>
  <c r="M39" i="3"/>
  <c r="L39" i="3"/>
  <c r="K39" i="3"/>
  <c r="J39" i="3"/>
  <c r="I39" i="3"/>
  <c r="H39" i="3"/>
  <c r="G39" i="3"/>
  <c r="F39" i="3"/>
  <c r="E39" i="3"/>
  <c r="E40" i="3" s="1"/>
  <c r="E43" i="3"/>
  <c r="D49" i="3"/>
  <c r="C49" i="3"/>
  <c r="C48" i="3"/>
  <c r="C46" i="3"/>
  <c r="C45" i="3"/>
  <c r="D47" i="3"/>
  <c r="D38" i="3"/>
  <c r="E14" i="5"/>
  <c r="F14" i="5"/>
  <c r="G14" i="5"/>
  <c r="H14" i="5"/>
  <c r="I14" i="5"/>
  <c r="J14" i="5"/>
  <c r="K14" i="5"/>
  <c r="D14" i="5"/>
  <c r="E13" i="5"/>
  <c r="F13" i="5"/>
  <c r="G13" i="5"/>
  <c r="H13" i="5"/>
  <c r="I13" i="5"/>
  <c r="J13" i="5"/>
  <c r="K13" i="5"/>
  <c r="D13" i="5"/>
  <c r="N38" i="3"/>
  <c r="M38" i="3"/>
  <c r="L38" i="3"/>
  <c r="K38" i="3"/>
  <c r="J38" i="3"/>
  <c r="I38" i="3"/>
  <c r="H38" i="3"/>
  <c r="G38" i="3"/>
  <c r="F38" i="3"/>
  <c r="E38" i="3"/>
  <c r="B71" i="1"/>
  <c r="D24" i="6"/>
  <c r="K31" i="5"/>
  <c r="J31" i="5"/>
  <c r="I31" i="5"/>
  <c r="H31" i="5"/>
  <c r="G31" i="5"/>
  <c r="F31" i="5"/>
  <c r="E31" i="5"/>
  <c r="D31" i="5"/>
  <c r="I30" i="5"/>
  <c r="K29" i="5"/>
  <c r="J29" i="5"/>
  <c r="I29" i="5"/>
  <c r="H29" i="5"/>
  <c r="G29" i="5"/>
  <c r="F29" i="5"/>
  <c r="E29" i="5"/>
  <c r="D29" i="5"/>
  <c r="K28" i="5"/>
  <c r="K30" i="5" s="1"/>
  <c r="J28" i="5"/>
  <c r="J30" i="5" s="1"/>
  <c r="I28" i="5"/>
  <c r="H28" i="5"/>
  <c r="H30" i="5" s="1"/>
  <c r="G28" i="5"/>
  <c r="G30" i="5" s="1"/>
  <c r="F28" i="5"/>
  <c r="F30" i="5" s="1"/>
  <c r="E28" i="5"/>
  <c r="E30" i="5" s="1"/>
  <c r="D28" i="5"/>
  <c r="D30" i="5" s="1"/>
  <c r="J1" i="5"/>
  <c r="K1" i="5" s="1"/>
  <c r="G1" i="5"/>
  <c r="H1" i="5" s="1"/>
  <c r="I1" i="5" s="1"/>
  <c r="F1" i="5"/>
  <c r="E1" i="5"/>
  <c r="N32" i="3"/>
  <c r="M32" i="3"/>
  <c r="L32" i="3"/>
  <c r="K32" i="3"/>
  <c r="J32" i="3"/>
  <c r="I32" i="3"/>
  <c r="H32" i="3"/>
  <c r="G32" i="3"/>
  <c r="F32" i="3"/>
  <c r="E32" i="3"/>
  <c r="D32" i="3"/>
  <c r="N30" i="3"/>
  <c r="M30" i="3"/>
  <c r="L30" i="3"/>
  <c r="K30" i="3"/>
  <c r="K31" i="3" s="1"/>
  <c r="J30" i="3"/>
  <c r="I30" i="3"/>
  <c r="H30" i="3"/>
  <c r="G30" i="3"/>
  <c r="F30" i="3"/>
  <c r="E30" i="3"/>
  <c r="D30" i="3"/>
  <c r="D31" i="3" s="1"/>
  <c r="N29" i="3"/>
  <c r="N31" i="3" s="1"/>
  <c r="M29" i="3"/>
  <c r="L29" i="3"/>
  <c r="L31" i="3" s="1"/>
  <c r="K29" i="3"/>
  <c r="J29" i="3"/>
  <c r="J31" i="3" s="1"/>
  <c r="I29" i="3"/>
  <c r="I31" i="3" s="1"/>
  <c r="H29" i="3"/>
  <c r="H31" i="3" s="1"/>
  <c r="G29" i="3"/>
  <c r="G31" i="3" s="1"/>
  <c r="F29" i="3"/>
  <c r="E29" i="3"/>
  <c r="D29" i="3"/>
  <c r="E23" i="3"/>
  <c r="F23" i="3" s="1"/>
  <c r="G23" i="3" s="1"/>
  <c r="H23" i="3" s="1"/>
  <c r="I23" i="3" s="1"/>
  <c r="J23" i="3" s="1"/>
  <c r="K23" i="3" s="1"/>
  <c r="L23" i="3" s="1"/>
  <c r="M23" i="3" s="1"/>
  <c r="N23" i="3" s="1"/>
  <c r="D23" i="5" s="1"/>
  <c r="E23" i="5" s="1"/>
  <c r="F23" i="5" s="1"/>
  <c r="G23" i="5" s="1"/>
  <c r="H23" i="5" s="1"/>
  <c r="I23" i="5" s="1"/>
  <c r="J23" i="5" s="1"/>
  <c r="K23" i="5" s="1"/>
  <c r="D22" i="3"/>
  <c r="D21" i="3"/>
  <c r="E21" i="3" s="1"/>
  <c r="D20" i="3"/>
  <c r="E19" i="3"/>
  <c r="F19" i="3" s="1"/>
  <c r="G19" i="3" s="1"/>
  <c r="H19" i="3" s="1"/>
  <c r="I19" i="3" s="1"/>
  <c r="J19" i="3" s="1"/>
  <c r="K19" i="3" s="1"/>
  <c r="L19" i="3" s="1"/>
  <c r="M19" i="3" s="1"/>
  <c r="N19" i="3" s="1"/>
  <c r="D19" i="5" s="1"/>
  <c r="E19" i="5" s="1"/>
  <c r="F19" i="5" s="1"/>
  <c r="G19" i="5" s="1"/>
  <c r="H19" i="5" s="1"/>
  <c r="I19" i="5" s="1"/>
  <c r="J19" i="5" s="1"/>
  <c r="K19" i="5" s="1"/>
  <c r="D17" i="3"/>
  <c r="E17" i="3" s="1"/>
  <c r="F17" i="3" s="1"/>
  <c r="G17" i="3" s="1"/>
  <c r="E15" i="3"/>
  <c r="D12" i="3"/>
  <c r="D11" i="3"/>
  <c r="E6" i="3"/>
  <c r="F6" i="2"/>
  <c r="F15" i="3" s="1"/>
  <c r="D5" i="2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D3" i="2"/>
  <c r="D13" i="3" s="1"/>
  <c r="B12" i="1"/>
  <c r="E27" i="7" l="1"/>
  <c r="F27" i="7"/>
  <c r="E27" i="8"/>
  <c r="E27" i="5"/>
  <c r="F27" i="5"/>
  <c r="F41" i="5" s="1"/>
  <c r="H27" i="3"/>
  <c r="G30" i="6"/>
  <c r="G10" i="6"/>
  <c r="F10" i="6"/>
  <c r="E8" i="10"/>
  <c r="D8" i="10"/>
  <c r="J8" i="10"/>
  <c r="H8" i="10"/>
  <c r="L8" i="10"/>
  <c r="D10" i="10"/>
  <c r="K8" i="10"/>
  <c r="I8" i="10"/>
  <c r="F8" i="10"/>
  <c r="L11" i="10"/>
  <c r="C9" i="10"/>
  <c r="G9" i="10"/>
  <c r="H9" i="10"/>
  <c r="I11" i="10"/>
  <c r="F9" i="10"/>
  <c r="H11" i="10"/>
  <c r="F11" i="10"/>
  <c r="E11" i="10"/>
  <c r="D11" i="10"/>
  <c r="G9" i="9"/>
  <c r="F9" i="9"/>
  <c r="L8" i="9"/>
  <c r="D8" i="9"/>
  <c r="I8" i="9"/>
  <c r="C9" i="9"/>
  <c r="D9" i="9"/>
  <c r="C8" i="9"/>
  <c r="H8" i="9"/>
  <c r="L11" i="9"/>
  <c r="C10" i="9"/>
  <c r="C11" i="9"/>
  <c r="J8" i="9"/>
  <c r="E8" i="9"/>
  <c r="K11" i="9"/>
  <c r="E9" i="9"/>
  <c r="J11" i="9"/>
  <c r="I11" i="9"/>
  <c r="H11" i="9"/>
  <c r="G8" i="9"/>
  <c r="F8" i="9"/>
  <c r="K9" i="9"/>
  <c r="G11" i="9"/>
  <c r="F11" i="9"/>
  <c r="K8" i="9"/>
  <c r="I9" i="9"/>
  <c r="E11" i="9"/>
  <c r="J9" i="10"/>
  <c r="K9" i="10"/>
  <c r="I9" i="10"/>
  <c r="M25" i="8"/>
  <c r="N25" i="8"/>
  <c r="M35" i="8"/>
  <c r="L26" i="8"/>
  <c r="N40" i="8"/>
  <c r="M26" i="8"/>
  <c r="L35" i="8"/>
  <c r="E40" i="8"/>
  <c r="E25" i="8"/>
  <c r="E26" i="8"/>
  <c r="E24" i="8"/>
  <c r="E35" i="8"/>
  <c r="G26" i="8"/>
  <c r="G35" i="8"/>
  <c r="G24" i="8"/>
  <c r="G25" i="8"/>
  <c r="F21" i="8"/>
  <c r="E22" i="8"/>
  <c r="F24" i="8"/>
  <c r="F26" i="8"/>
  <c r="F35" i="8"/>
  <c r="F25" i="8"/>
  <c r="H24" i="8"/>
  <c r="H26" i="8"/>
  <c r="H25" i="8"/>
  <c r="H35" i="8"/>
  <c r="F40" i="8"/>
  <c r="I35" i="8"/>
  <c r="I26" i="8"/>
  <c r="K35" i="8"/>
  <c r="J40" i="8"/>
  <c r="K40" i="8"/>
  <c r="L40" i="8"/>
  <c r="M40" i="8"/>
  <c r="E17" i="8"/>
  <c r="J35" i="8"/>
  <c r="I25" i="8"/>
  <c r="J26" i="8"/>
  <c r="I40" i="8"/>
  <c r="N40" i="7"/>
  <c r="M24" i="7"/>
  <c r="N24" i="7"/>
  <c r="M25" i="7"/>
  <c r="K40" i="7"/>
  <c r="N25" i="7"/>
  <c r="N35" i="7"/>
  <c r="M40" i="7"/>
  <c r="G26" i="7"/>
  <c r="G25" i="7"/>
  <c r="G24" i="7"/>
  <c r="G35" i="7"/>
  <c r="J40" i="7"/>
  <c r="H24" i="7"/>
  <c r="H26" i="7"/>
  <c r="H25" i="7"/>
  <c r="H35" i="7"/>
  <c r="G40" i="7"/>
  <c r="I24" i="7"/>
  <c r="I25" i="7"/>
  <c r="I35" i="7"/>
  <c r="I26" i="7"/>
  <c r="H40" i="7"/>
  <c r="J24" i="7"/>
  <c r="J25" i="7"/>
  <c r="J26" i="7"/>
  <c r="J35" i="7"/>
  <c r="F21" i="7"/>
  <c r="E22" i="7"/>
  <c r="I40" i="7"/>
  <c r="E24" i="7"/>
  <c r="E35" i="7"/>
  <c r="E26" i="7"/>
  <c r="E25" i="7"/>
  <c r="F25" i="7"/>
  <c r="F24" i="7"/>
  <c r="F35" i="7"/>
  <c r="F26" i="7"/>
  <c r="K24" i="7"/>
  <c r="L25" i="7"/>
  <c r="M26" i="7"/>
  <c r="E17" i="7"/>
  <c r="L40" i="7"/>
  <c r="K35" i="7"/>
  <c r="L35" i="7"/>
  <c r="K26" i="7"/>
  <c r="F31" i="6"/>
  <c r="F29" i="6"/>
  <c r="M28" i="6"/>
  <c r="O28" i="6"/>
  <c r="D28" i="6"/>
  <c r="N28" i="6"/>
  <c r="M31" i="6"/>
  <c r="K28" i="6"/>
  <c r="E28" i="6"/>
  <c r="N31" i="6"/>
  <c r="C29" i="6"/>
  <c r="T28" i="6"/>
  <c r="J29" i="6"/>
  <c r="R28" i="6"/>
  <c r="S28" i="6"/>
  <c r="Q28" i="6"/>
  <c r="R31" i="6"/>
  <c r="B37" i="6"/>
  <c r="P28" i="6"/>
  <c r="M30" i="6"/>
  <c r="F28" i="6"/>
  <c r="J28" i="6"/>
  <c r="E29" i="6"/>
  <c r="G31" i="6"/>
  <c r="C28" i="6"/>
  <c r="I29" i="6"/>
  <c r="H31" i="6"/>
  <c r="D29" i="6"/>
  <c r="H28" i="6"/>
  <c r="E30" i="6"/>
  <c r="K31" i="6"/>
  <c r="I28" i="6"/>
  <c r="F30" i="6"/>
  <c r="D31" i="6"/>
  <c r="L28" i="6"/>
  <c r="K29" i="6"/>
  <c r="I31" i="6"/>
  <c r="D30" i="6"/>
  <c r="C8" i="6"/>
  <c r="H11" i="6"/>
  <c r="L8" i="6"/>
  <c r="D10" i="6"/>
  <c r="C11" i="6"/>
  <c r="G9" i="6"/>
  <c r="F9" i="6"/>
  <c r="E9" i="6"/>
  <c r="K8" i="6"/>
  <c r="J8" i="6"/>
  <c r="L11" i="6"/>
  <c r="C10" i="6"/>
  <c r="H8" i="6"/>
  <c r="I8" i="6"/>
  <c r="D8" i="6"/>
  <c r="H9" i="6"/>
  <c r="G8" i="6"/>
  <c r="D11" i="6"/>
  <c r="K11" i="6"/>
  <c r="I11" i="6"/>
  <c r="G11" i="6"/>
  <c r="K9" i="6"/>
  <c r="F8" i="6"/>
  <c r="E10" i="6"/>
  <c r="F11" i="6"/>
  <c r="J9" i="6"/>
  <c r="E8" i="6"/>
  <c r="J11" i="6"/>
  <c r="E11" i="6"/>
  <c r="E24" i="6"/>
  <c r="D44" i="5"/>
  <c r="D48" i="5"/>
  <c r="F31" i="3"/>
  <c r="E31" i="3"/>
  <c r="M31" i="3"/>
  <c r="P4" i="2"/>
  <c r="D5" i="5"/>
  <c r="H17" i="3"/>
  <c r="G18" i="3"/>
  <c r="G20" i="3" s="1"/>
  <c r="F18" i="3"/>
  <c r="F20" i="3"/>
  <c r="E5" i="2"/>
  <c r="D28" i="3"/>
  <c r="D14" i="3"/>
  <c r="D16" i="3" s="1"/>
  <c r="D5" i="3"/>
  <c r="F21" i="3"/>
  <c r="E22" i="3"/>
  <c r="E20" i="3"/>
  <c r="E3" i="2"/>
  <c r="F6" i="3"/>
  <c r="D4" i="3"/>
  <c r="G6" i="2"/>
  <c r="E18" i="3"/>
  <c r="G27" i="7" l="1"/>
  <c r="E10" i="10" s="1"/>
  <c r="C10" i="10"/>
  <c r="G27" i="8"/>
  <c r="F10" i="9" s="1"/>
  <c r="D10" i="9"/>
  <c r="E42" i="8"/>
  <c r="F27" i="8"/>
  <c r="E41" i="5"/>
  <c r="G27" i="5"/>
  <c r="N30" i="6"/>
  <c r="O30" i="6"/>
  <c r="I27" i="3"/>
  <c r="B19" i="10"/>
  <c r="B15" i="10"/>
  <c r="B15" i="9"/>
  <c r="B19" i="9"/>
  <c r="F42" i="8"/>
  <c r="F22" i="8"/>
  <c r="G21" i="8"/>
  <c r="F17" i="8"/>
  <c r="E18" i="8"/>
  <c r="D45" i="8"/>
  <c r="F42" i="7"/>
  <c r="E42" i="7"/>
  <c r="D45" i="7"/>
  <c r="E18" i="7"/>
  <c r="F17" i="7"/>
  <c r="F22" i="7"/>
  <c r="G21" i="7"/>
  <c r="B39" i="6"/>
  <c r="B35" i="6"/>
  <c r="B19" i="6"/>
  <c r="B15" i="6"/>
  <c r="F24" i="6"/>
  <c r="E13" i="3"/>
  <c r="F3" i="2"/>
  <c r="E4" i="3"/>
  <c r="G21" i="3"/>
  <c r="F22" i="3"/>
  <c r="I17" i="3"/>
  <c r="H18" i="3"/>
  <c r="H20" i="3" s="1"/>
  <c r="G6" i="3"/>
  <c r="H6" i="2"/>
  <c r="G15" i="3"/>
  <c r="E14" i="3"/>
  <c r="E5" i="3"/>
  <c r="F5" i="2"/>
  <c r="E28" i="3"/>
  <c r="D7" i="3"/>
  <c r="Q4" i="2"/>
  <c r="E5" i="5"/>
  <c r="H27" i="7" l="1"/>
  <c r="I27" i="7"/>
  <c r="G42" i="7"/>
  <c r="J27" i="7"/>
  <c r="K27" i="7"/>
  <c r="H27" i="8"/>
  <c r="G42" i="8"/>
  <c r="I27" i="8"/>
  <c r="E10" i="9"/>
  <c r="J27" i="8"/>
  <c r="G41" i="5"/>
  <c r="P30" i="6"/>
  <c r="H27" i="5"/>
  <c r="I27" i="5"/>
  <c r="J27" i="5"/>
  <c r="K27" i="5"/>
  <c r="H30" i="6"/>
  <c r="H10" i="6"/>
  <c r="J27" i="3"/>
  <c r="K27" i="3"/>
  <c r="E34" i="8"/>
  <c r="E36" i="8" s="1"/>
  <c r="E43" i="8"/>
  <c r="G17" i="8"/>
  <c r="F18" i="8"/>
  <c r="H21" i="8"/>
  <c r="G22" i="8"/>
  <c r="G22" i="7"/>
  <c r="H21" i="7"/>
  <c r="E34" i="7"/>
  <c r="E36" i="7" s="1"/>
  <c r="G17" i="7"/>
  <c r="F18" i="7"/>
  <c r="G24" i="6"/>
  <c r="H21" i="3"/>
  <c r="G22" i="3"/>
  <c r="I6" i="2"/>
  <c r="H6" i="3"/>
  <c r="H15" i="3"/>
  <c r="F4" i="3"/>
  <c r="F7" i="3" s="1"/>
  <c r="F40" i="3" s="1"/>
  <c r="G3" i="2"/>
  <c r="F13" i="3"/>
  <c r="F16" i="3" s="1"/>
  <c r="D26" i="3"/>
  <c r="D25" i="3"/>
  <c r="D24" i="3"/>
  <c r="D27" i="3" s="1"/>
  <c r="F5" i="3"/>
  <c r="F28" i="3"/>
  <c r="F14" i="3"/>
  <c r="G5" i="2"/>
  <c r="I20" i="3"/>
  <c r="J17" i="3"/>
  <c r="I18" i="3"/>
  <c r="E7" i="3"/>
  <c r="R4" i="2"/>
  <c r="F5" i="5"/>
  <c r="E16" i="3"/>
  <c r="I10" i="10" l="1"/>
  <c r="K42" i="7"/>
  <c r="H10" i="10"/>
  <c r="J42" i="7"/>
  <c r="G10" i="10"/>
  <c r="I42" i="7"/>
  <c r="F10" i="10"/>
  <c r="H42" i="7"/>
  <c r="L27" i="7"/>
  <c r="I10" i="9"/>
  <c r="J42" i="8"/>
  <c r="H10" i="9"/>
  <c r="I42" i="8"/>
  <c r="G10" i="9"/>
  <c r="H42" i="8"/>
  <c r="K27" i="8"/>
  <c r="L27" i="8" s="1"/>
  <c r="J41" i="5"/>
  <c r="S30" i="6"/>
  <c r="I41" i="5"/>
  <c r="R30" i="6"/>
  <c r="H41" i="5"/>
  <c r="D47" i="5" s="1"/>
  <c r="Q30" i="6"/>
  <c r="K41" i="5"/>
  <c r="T30" i="6"/>
  <c r="J10" i="6"/>
  <c r="J30" i="6"/>
  <c r="I30" i="6"/>
  <c r="I10" i="6"/>
  <c r="L27" i="3"/>
  <c r="F34" i="8"/>
  <c r="F36" i="8" s="1"/>
  <c r="F43" i="8"/>
  <c r="H22" i="8"/>
  <c r="I21" i="8"/>
  <c r="G18" i="8"/>
  <c r="H17" i="8"/>
  <c r="F34" i="7"/>
  <c r="F36" i="7" s="1"/>
  <c r="F43" i="7"/>
  <c r="H17" i="7"/>
  <c r="G18" i="7"/>
  <c r="I21" i="7"/>
  <c r="H22" i="7"/>
  <c r="H24" i="6"/>
  <c r="H3" i="2"/>
  <c r="G4" i="3"/>
  <c r="G13" i="3"/>
  <c r="G28" i="3"/>
  <c r="H5" i="2"/>
  <c r="G5" i="3"/>
  <c r="G14" i="3"/>
  <c r="F35" i="3"/>
  <c r="F43" i="3" s="1"/>
  <c r="F24" i="3"/>
  <c r="F25" i="3"/>
  <c r="F26" i="3"/>
  <c r="S4" i="2"/>
  <c r="G5" i="5"/>
  <c r="E26" i="3"/>
  <c r="E25" i="3"/>
  <c r="E24" i="3"/>
  <c r="E42" i="3" s="1"/>
  <c r="E35" i="3"/>
  <c r="I6" i="3"/>
  <c r="J6" i="2"/>
  <c r="I15" i="3"/>
  <c r="K17" i="3"/>
  <c r="J18" i="3"/>
  <c r="J20" i="3" s="1"/>
  <c r="H22" i="3"/>
  <c r="I21" i="3"/>
  <c r="J10" i="10" l="1"/>
  <c r="L42" i="7"/>
  <c r="M27" i="7"/>
  <c r="K10" i="9"/>
  <c r="L42" i="8"/>
  <c r="M27" i="8"/>
  <c r="K42" i="8"/>
  <c r="J10" i="9"/>
  <c r="K10" i="6"/>
  <c r="K30" i="6"/>
  <c r="M27" i="3"/>
  <c r="G43" i="8"/>
  <c r="G34" i="8"/>
  <c r="G36" i="8" s="1"/>
  <c r="H18" i="8"/>
  <c r="I17" i="8"/>
  <c r="I22" i="8"/>
  <c r="J21" i="8"/>
  <c r="I17" i="7"/>
  <c r="H18" i="7"/>
  <c r="J21" i="7"/>
  <c r="I22" i="7"/>
  <c r="G43" i="7"/>
  <c r="G34" i="7"/>
  <c r="G36" i="7" s="1"/>
  <c r="I24" i="6"/>
  <c r="F42" i="3"/>
  <c r="E34" i="3"/>
  <c r="E36" i="3" s="1"/>
  <c r="H5" i="5"/>
  <c r="T4" i="2"/>
  <c r="J6" i="3"/>
  <c r="J15" i="3"/>
  <c r="K6" i="2"/>
  <c r="G7" i="3"/>
  <c r="G40" i="3" s="1"/>
  <c r="H13" i="3"/>
  <c r="I3" i="2"/>
  <c r="H4" i="3"/>
  <c r="K18" i="3"/>
  <c r="L17" i="3"/>
  <c r="K20" i="3"/>
  <c r="H14" i="3"/>
  <c r="H5" i="3"/>
  <c r="I5" i="2"/>
  <c r="H28" i="3"/>
  <c r="G16" i="3"/>
  <c r="J21" i="3"/>
  <c r="I22" i="3"/>
  <c r="F34" i="3"/>
  <c r="F36" i="3" s="1"/>
  <c r="K10" i="10" l="1"/>
  <c r="M42" i="7"/>
  <c r="N27" i="7"/>
  <c r="L10" i="9"/>
  <c r="B18" i="9" s="1"/>
  <c r="M42" i="8"/>
  <c r="N27" i="8"/>
  <c r="L30" i="6"/>
  <c r="B38" i="6" s="1"/>
  <c r="L10" i="6"/>
  <c r="B18" i="6" s="1"/>
  <c r="N27" i="3"/>
  <c r="K21" i="8"/>
  <c r="J22" i="8"/>
  <c r="J17" i="8"/>
  <c r="I18" i="8"/>
  <c r="H43" i="8"/>
  <c r="H34" i="8"/>
  <c r="H36" i="8" s="1"/>
  <c r="H43" i="7"/>
  <c r="H34" i="7"/>
  <c r="H36" i="7" s="1"/>
  <c r="I18" i="7"/>
  <c r="J17" i="7"/>
  <c r="K21" i="7"/>
  <c r="J22" i="7"/>
  <c r="J24" i="6"/>
  <c r="H16" i="3"/>
  <c r="J5" i="2"/>
  <c r="I5" i="3"/>
  <c r="I28" i="3"/>
  <c r="I14" i="3"/>
  <c r="L6" i="2"/>
  <c r="K15" i="3"/>
  <c r="K6" i="3"/>
  <c r="G35" i="3"/>
  <c r="G43" i="3" s="1"/>
  <c r="G25" i="3"/>
  <c r="G24" i="3"/>
  <c r="G42" i="3" s="1"/>
  <c r="G26" i="3"/>
  <c r="M17" i="3"/>
  <c r="L18" i="3"/>
  <c r="L20" i="3" s="1"/>
  <c r="I4" i="3"/>
  <c r="J3" i="2"/>
  <c r="I13" i="3"/>
  <c r="K21" i="3"/>
  <c r="J22" i="3"/>
  <c r="U4" i="2"/>
  <c r="I5" i="5"/>
  <c r="H7" i="3"/>
  <c r="H40" i="3" s="1"/>
  <c r="L10" i="10" l="1"/>
  <c r="B18" i="10" s="1"/>
  <c r="N8" i="7"/>
  <c r="N42" i="7"/>
  <c r="D48" i="7" s="1"/>
  <c r="N8" i="8"/>
  <c r="N41" i="8" s="1"/>
  <c r="N42" i="8"/>
  <c r="D48" i="8"/>
  <c r="I34" i="8"/>
  <c r="I36" i="8" s="1"/>
  <c r="I43" i="8"/>
  <c r="K17" i="8"/>
  <c r="J18" i="8"/>
  <c r="L21" i="8"/>
  <c r="K22" i="8"/>
  <c r="I34" i="7"/>
  <c r="I36" i="7" s="1"/>
  <c r="I43" i="7"/>
  <c r="K22" i="7"/>
  <c r="L21" i="7"/>
  <c r="K17" i="7"/>
  <c r="J18" i="7"/>
  <c r="K24" i="6"/>
  <c r="I7" i="3"/>
  <c r="I40" i="3" s="1"/>
  <c r="K3" i="2"/>
  <c r="J4" i="3"/>
  <c r="J13" i="3"/>
  <c r="I35" i="3"/>
  <c r="I25" i="3"/>
  <c r="I24" i="3"/>
  <c r="I42" i="3" s="1"/>
  <c r="I26" i="3"/>
  <c r="L6" i="3"/>
  <c r="M6" i="2"/>
  <c r="L15" i="3"/>
  <c r="V4" i="2"/>
  <c r="K5" i="5" s="1"/>
  <c r="J5" i="5"/>
  <c r="K22" i="3"/>
  <c r="L21" i="3"/>
  <c r="N17" i="3"/>
  <c r="M18" i="3"/>
  <c r="M20" i="3" s="1"/>
  <c r="G34" i="3"/>
  <c r="G36" i="3" s="1"/>
  <c r="H26" i="3"/>
  <c r="H25" i="3"/>
  <c r="H35" i="3"/>
  <c r="H43" i="3" s="1"/>
  <c r="H24" i="3"/>
  <c r="H42" i="3" s="1"/>
  <c r="I16" i="3"/>
  <c r="I43" i="3" s="1"/>
  <c r="J28" i="3"/>
  <c r="K5" i="2"/>
  <c r="J14" i="3"/>
  <c r="J5" i="3"/>
  <c r="N41" i="7" l="1"/>
  <c r="D46" i="7" s="1"/>
  <c r="L9" i="10"/>
  <c r="B16" i="10" s="1"/>
  <c r="B20" i="10" s="1"/>
  <c r="D46" i="8"/>
  <c r="L9" i="9"/>
  <c r="B16" i="9" s="1"/>
  <c r="B20" i="9" s="1"/>
  <c r="J34" i="8"/>
  <c r="J36" i="8" s="1"/>
  <c r="J43" i="8"/>
  <c r="L22" i="8"/>
  <c r="M21" i="8"/>
  <c r="L17" i="8"/>
  <c r="K18" i="8"/>
  <c r="J34" i="7"/>
  <c r="J36" i="7" s="1"/>
  <c r="J43" i="7"/>
  <c r="L17" i="7"/>
  <c r="K18" i="7"/>
  <c r="M21" i="7"/>
  <c r="L22" i="7"/>
  <c r="L24" i="6"/>
  <c r="K5" i="3"/>
  <c r="L5" i="2"/>
  <c r="K14" i="3"/>
  <c r="I34" i="3"/>
  <c r="I36" i="3" s="1"/>
  <c r="N18" i="3"/>
  <c r="N20" i="3" s="1"/>
  <c r="D17" i="5"/>
  <c r="H34" i="3"/>
  <c r="H36" i="3" s="1"/>
  <c r="M21" i="3"/>
  <c r="L22" i="3"/>
  <c r="J16" i="3"/>
  <c r="J7" i="3"/>
  <c r="J40" i="3" s="1"/>
  <c r="M15" i="3"/>
  <c r="N6" i="2"/>
  <c r="M6" i="3"/>
  <c r="K13" i="3"/>
  <c r="L3" i="2"/>
  <c r="K4" i="3"/>
  <c r="K7" i="3" s="1"/>
  <c r="K40" i="3" s="1"/>
  <c r="K34" i="8" l="1"/>
  <c r="K36" i="8" s="1"/>
  <c r="K43" i="8"/>
  <c r="L18" i="8"/>
  <c r="M17" i="8"/>
  <c r="M22" i="8"/>
  <c r="N21" i="8"/>
  <c r="N22" i="8" s="1"/>
  <c r="N21" i="7"/>
  <c r="N22" i="7" s="1"/>
  <c r="M22" i="7"/>
  <c r="K43" i="7"/>
  <c r="K34" i="7"/>
  <c r="K36" i="7" s="1"/>
  <c r="L18" i="7"/>
  <c r="M17" i="7"/>
  <c r="M24" i="6"/>
  <c r="E17" i="5"/>
  <c r="D18" i="5"/>
  <c r="D20" i="5" s="1"/>
  <c r="N15" i="3"/>
  <c r="O6" i="2"/>
  <c r="N6" i="3"/>
  <c r="J25" i="3"/>
  <c r="J26" i="3"/>
  <c r="J24" i="3"/>
  <c r="J42" i="3" s="1"/>
  <c r="J35" i="3"/>
  <c r="J43" i="3" s="1"/>
  <c r="K25" i="3"/>
  <c r="K35" i="3"/>
  <c r="K24" i="3"/>
  <c r="K26" i="3"/>
  <c r="L13" i="3"/>
  <c r="M3" i="2"/>
  <c r="L4" i="3"/>
  <c r="K16" i="3"/>
  <c r="M5" i="2"/>
  <c r="L14" i="3"/>
  <c r="L5" i="3"/>
  <c r="N21" i="3"/>
  <c r="M22" i="3"/>
  <c r="M18" i="8" l="1"/>
  <c r="N17" i="8"/>
  <c r="L34" i="8"/>
  <c r="L36" i="8" s="1"/>
  <c r="L43" i="8"/>
  <c r="L43" i="7"/>
  <c r="L34" i="7"/>
  <c r="L36" i="7" s="1"/>
  <c r="M18" i="7"/>
  <c r="N17" i="7"/>
  <c r="N24" i="6"/>
  <c r="K43" i="3"/>
  <c r="K42" i="3"/>
  <c r="L16" i="3"/>
  <c r="D21" i="5"/>
  <c r="N22" i="3"/>
  <c r="M14" i="3"/>
  <c r="N5" i="2"/>
  <c r="M5" i="3"/>
  <c r="P6" i="2"/>
  <c r="D15" i="5"/>
  <c r="D6" i="5"/>
  <c r="K34" i="3"/>
  <c r="K36" i="3" s="1"/>
  <c r="L7" i="3"/>
  <c r="L40" i="3" s="1"/>
  <c r="F17" i="5"/>
  <c r="E18" i="5"/>
  <c r="E20" i="5" s="1"/>
  <c r="M13" i="3"/>
  <c r="N3" i="2"/>
  <c r="M4" i="3"/>
  <c r="J34" i="3"/>
  <c r="J36" i="3" s="1"/>
  <c r="M43" i="8" l="1"/>
  <c r="M34" i="8"/>
  <c r="M36" i="8" s="1"/>
  <c r="N18" i="8"/>
  <c r="M34" i="7"/>
  <c r="M36" i="7" s="1"/>
  <c r="M43" i="7"/>
  <c r="N18" i="7"/>
  <c r="O24" i="6"/>
  <c r="M16" i="3"/>
  <c r="Q6" i="2"/>
  <c r="E15" i="5"/>
  <c r="E6" i="5"/>
  <c r="G17" i="5"/>
  <c r="F18" i="5"/>
  <c r="F20" i="5" s="1"/>
  <c r="N5" i="3"/>
  <c r="N14" i="3"/>
  <c r="O5" i="2"/>
  <c r="L26" i="3"/>
  <c r="L25" i="3"/>
  <c r="L24" i="3"/>
  <c r="L35" i="3"/>
  <c r="L43" i="3" s="1"/>
  <c r="M7" i="3"/>
  <c r="M40" i="3" s="1"/>
  <c r="N4" i="3"/>
  <c r="N13" i="3"/>
  <c r="N16" i="3" s="1"/>
  <c r="O3" i="2"/>
  <c r="E21" i="5"/>
  <c r="D22" i="5"/>
  <c r="N34" i="8" l="1"/>
  <c r="N36" i="8" s="1"/>
  <c r="N43" i="8"/>
  <c r="D49" i="8" s="1"/>
  <c r="D50" i="8" s="1"/>
  <c r="N43" i="7"/>
  <c r="D50" i="7" s="1"/>
  <c r="N34" i="7"/>
  <c r="N36" i="7" s="1"/>
  <c r="P24" i="6"/>
  <c r="M43" i="3"/>
  <c r="L42" i="3"/>
  <c r="G18" i="5"/>
  <c r="G20" i="5" s="1"/>
  <c r="H17" i="5"/>
  <c r="F21" i="5"/>
  <c r="E22" i="5"/>
  <c r="P3" i="2"/>
  <c r="D4" i="5"/>
  <c r="D7" i="5" s="1"/>
  <c r="P5" i="2"/>
  <c r="F6" i="5"/>
  <c r="R6" i="2"/>
  <c r="F15" i="5"/>
  <c r="M26" i="3"/>
  <c r="M25" i="3"/>
  <c r="M24" i="3"/>
  <c r="M42" i="3" s="1"/>
  <c r="M35" i="3"/>
  <c r="N7" i="3"/>
  <c r="N40" i="3" s="1"/>
  <c r="D45" i="3" s="1"/>
  <c r="Q24" i="6" l="1"/>
  <c r="L34" i="3"/>
  <c r="L36" i="3" s="1"/>
  <c r="D16" i="5"/>
  <c r="Q3" i="2"/>
  <c r="E4" i="5"/>
  <c r="E7" i="5" s="1"/>
  <c r="G21" i="5"/>
  <c r="F22" i="5"/>
  <c r="D34" i="5"/>
  <c r="D24" i="5"/>
  <c r="D25" i="5"/>
  <c r="D26" i="5"/>
  <c r="N35" i="3"/>
  <c r="N43" i="3" s="1"/>
  <c r="N24" i="3"/>
  <c r="N26" i="3"/>
  <c r="N25" i="3"/>
  <c r="G15" i="5"/>
  <c r="S6" i="2"/>
  <c r="G6" i="5"/>
  <c r="Q5" i="2"/>
  <c r="I17" i="5"/>
  <c r="H18" i="5"/>
  <c r="H20" i="5" s="1"/>
  <c r="M34" i="3"/>
  <c r="M36" i="3" s="1"/>
  <c r="R24" i="6" l="1"/>
  <c r="N42" i="3"/>
  <c r="D48" i="3" s="1"/>
  <c r="J17" i="5"/>
  <c r="I18" i="5"/>
  <c r="I20" i="5" s="1"/>
  <c r="E25" i="5"/>
  <c r="E34" i="5"/>
  <c r="E26" i="5"/>
  <c r="E24" i="5"/>
  <c r="T6" i="2"/>
  <c r="H6" i="5"/>
  <c r="H15" i="5"/>
  <c r="H21" i="5"/>
  <c r="G22" i="5"/>
  <c r="E16" i="5"/>
  <c r="R5" i="2"/>
  <c r="R3" i="2"/>
  <c r="F4" i="5"/>
  <c r="F7" i="5" s="1"/>
  <c r="D33" i="5"/>
  <c r="D35" i="5" s="1"/>
  <c r="S24" i="6" l="1"/>
  <c r="I15" i="5"/>
  <c r="I6" i="5"/>
  <c r="U6" i="2"/>
  <c r="F34" i="5"/>
  <c r="F26" i="5"/>
  <c r="F25" i="5"/>
  <c r="F24" i="5"/>
  <c r="H22" i="5"/>
  <c r="I21" i="5"/>
  <c r="F16" i="5"/>
  <c r="S5" i="2"/>
  <c r="E33" i="5"/>
  <c r="E35" i="5" s="1"/>
  <c r="N8" i="3"/>
  <c r="S3" i="2"/>
  <c r="G4" i="5"/>
  <c r="G7" i="5" s="1"/>
  <c r="J18" i="5"/>
  <c r="J20" i="5" s="1"/>
  <c r="K17" i="5"/>
  <c r="N34" i="3" l="1"/>
  <c r="N36" i="3" s="1"/>
  <c r="N41" i="3"/>
  <c r="T24" i="6"/>
  <c r="T5" i="2"/>
  <c r="F33" i="5"/>
  <c r="F35" i="5" s="1"/>
  <c r="J15" i="5"/>
  <c r="V6" i="2"/>
  <c r="J6" i="5"/>
  <c r="K18" i="5"/>
  <c r="K20" i="5" s="1"/>
  <c r="G34" i="5"/>
  <c r="G26" i="5"/>
  <c r="G25" i="5"/>
  <c r="G24" i="5"/>
  <c r="G16" i="5"/>
  <c r="G33" i="5" s="1"/>
  <c r="G35" i="5" s="1"/>
  <c r="J21" i="5"/>
  <c r="I22" i="5"/>
  <c r="H4" i="5"/>
  <c r="H7" i="5" s="1"/>
  <c r="T3" i="2"/>
  <c r="H16" i="5"/>
  <c r="D46" i="3" l="1"/>
  <c r="D50" i="3" s="1"/>
  <c r="D51" i="5" s="1"/>
  <c r="L9" i="6"/>
  <c r="B16" i="6" s="1"/>
  <c r="B20" i="6" s="1"/>
  <c r="J22" i="5"/>
  <c r="K21" i="5"/>
  <c r="K22" i="5" s="1"/>
  <c r="K6" i="5"/>
  <c r="K15" i="5"/>
  <c r="I16" i="5"/>
  <c r="I4" i="5"/>
  <c r="I7" i="5" s="1"/>
  <c r="U3" i="2"/>
  <c r="U5" i="2"/>
  <c r="H34" i="5"/>
  <c r="H26" i="5"/>
  <c r="H25" i="5"/>
  <c r="H24" i="5"/>
  <c r="H33" i="5" s="1"/>
  <c r="H35" i="5" s="1"/>
  <c r="I34" i="5" l="1"/>
  <c r="I26" i="5"/>
  <c r="I24" i="5"/>
  <c r="I25" i="5"/>
  <c r="J4" i="5"/>
  <c r="J7" i="5" s="1"/>
  <c r="V3" i="2"/>
  <c r="V5" i="2"/>
  <c r="J34" i="5" l="1"/>
  <c r="J26" i="5"/>
  <c r="J25" i="5"/>
  <c r="J24" i="5"/>
  <c r="I33" i="5"/>
  <c r="I35" i="5" s="1"/>
  <c r="K4" i="5"/>
  <c r="K7" i="5" s="1"/>
  <c r="K16" i="5"/>
  <c r="J16" i="5"/>
  <c r="J33" i="5" s="1"/>
  <c r="J35" i="5" s="1"/>
  <c r="K34" i="5" l="1"/>
  <c r="K26" i="5"/>
  <c r="K24" i="5"/>
  <c r="K25" i="5"/>
  <c r="K8" i="5" l="1"/>
  <c r="K33" i="5" l="1"/>
  <c r="K35" i="5" s="1"/>
  <c r="K40" i="5"/>
  <c r="D45" i="5" s="1"/>
  <c r="D49" i="5" s="1"/>
  <c r="D52" i="5" s="1"/>
  <c r="T29" i="6"/>
  <c r="B36" i="6" s="1"/>
  <c r="B40" i="6" s="1"/>
</calcChain>
</file>

<file path=xl/sharedStrings.xml><?xml version="1.0" encoding="utf-8"?>
<sst xmlns="http://schemas.openxmlformats.org/spreadsheetml/2006/main" count="375" uniqueCount="159">
  <si>
    <t>Macro Elements</t>
  </si>
  <si>
    <t>Others</t>
  </si>
  <si>
    <t>US Treasury bond rate</t>
  </si>
  <si>
    <t>Base year</t>
  </si>
  <si>
    <t>Inflation rate</t>
  </si>
  <si>
    <t>Tax</t>
  </si>
  <si>
    <t>of revenue</t>
  </si>
  <si>
    <t>Cost of Capital (ke)</t>
  </si>
  <si>
    <t>pa</t>
  </si>
  <si>
    <t>R&amp;D Expenses</t>
  </si>
  <si>
    <t>Million</t>
  </si>
  <si>
    <t>(already spent, unrecoverable)</t>
  </si>
  <si>
    <t>Introductory Costs</t>
  </si>
  <si>
    <t>(or 1 Billion in infrastructure)</t>
  </si>
  <si>
    <t>(Salvage Value)</t>
  </si>
  <si>
    <t>Million pa</t>
  </si>
  <si>
    <t>(straight-line Depreciation over 10 years)</t>
  </si>
  <si>
    <t>Market Potential and Share</t>
  </si>
  <si>
    <t>In 2020,</t>
  </si>
  <si>
    <t>(US Subscribers)</t>
  </si>
  <si>
    <t>(International Subscribers)</t>
  </si>
  <si>
    <t>Growth</t>
  </si>
  <si>
    <t>Without Studio Invt.</t>
  </si>
  <si>
    <t>With Studio Invt.</t>
  </si>
  <si>
    <t>(annually for next 10 years)</t>
  </si>
  <si>
    <t>US Subscribers</t>
  </si>
  <si>
    <t>International Subscribers</t>
  </si>
  <si>
    <t>Pricing and Unit Costs</t>
  </si>
  <si>
    <t>(for both)</t>
  </si>
  <si>
    <t>(for basic subsciption)</t>
  </si>
  <si>
    <t>(growth at inflation rate for the next 10 years)</t>
  </si>
  <si>
    <t>(Cost of Servicing)</t>
  </si>
  <si>
    <t>Studio Subsciptions</t>
  </si>
  <si>
    <t>(service will only be offered to International Subscribers)</t>
  </si>
  <si>
    <t>(for studio subsciption)</t>
  </si>
  <si>
    <t>(attracts 5 million subs in year 1)</t>
  </si>
  <si>
    <t>(Grow at 8% for next 9 years)</t>
  </si>
  <si>
    <t>Server Facilities and Costs</t>
  </si>
  <si>
    <t>(2020, International Subs used only 65% server capacity)</t>
  </si>
  <si>
    <t>(Studio subscribers not included)</t>
  </si>
  <si>
    <t>(Max Server Capacity)</t>
  </si>
  <si>
    <t>(if capacity limit is reached)</t>
  </si>
  <si>
    <t>(Current estimate of new server)</t>
  </si>
  <si>
    <t>(will grow at inflation rate)</t>
  </si>
  <si>
    <t>G&amp;A Expenses</t>
  </si>
  <si>
    <t>(will allocate 10% of its existing G&amp;A cost to new studio)</t>
  </si>
  <si>
    <t>(total cost in most recent year)</t>
  </si>
  <si>
    <t>(Grow at 5% for next 10 years)</t>
  </si>
  <si>
    <t>(Studio G&amp;A cost next year)</t>
  </si>
  <si>
    <t>(Grow at 10% for next 10 years)</t>
  </si>
  <si>
    <t>Advertising Expenses</t>
  </si>
  <si>
    <t>(spent in most recent year)</t>
  </si>
  <si>
    <t>if investment in studio not done</t>
  </si>
  <si>
    <t>(increase of 5% for next 10 years)</t>
  </si>
  <si>
    <t>if investment is done</t>
  </si>
  <si>
    <t>(costs will be 15% higher than they would've been without studio investment)</t>
  </si>
  <si>
    <t>Working Capital</t>
  </si>
  <si>
    <t>(all percentages are based on revenue for the year)</t>
  </si>
  <si>
    <t>accounts receivable</t>
  </si>
  <si>
    <t>inventory</t>
  </si>
  <si>
    <t>(of movies-in-production)</t>
  </si>
  <si>
    <t>accounts payable</t>
  </si>
  <si>
    <t>(working capital investments are to made at beginning of each year)</t>
  </si>
  <si>
    <t>(working capital investments for the 1st year are to made at beginning of 1st year)</t>
  </si>
  <si>
    <t>Side Benefits</t>
  </si>
  <si>
    <t>(in cost savings in 1st year)</t>
  </si>
  <si>
    <t>(pre-tax)</t>
  </si>
  <si>
    <t>(increase at 3% pa for next 10 years)</t>
  </si>
  <si>
    <t>Equity &amp; Debt</t>
  </si>
  <si>
    <t>/share</t>
  </si>
  <si>
    <t>(shares outstanding)</t>
  </si>
  <si>
    <t>(or 2.432 in Billion market value of Interest-bearing Debt)</t>
  </si>
  <si>
    <t>Future commitments (in Millions)</t>
  </si>
  <si>
    <t>Year</t>
  </si>
  <si>
    <t>Last year</t>
  </si>
  <si>
    <t>After 2025</t>
  </si>
  <si>
    <t>Lease Commitment</t>
  </si>
  <si>
    <t>Content Commitment</t>
  </si>
  <si>
    <t>No. of Subcribers</t>
  </si>
  <si>
    <t>(in millions)</t>
  </si>
  <si>
    <t>(without Investment)</t>
  </si>
  <si>
    <t>(with investment)</t>
  </si>
  <si>
    <t>Studio Subcriptions</t>
  </si>
  <si>
    <t>-</t>
  </si>
  <si>
    <t xml:space="preserve">Time </t>
  </si>
  <si>
    <t>Revenue</t>
  </si>
  <si>
    <t>Studio Subscribers</t>
  </si>
  <si>
    <t>Total Revenue</t>
  </si>
  <si>
    <t>Assets sold</t>
  </si>
  <si>
    <t>Expenses</t>
  </si>
  <si>
    <t>R&amp;D Exp.</t>
  </si>
  <si>
    <t>Introductory Exp.</t>
  </si>
  <si>
    <t>Cost of Servicing</t>
  </si>
  <si>
    <t>Total Cost of Servicing</t>
  </si>
  <si>
    <t>G&amp;A Exp.</t>
  </si>
  <si>
    <t>General</t>
  </si>
  <si>
    <t>Allocation</t>
  </si>
  <si>
    <t>Studio</t>
  </si>
  <si>
    <t>Total G&amp;A Exp.</t>
  </si>
  <si>
    <t>Advt. Exp.</t>
  </si>
  <si>
    <t>Inc. w/o investment</t>
  </si>
  <si>
    <t>Inc. w/ investment</t>
  </si>
  <si>
    <t>Cost savings</t>
  </si>
  <si>
    <t xml:space="preserve">Working Capital </t>
  </si>
  <si>
    <t>(paid in advance)</t>
  </si>
  <si>
    <t>Total Working Cap. Need</t>
  </si>
  <si>
    <t>Server Cost</t>
  </si>
  <si>
    <t>New Server Cost</t>
  </si>
  <si>
    <t>Committments</t>
  </si>
  <si>
    <t>Lease Commitments</t>
  </si>
  <si>
    <t>Content Commitments</t>
  </si>
  <si>
    <t>Total Commitments</t>
  </si>
  <si>
    <t>Interest Exp.</t>
  </si>
  <si>
    <t>Interest paid on Debt</t>
  </si>
  <si>
    <t>Gross Income</t>
  </si>
  <si>
    <t>Less:Taxes</t>
  </si>
  <si>
    <t>Net Income</t>
  </si>
  <si>
    <t>Dicounting Factor</t>
  </si>
  <si>
    <t>Total Investment</t>
  </si>
  <si>
    <t>Assumptions for longer life of the Project:</t>
  </si>
  <si>
    <t>after time 10, another 500 Millions is invested into the studio for renovations and upgrades for the next 8 years</t>
  </si>
  <si>
    <t>As the studio is upgraded, growth of International subscriptions is increased to 11% with Investments.</t>
  </si>
  <si>
    <t>And US subscriptions are increased to 4.2%</t>
  </si>
  <si>
    <t>And Studio Subsciptions are increased to 11%</t>
  </si>
  <si>
    <t>At the end of 10 years, the base subsciption price is 116 (assuming an inflation rate of 1.5%)</t>
  </si>
  <si>
    <t xml:space="preserve">Due to the market share being expected to grow greater than previous rates, the company will beat the inflation due to sheer growth in market share. </t>
  </si>
  <si>
    <t>Therefore, the subsciptions rates are being reduced to 115.</t>
  </si>
  <si>
    <t>And the Studio Subcription prices are increased to 60.</t>
  </si>
  <si>
    <t>The Cost of Service for US Subcriptions is increased to 40.</t>
  </si>
  <si>
    <t>Working capital goes under the following changes due to increase in studios capacities:</t>
  </si>
  <si>
    <t>Inventory is increased to 20%</t>
  </si>
  <si>
    <t>Accounts payable is increased to 9%</t>
  </si>
  <si>
    <t>Accounts receivables is increased to 7%</t>
  </si>
  <si>
    <t>Renovation &amp; Upgrades</t>
  </si>
  <si>
    <t>Previous NPV</t>
  </si>
  <si>
    <t>IRR</t>
  </si>
  <si>
    <t>A. Cashflow for 10 years,</t>
  </si>
  <si>
    <t>B.Cashflow for 18 years,</t>
  </si>
  <si>
    <t>(Total Equity Share Capital)</t>
  </si>
  <si>
    <t>The Cost of Service for Studio Subcriptions is increased to 25.</t>
  </si>
  <si>
    <t>The Cost of Service for International Subcriptions is increased to 50.</t>
  </si>
  <si>
    <t>The Salvage Value at the end of the extended life is assumed to be insignificant, therefore it is not considered as a source of revenue when the extended project life ends.</t>
  </si>
  <si>
    <t>The Lease and Content Comittments are assumed to stay constant as the last year.</t>
  </si>
  <si>
    <t>(Continous for 1 year)</t>
  </si>
  <si>
    <t>(received continously)</t>
  </si>
  <si>
    <t>Discounted Revenue</t>
  </si>
  <si>
    <t>Discounted Working Cap.</t>
  </si>
  <si>
    <t>Discounted Expenses</t>
  </si>
  <si>
    <t>Discounted Assets sold</t>
  </si>
  <si>
    <t>NET PRESENT VALUE</t>
  </si>
  <si>
    <t>Discounted New Investment</t>
  </si>
  <si>
    <t>(from time 11 to 18)</t>
  </si>
  <si>
    <t>Total NPV</t>
  </si>
  <si>
    <t>Discounting Factor</t>
  </si>
  <si>
    <t xml:space="preserve">Discounting Factor (cont.) </t>
  </si>
  <si>
    <t>∑Discounted Revenue</t>
  </si>
  <si>
    <t>∑Discounted Assets sold</t>
  </si>
  <si>
    <t>∑Discounted Working Cap.</t>
  </si>
  <si>
    <t>∑Discounted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</si>
</sst>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(&quot;$&quot;* #,##0.00_);_(&quot;$&quot;* \(#,##0.00\);_(&quot;$&quot;* &quot;-&quot;??_);_(@_)"/>
    <numFmt numFmtId="166" formatCode="0.000000"/>
    <numFmt numFmtId="167" formatCode="_(&quot;$&quot;* #,##0.0_);_(&quot;$&quot;* \(#,##0.0\);_(&quot;$&quot;* &quot;-&quot;??_);_(@_)"/>
  </numFmts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i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i/>
      <sz val="11"/>
      <color rgb="FF000000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i/>
      <sz val="10"/>
      <color rgb="FF000000"/>
      <name val="Arial"/>
      <family val="2"/>
      <scheme val="major"/>
    </font>
    <font>
      <b/>
      <i/>
      <sz val="10"/>
      <color rgb="FF000000"/>
      <name val="Arial"/>
      <family val="2"/>
      <scheme val="maj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0" fontId="1" fillId="0" borderId="0" xfId="0" applyNumberFormat="1" applyFont="1"/>
    <xf numFmtId="0" fontId="4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9" fontId="1" fillId="0" borderId="4" xfId="0" applyNumberFormat="1" applyFont="1" applyBorder="1" applyAlignment="1">
      <alignment horizontal="right"/>
    </xf>
    <xf numFmtId="9" fontId="1" fillId="0" borderId="5" xfId="0" applyNumberFormat="1" applyFont="1" applyBorder="1" applyAlignment="1">
      <alignment horizontal="right"/>
    </xf>
    <xf numFmtId="164" fontId="1" fillId="0" borderId="1" xfId="0" applyNumberFormat="1" applyFont="1" applyBorder="1"/>
    <xf numFmtId="9" fontId="1" fillId="0" borderId="1" xfId="0" applyNumberFormat="1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2" xfId="0" applyFont="1" applyBorder="1"/>
    <xf numFmtId="165" fontId="1" fillId="0" borderId="2" xfId="0" applyNumberFormat="1" applyFont="1" applyBorder="1"/>
    <xf numFmtId="165" fontId="3" fillId="0" borderId="2" xfId="0" applyNumberFormat="1" applyFont="1" applyBorder="1" applyAlignment="1">
      <alignment horizontal="left"/>
    </xf>
    <xf numFmtId="165" fontId="6" fillId="0" borderId="2" xfId="0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6" xfId="0" applyFont="1" applyBorder="1" applyAlignment="1">
      <alignment horizontal="right"/>
    </xf>
    <xf numFmtId="0" fontId="6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1" fillId="0" borderId="6" xfId="0" applyFont="1" applyBorder="1"/>
    <xf numFmtId="2" fontId="6" fillId="0" borderId="10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/>
    <xf numFmtId="0" fontId="6" fillId="0" borderId="6" xfId="0" applyFont="1" applyBorder="1"/>
    <xf numFmtId="0" fontId="1" fillId="0" borderId="8" xfId="0" applyFont="1" applyBorder="1"/>
    <xf numFmtId="0" fontId="9" fillId="0" borderId="9" xfId="0" applyFont="1" applyBorder="1"/>
    <xf numFmtId="2" fontId="6" fillId="0" borderId="7" xfId="0" applyNumberFormat="1" applyFont="1" applyBorder="1"/>
    <xf numFmtId="2" fontId="6" fillId="0" borderId="8" xfId="0" applyNumberFormat="1" applyFont="1" applyBorder="1"/>
    <xf numFmtId="2" fontId="6" fillId="0" borderId="9" xfId="0" applyNumberFormat="1" applyFont="1" applyBorder="1"/>
    <xf numFmtId="0" fontId="6" fillId="0" borderId="11" xfId="0" applyFont="1" applyBorder="1"/>
    <xf numFmtId="0" fontId="6" fillId="0" borderId="1" xfId="0" applyFont="1" applyBorder="1"/>
    <xf numFmtId="0" fontId="9" fillId="0" borderId="5" xfId="0" applyFont="1" applyBorder="1"/>
    <xf numFmtId="2" fontId="6" fillId="0" borderId="11" xfId="0" applyNumberFormat="1" applyFont="1" applyBorder="1"/>
    <xf numFmtId="2" fontId="6" fillId="0" borderId="1" xfId="0" applyNumberFormat="1" applyFont="1" applyBorder="1"/>
    <xf numFmtId="2" fontId="6" fillId="0" borderId="5" xfId="0" applyNumberFormat="1" applyFont="1" applyBorder="1"/>
    <xf numFmtId="0" fontId="6" fillId="0" borderId="5" xfId="0" applyFont="1" applyBorder="1"/>
    <xf numFmtId="0" fontId="7" fillId="0" borderId="10" xfId="0" applyFont="1" applyBorder="1" applyAlignment="1">
      <alignment horizontal="right"/>
    </xf>
    <xf numFmtId="0" fontId="3" fillId="0" borderId="10" xfId="0" applyFont="1" applyBorder="1"/>
    <xf numFmtId="165" fontId="1" fillId="0" borderId="10" xfId="0" applyNumberFormat="1" applyFont="1" applyBorder="1"/>
    <xf numFmtId="165" fontId="1" fillId="0" borderId="0" xfId="0" applyNumberFormat="1" applyFont="1"/>
    <xf numFmtId="0" fontId="9" fillId="0" borderId="0" xfId="0" applyFont="1"/>
    <xf numFmtId="0" fontId="7" fillId="0" borderId="1" xfId="0" applyFont="1" applyBorder="1"/>
    <xf numFmtId="165" fontId="7" fillId="0" borderId="11" xfId="0" applyNumberFormat="1" applyFont="1" applyBorder="1"/>
    <xf numFmtId="165" fontId="7" fillId="0" borderId="1" xfId="0" applyNumberFormat="1" applyFont="1" applyBorder="1"/>
    <xf numFmtId="165" fontId="1" fillId="0" borderId="11" xfId="0" applyNumberFormat="1" applyFont="1" applyBorder="1"/>
    <xf numFmtId="165" fontId="1" fillId="0" borderId="1" xfId="0" applyNumberFormat="1" applyFont="1" applyBorder="1"/>
    <xf numFmtId="165" fontId="1" fillId="0" borderId="10" xfId="0" applyNumberFormat="1" applyFont="1" applyBorder="1" applyAlignment="1">
      <alignment horizontal="right"/>
    </xf>
    <xf numFmtId="0" fontId="10" fillId="0" borderId="0" xfId="0" applyFont="1"/>
    <xf numFmtId="165" fontId="6" fillId="0" borderId="10" xfId="0" applyNumberFormat="1" applyFont="1" applyBorder="1"/>
    <xf numFmtId="165" fontId="6" fillId="0" borderId="0" xfId="0" applyNumberFormat="1" applyFont="1"/>
    <xf numFmtId="0" fontId="11" fillId="0" borderId="1" xfId="0" applyFont="1" applyBorder="1"/>
    <xf numFmtId="165" fontId="11" fillId="0" borderId="11" xfId="0" applyNumberFormat="1" applyFont="1" applyBorder="1"/>
    <xf numFmtId="165" fontId="11" fillId="0" borderId="1" xfId="0" applyNumberFormat="1" applyFont="1" applyBorder="1"/>
    <xf numFmtId="0" fontId="6" fillId="0" borderId="0" xfId="0" applyFont="1"/>
    <xf numFmtId="0" fontId="11" fillId="0" borderId="0" xfId="0" applyFont="1"/>
    <xf numFmtId="164" fontId="11" fillId="0" borderId="10" xfId="0" applyNumberFormat="1" applyFont="1" applyBorder="1"/>
    <xf numFmtId="164" fontId="11" fillId="0" borderId="0" xfId="0" applyNumberFormat="1" applyFont="1"/>
    <xf numFmtId="0" fontId="11" fillId="0" borderId="10" xfId="0" applyFont="1" applyBorder="1"/>
    <xf numFmtId="165" fontId="11" fillId="0" borderId="0" xfId="0" applyNumberFormat="1" applyFont="1"/>
    <xf numFmtId="0" fontId="11" fillId="0" borderId="8" xfId="0" applyFont="1" applyBorder="1"/>
    <xf numFmtId="165" fontId="11" fillId="0" borderId="8" xfId="0" applyNumberFormat="1" applyFont="1" applyBorder="1"/>
    <xf numFmtId="166" fontId="9" fillId="0" borderId="0" xfId="0" applyNumberFormat="1" applyFont="1"/>
    <xf numFmtId="166" fontId="6" fillId="0" borderId="0" xfId="0" applyNumberFormat="1" applyFont="1"/>
    <xf numFmtId="165" fontId="11" fillId="0" borderId="7" xfId="0" applyNumberFormat="1" applyFont="1" applyBorder="1"/>
    <xf numFmtId="0" fontId="8" fillId="0" borderId="0" xfId="0" applyFont="1"/>
    <xf numFmtId="165" fontId="8" fillId="0" borderId="10" xfId="0" applyNumberFormat="1" applyFont="1" applyBorder="1"/>
    <xf numFmtId="0" fontId="8" fillId="0" borderId="1" xfId="0" applyFont="1" applyBorder="1"/>
    <xf numFmtId="165" fontId="8" fillId="0" borderId="11" xfId="0" applyNumberFormat="1" applyFont="1" applyBorder="1"/>
    <xf numFmtId="165" fontId="11" fillId="0" borderId="10" xfId="0" applyNumberFormat="1" applyFont="1" applyBorder="1"/>
    <xf numFmtId="9" fontId="0" fillId="0" borderId="0" xfId="0" applyNumberFormat="1"/>
    <xf numFmtId="0" fontId="12" fillId="0" borderId="0" xfId="0" applyFont="1"/>
    <xf numFmtId="0" fontId="12" fillId="3" borderId="12" xfId="0" applyFont="1" applyFill="1" applyBorder="1"/>
    <xf numFmtId="10" fontId="12" fillId="3" borderId="12" xfId="0" applyNumberFormat="1" applyFont="1" applyFill="1" applyBorder="1"/>
    <xf numFmtId="0" fontId="13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6" fillId="0" borderId="0" xfId="0" applyFont="1"/>
    <xf numFmtId="0" fontId="17" fillId="0" borderId="12" xfId="0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1" xfId="0" applyFont="1" applyBorder="1"/>
    <xf numFmtId="2" fontId="1" fillId="0" borderId="0" xfId="0" applyNumberFormat="1" applyFont="1"/>
    <xf numFmtId="0" fontId="22" fillId="2" borderId="0" xfId="0" applyFont="1" applyFill="1" applyAlignment="1">
      <alignment horizontal="left"/>
    </xf>
    <xf numFmtId="0" fontId="23" fillId="0" borderId="0" xfId="0" applyFont="1"/>
    <xf numFmtId="0" fontId="2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6" fontId="0" fillId="0" borderId="0" xfId="0" applyNumberFormat="1"/>
    <xf numFmtId="166" fontId="6" fillId="0" borderId="14" xfId="0" applyNumberFormat="1" applyFont="1" applyBorder="1"/>
    <xf numFmtId="165" fontId="6" fillId="0" borderId="17" xfId="0" applyNumberFormat="1" applyFont="1" applyBorder="1"/>
    <xf numFmtId="0" fontId="8" fillId="0" borderId="8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24" fillId="0" borderId="0" xfId="0" applyFont="1" applyAlignment="1">
      <alignment horizontal="left"/>
    </xf>
    <xf numFmtId="0" fontId="8" fillId="0" borderId="15" xfId="0" applyFont="1" applyBorder="1"/>
    <xf numFmtId="0" fontId="24" fillId="0" borderId="0" xfId="0" applyFont="1"/>
    <xf numFmtId="165" fontId="24" fillId="0" borderId="18" xfId="0" applyNumberFormat="1" applyFont="1" applyBorder="1"/>
    <xf numFmtId="165" fontId="24" fillId="0" borderId="14" xfId="0" applyNumberFormat="1" applyFont="1" applyBorder="1"/>
    <xf numFmtId="165" fontId="8" fillId="0" borderId="14" xfId="0" applyNumberFormat="1" applyFont="1" applyBorder="1"/>
    <xf numFmtId="165" fontId="24" fillId="0" borderId="16" xfId="0" applyNumberFormat="1" applyFont="1" applyBorder="1"/>
    <xf numFmtId="0" fontId="0" fillId="0" borderId="19" xfId="0" applyBorder="1"/>
    <xf numFmtId="165" fontId="6" fillId="0" borderId="20" xfId="0" applyNumberFormat="1" applyFont="1" applyBorder="1"/>
    <xf numFmtId="165" fontId="11" fillId="0" borderId="14" xfId="0" applyNumberFormat="1" applyFont="1" applyBorder="1"/>
    <xf numFmtId="165" fontId="6" fillId="0" borderId="14" xfId="0" applyNumberFormat="1" applyFont="1" applyBorder="1"/>
    <xf numFmtId="0" fontId="24" fillId="0" borderId="15" xfId="0" applyFont="1" applyBorder="1"/>
    <xf numFmtId="0" fontId="12" fillId="0" borderId="21" xfId="0" applyFont="1" applyBorder="1"/>
    <xf numFmtId="0" fontId="17" fillId="0" borderId="0" xfId="0" applyFont="1"/>
    <xf numFmtId="166" fontId="15" fillId="0" borderId="12" xfId="0" applyNumberFormat="1" applyFont="1" applyBorder="1"/>
    <xf numFmtId="165" fontId="24" fillId="0" borderId="0" xfId="0" applyNumberFormat="1" applyFont="1"/>
    <xf numFmtId="0" fontId="18" fillId="0" borderId="12" xfId="0" applyFont="1" applyBorder="1"/>
    <xf numFmtId="167" fontId="16" fillId="0" borderId="12" xfId="0" applyNumberFormat="1" applyFont="1" applyBorder="1"/>
    <xf numFmtId="0" fontId="14" fillId="0" borderId="12" xfId="0" applyFont="1" applyBorder="1"/>
    <xf numFmtId="0" fontId="18" fillId="0" borderId="15" xfId="0" applyFont="1" applyBorder="1"/>
    <xf numFmtId="165" fontId="24" fillId="0" borderId="12" xfId="0" applyNumberFormat="1" applyFont="1" applyBorder="1"/>
    <xf numFmtId="0" fontId="3" fillId="0" borderId="0" xfId="0" applyFont="1"/>
    <xf numFmtId="0" fontId="0" fillId="0" borderId="0" xfId="0"/>
    <xf numFmtId="0" fontId="20" fillId="0" borderId="0" xfId="0" applyFont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2"/>
  <sheetViews>
    <sheetView workbookViewId="0">
      <selection activeCell="C19" sqref="C19"/>
    </sheetView>
  </sheetViews>
  <sheetFormatPr defaultColWidth="12.6328125" defaultRowHeight="15.75" customHeight="1" x14ac:dyDescent="0.25"/>
  <cols>
    <col min="2" max="2" width="24.36328125" customWidth="1"/>
    <col min="3" max="3" width="25.36328125" customWidth="1"/>
    <col min="4" max="4" width="23.1796875" customWidth="1"/>
    <col min="6" max="6" width="15" customWidth="1"/>
  </cols>
  <sheetData>
    <row r="1" spans="1:8" ht="15.75" customHeight="1" x14ac:dyDescent="0.35">
      <c r="A1" s="1"/>
      <c r="B1" s="2" t="s">
        <v>0</v>
      </c>
      <c r="C1" s="1"/>
      <c r="D1" s="1"/>
      <c r="E1" s="1"/>
      <c r="F1" s="2" t="s">
        <v>1</v>
      </c>
      <c r="G1" s="1"/>
      <c r="H1" s="1"/>
    </row>
    <row r="2" spans="1:8" ht="15.75" customHeight="1" x14ac:dyDescent="0.35">
      <c r="A2" s="1"/>
      <c r="B2" s="3" t="s">
        <v>2</v>
      </c>
      <c r="C2" s="4">
        <v>0.02</v>
      </c>
      <c r="D2" s="1"/>
      <c r="E2" s="1"/>
      <c r="F2" s="3" t="s">
        <v>3</v>
      </c>
      <c r="G2" s="5">
        <v>2020</v>
      </c>
      <c r="H2" s="1"/>
    </row>
    <row r="3" spans="1:8" ht="15.75" customHeight="1" x14ac:dyDescent="0.35">
      <c r="A3" s="1"/>
      <c r="B3" s="3" t="s">
        <v>4</v>
      </c>
      <c r="C3" s="6">
        <v>1.4999999999999999E-2</v>
      </c>
      <c r="D3" s="1"/>
      <c r="E3" s="1"/>
      <c r="F3" s="3" t="s">
        <v>5</v>
      </c>
      <c r="G3" s="4">
        <v>0.1</v>
      </c>
      <c r="H3" s="3" t="s">
        <v>6</v>
      </c>
    </row>
    <row r="4" spans="1:8" ht="15.75" customHeight="1" x14ac:dyDescent="0.35">
      <c r="A4" s="1"/>
      <c r="B4" s="1"/>
      <c r="C4" s="1"/>
      <c r="D4" s="1"/>
      <c r="E4" s="1"/>
      <c r="F4" s="1" t="s">
        <v>7</v>
      </c>
      <c r="G4" s="6">
        <v>0.1009</v>
      </c>
      <c r="H4" s="1" t="s">
        <v>8</v>
      </c>
    </row>
    <row r="5" spans="1:8" ht="15.75" customHeight="1" x14ac:dyDescent="0.35">
      <c r="A5" s="1"/>
      <c r="B5" s="1"/>
      <c r="C5" s="1"/>
      <c r="D5" s="1"/>
      <c r="E5" s="1"/>
      <c r="F5" s="1"/>
      <c r="G5" s="7"/>
      <c r="H5" s="1"/>
    </row>
    <row r="6" spans="1:8" ht="15.75" customHeight="1" x14ac:dyDescent="0.35">
      <c r="A6" s="5">
        <v>1</v>
      </c>
      <c r="B6" s="8" t="s">
        <v>9</v>
      </c>
      <c r="C6" s="1"/>
      <c r="D6" s="1"/>
      <c r="E6" s="1"/>
      <c r="F6" s="95"/>
      <c r="G6" s="7"/>
      <c r="H6" s="1"/>
    </row>
    <row r="7" spans="1:8" ht="15.75" customHeight="1" x14ac:dyDescent="0.35">
      <c r="A7" s="1"/>
      <c r="B7" s="9">
        <v>150</v>
      </c>
      <c r="C7" s="1" t="s">
        <v>10</v>
      </c>
      <c r="D7" s="129" t="s">
        <v>11</v>
      </c>
      <c r="E7" s="130"/>
      <c r="F7" s="95"/>
      <c r="G7" s="1"/>
      <c r="H7" s="1"/>
    </row>
    <row r="8" spans="1:8" ht="15.75" customHeight="1" x14ac:dyDescent="0.35">
      <c r="A8" s="1"/>
      <c r="B8" s="1"/>
      <c r="C8" s="1"/>
      <c r="D8" s="1"/>
      <c r="E8" s="1"/>
      <c r="F8" s="1"/>
      <c r="G8" s="1"/>
      <c r="H8" s="1"/>
    </row>
    <row r="9" spans="1:8" ht="15.75" customHeight="1" x14ac:dyDescent="0.35">
      <c r="A9" s="5">
        <v>2</v>
      </c>
      <c r="B9" s="8" t="s">
        <v>12</v>
      </c>
      <c r="C9" s="1"/>
      <c r="D9" s="1"/>
      <c r="E9" s="1"/>
      <c r="F9" s="1"/>
      <c r="G9" s="1"/>
      <c r="H9" s="1"/>
    </row>
    <row r="10" spans="1:8" ht="15.75" customHeight="1" x14ac:dyDescent="0.35">
      <c r="A10" s="1"/>
      <c r="B10" s="9">
        <v>1000</v>
      </c>
      <c r="C10" s="1" t="s">
        <v>10</v>
      </c>
      <c r="D10" s="129" t="s">
        <v>13</v>
      </c>
      <c r="E10" s="130"/>
      <c r="F10" s="1"/>
      <c r="G10" s="1"/>
      <c r="H10" s="1"/>
    </row>
    <row r="11" spans="1:8" ht="15.75" customHeight="1" x14ac:dyDescent="0.35">
      <c r="A11" s="1"/>
      <c r="B11" s="9">
        <v>200</v>
      </c>
      <c r="C11" s="1" t="s">
        <v>10</v>
      </c>
      <c r="D11" s="3" t="s">
        <v>14</v>
      </c>
      <c r="E11" s="1"/>
      <c r="F11" s="1"/>
      <c r="G11" s="1"/>
      <c r="H11" s="1"/>
    </row>
    <row r="12" spans="1:8" ht="15.75" customHeight="1" x14ac:dyDescent="0.35">
      <c r="A12" s="1"/>
      <c r="B12" s="9">
        <f>(B10-B11)/10</f>
        <v>80</v>
      </c>
      <c r="C12" s="1" t="s">
        <v>15</v>
      </c>
      <c r="D12" s="129" t="s">
        <v>16</v>
      </c>
      <c r="E12" s="130"/>
      <c r="F12" s="130"/>
      <c r="G12" s="1"/>
      <c r="H12" s="1"/>
    </row>
    <row r="13" spans="1:8" ht="15.75" customHeight="1" x14ac:dyDescent="0.35">
      <c r="A13" s="5">
        <v>3</v>
      </c>
      <c r="B13" s="8" t="s">
        <v>17</v>
      </c>
      <c r="C13" s="1"/>
      <c r="D13" s="1"/>
      <c r="E13" s="1"/>
      <c r="F13" s="1"/>
      <c r="G13" s="1"/>
      <c r="H13" s="1"/>
    </row>
    <row r="14" spans="1:8" ht="15.75" customHeight="1" x14ac:dyDescent="0.35">
      <c r="A14" s="1"/>
      <c r="B14" s="1" t="s">
        <v>18</v>
      </c>
      <c r="C14" s="1"/>
      <c r="D14" s="1"/>
      <c r="E14" s="1"/>
      <c r="F14" s="1"/>
      <c r="G14" s="1"/>
      <c r="H14" s="1"/>
    </row>
    <row r="15" spans="1:8" ht="15.75" customHeight="1" x14ac:dyDescent="0.35">
      <c r="A15" s="1"/>
      <c r="B15" s="5">
        <v>45</v>
      </c>
      <c r="C15" s="1" t="s">
        <v>10</v>
      </c>
      <c r="D15" s="3" t="s">
        <v>19</v>
      </c>
      <c r="E15" s="1"/>
      <c r="F15" s="1"/>
      <c r="G15" s="1"/>
      <c r="H15" s="1"/>
    </row>
    <row r="16" spans="1:8" ht="15.75" customHeight="1" x14ac:dyDescent="0.35">
      <c r="A16" s="1"/>
      <c r="B16" s="10">
        <v>30</v>
      </c>
      <c r="C16" s="11" t="s">
        <v>10</v>
      </c>
      <c r="D16" s="12" t="s">
        <v>20</v>
      </c>
      <c r="E16" s="1"/>
      <c r="F16" s="1"/>
      <c r="G16" s="1"/>
      <c r="H16" s="1"/>
    </row>
    <row r="17" spans="1:8" ht="15.75" customHeight="1" x14ac:dyDescent="0.35">
      <c r="A17" s="1"/>
      <c r="B17" s="3" t="s">
        <v>21</v>
      </c>
      <c r="C17" s="1"/>
      <c r="D17" s="1"/>
      <c r="E17" s="1"/>
      <c r="F17" s="1"/>
      <c r="G17" s="1"/>
      <c r="H17" s="1"/>
    </row>
    <row r="18" spans="1:8" ht="15.75" customHeight="1" x14ac:dyDescent="0.35">
      <c r="A18" s="1"/>
      <c r="B18" s="13" t="s">
        <v>22</v>
      </c>
      <c r="C18" s="14" t="s">
        <v>23</v>
      </c>
      <c r="D18" s="129" t="s">
        <v>24</v>
      </c>
      <c r="E18" s="130"/>
      <c r="F18" s="1"/>
      <c r="G18" s="1"/>
      <c r="H18" s="1"/>
    </row>
    <row r="19" spans="1:8" ht="15.75" customHeight="1" x14ac:dyDescent="0.35">
      <c r="A19" s="1"/>
      <c r="B19" s="15">
        <v>0.03</v>
      </c>
      <c r="C19" s="16">
        <v>0.03</v>
      </c>
      <c r="D19" s="3" t="s">
        <v>25</v>
      </c>
      <c r="E19" s="1"/>
      <c r="F19" s="1"/>
      <c r="G19" s="1"/>
      <c r="H19" s="1"/>
    </row>
    <row r="20" spans="1:8" ht="14.5" x14ac:dyDescent="0.35">
      <c r="A20" s="1"/>
      <c r="B20" s="15">
        <v>0.05</v>
      </c>
      <c r="C20" s="16">
        <v>0.08</v>
      </c>
      <c r="D20" s="129" t="s">
        <v>26</v>
      </c>
      <c r="E20" s="130"/>
      <c r="F20" s="1"/>
      <c r="G20" s="1"/>
      <c r="H20" s="1"/>
    </row>
    <row r="21" spans="1:8" ht="14.5" x14ac:dyDescent="0.35">
      <c r="A21" s="1"/>
      <c r="B21" s="1"/>
      <c r="C21" s="1"/>
      <c r="D21" s="1"/>
      <c r="E21" s="1"/>
      <c r="F21" s="1"/>
      <c r="G21" s="1"/>
      <c r="H21" s="1"/>
    </row>
    <row r="22" spans="1:8" ht="14.5" x14ac:dyDescent="0.35">
      <c r="A22" s="5">
        <v>4</v>
      </c>
      <c r="B22" s="8" t="s">
        <v>27</v>
      </c>
      <c r="C22" s="1"/>
      <c r="D22" s="1"/>
      <c r="E22" s="1"/>
      <c r="F22" s="1"/>
      <c r="G22" s="1"/>
      <c r="H22" s="1"/>
    </row>
    <row r="23" spans="1:8" ht="14.5" x14ac:dyDescent="0.35">
      <c r="A23" s="1"/>
      <c r="B23" s="9">
        <v>100</v>
      </c>
      <c r="C23" s="3" t="s">
        <v>28</v>
      </c>
      <c r="D23" s="3" t="s">
        <v>29</v>
      </c>
      <c r="E23" s="1"/>
      <c r="F23" s="1"/>
      <c r="G23" s="1"/>
      <c r="H23" s="1"/>
    </row>
    <row r="24" spans="1:8" ht="14.5" x14ac:dyDescent="0.35">
      <c r="A24" s="1"/>
      <c r="B24" s="11"/>
      <c r="C24" s="11"/>
      <c r="D24" s="12" t="s">
        <v>30</v>
      </c>
      <c r="E24" s="1"/>
      <c r="F24" s="1"/>
      <c r="G24" s="1"/>
      <c r="H24" s="1"/>
    </row>
    <row r="25" spans="1:8" ht="14.5" x14ac:dyDescent="0.35">
      <c r="A25" s="1"/>
      <c r="B25" s="9">
        <v>36</v>
      </c>
      <c r="C25" s="3" t="s">
        <v>25</v>
      </c>
      <c r="D25" s="3" t="s">
        <v>31</v>
      </c>
      <c r="E25" s="1"/>
      <c r="F25" s="1"/>
      <c r="G25" s="1"/>
      <c r="H25" s="1"/>
    </row>
    <row r="26" spans="1:8" ht="14.5" x14ac:dyDescent="0.35">
      <c r="A26" s="1"/>
      <c r="B26" s="9">
        <v>48</v>
      </c>
      <c r="C26" s="3" t="s">
        <v>26</v>
      </c>
      <c r="D26" s="3" t="s">
        <v>31</v>
      </c>
      <c r="E26" s="1"/>
      <c r="F26" s="1"/>
      <c r="G26" s="1"/>
      <c r="H26" s="1"/>
    </row>
    <row r="27" spans="1:8" ht="14.5" x14ac:dyDescent="0.35">
      <c r="A27" s="1"/>
      <c r="B27" s="1"/>
      <c r="C27" s="1"/>
      <c r="D27" s="1"/>
      <c r="E27" s="1"/>
      <c r="F27" s="1"/>
      <c r="G27" s="1"/>
      <c r="H27" s="1"/>
    </row>
    <row r="28" spans="1:8" ht="14.5" x14ac:dyDescent="0.35">
      <c r="A28" s="5">
        <v>5</v>
      </c>
      <c r="B28" s="8" t="s">
        <v>32</v>
      </c>
      <c r="C28" s="129" t="s">
        <v>33</v>
      </c>
      <c r="D28" s="130"/>
      <c r="E28" s="130"/>
      <c r="F28" s="1"/>
      <c r="G28" s="1"/>
      <c r="H28" s="1"/>
    </row>
    <row r="29" spans="1:8" ht="14.5" x14ac:dyDescent="0.35">
      <c r="A29" s="1"/>
      <c r="B29" s="9">
        <v>50</v>
      </c>
      <c r="C29" s="3"/>
      <c r="D29" s="129" t="s">
        <v>34</v>
      </c>
      <c r="E29" s="130"/>
      <c r="F29" s="1"/>
      <c r="G29" s="1"/>
      <c r="H29" s="1"/>
    </row>
    <row r="30" spans="1:8" ht="14.5" x14ac:dyDescent="0.35">
      <c r="A30" s="1"/>
      <c r="B30" s="1"/>
      <c r="C30" s="1"/>
      <c r="D30" s="129" t="s">
        <v>35</v>
      </c>
      <c r="E30" s="130"/>
      <c r="F30" s="1"/>
      <c r="G30" s="1"/>
      <c r="H30" s="1"/>
    </row>
    <row r="31" spans="1:8" ht="14.5" x14ac:dyDescent="0.35">
      <c r="A31" s="1"/>
      <c r="B31" s="11"/>
      <c r="C31" s="11"/>
      <c r="D31" s="12" t="s">
        <v>36</v>
      </c>
      <c r="E31" s="1"/>
      <c r="F31" s="1"/>
      <c r="G31" s="1"/>
      <c r="H31" s="1"/>
    </row>
    <row r="32" spans="1:8" ht="14.5" x14ac:dyDescent="0.35">
      <c r="A32" s="1"/>
      <c r="B32" s="9">
        <v>24</v>
      </c>
      <c r="C32" s="1"/>
      <c r="D32" s="3" t="s">
        <v>31</v>
      </c>
      <c r="E32" s="1"/>
      <c r="F32" s="1"/>
      <c r="G32" s="1"/>
      <c r="H32" s="1"/>
    </row>
    <row r="33" spans="1:8" ht="14.5" x14ac:dyDescent="0.35">
      <c r="A33" s="1"/>
      <c r="B33" s="1"/>
      <c r="C33" s="1"/>
      <c r="D33" s="1"/>
      <c r="E33" s="1"/>
      <c r="F33" s="1"/>
      <c r="G33" s="1"/>
      <c r="H33" s="1"/>
    </row>
    <row r="34" spans="1:8" ht="14.5" x14ac:dyDescent="0.35">
      <c r="A34" s="5">
        <v>6</v>
      </c>
      <c r="B34" s="8" t="s">
        <v>37</v>
      </c>
      <c r="C34" s="1"/>
      <c r="D34" s="1"/>
      <c r="E34" s="1"/>
      <c r="F34" s="1"/>
      <c r="G34" s="1"/>
      <c r="H34" s="1"/>
    </row>
    <row r="35" spans="1:8" ht="14.5" x14ac:dyDescent="0.35">
      <c r="A35" s="1"/>
      <c r="B35" s="1"/>
      <c r="C35" s="1"/>
      <c r="D35" s="129" t="s">
        <v>38</v>
      </c>
      <c r="E35" s="130"/>
      <c r="F35" s="130"/>
      <c r="G35" s="130"/>
      <c r="H35" s="1"/>
    </row>
    <row r="36" spans="1:8" ht="14.5" x14ac:dyDescent="0.35">
      <c r="A36" s="1"/>
      <c r="B36" s="1"/>
      <c r="C36" s="1"/>
      <c r="D36" s="129" t="s">
        <v>39</v>
      </c>
      <c r="E36" s="130"/>
      <c r="F36" s="1"/>
      <c r="G36" s="1"/>
      <c r="H36" s="1"/>
    </row>
    <row r="37" spans="1:8" ht="14.5" x14ac:dyDescent="0.35">
      <c r="A37" s="1"/>
      <c r="B37" s="5">
        <v>46.15</v>
      </c>
      <c r="C37" s="1" t="s">
        <v>10</v>
      </c>
      <c r="D37" s="3" t="s">
        <v>40</v>
      </c>
      <c r="E37" s="1"/>
      <c r="F37" s="1"/>
      <c r="G37" s="1"/>
      <c r="H37" s="1"/>
    </row>
    <row r="38" spans="1:8" ht="14.5" x14ac:dyDescent="0.35">
      <c r="A38" s="1"/>
      <c r="B38" s="11"/>
      <c r="C38" s="11"/>
      <c r="D38" s="12" t="s">
        <v>41</v>
      </c>
      <c r="E38" s="1"/>
      <c r="F38" s="1"/>
      <c r="G38" s="1"/>
      <c r="H38" s="1"/>
    </row>
    <row r="39" spans="1:8" ht="14.5" x14ac:dyDescent="0.35">
      <c r="A39" s="1"/>
      <c r="B39" s="9">
        <v>600</v>
      </c>
      <c r="C39" s="1" t="s">
        <v>10</v>
      </c>
      <c r="D39" s="129" t="s">
        <v>42</v>
      </c>
      <c r="E39" s="130"/>
      <c r="F39" s="1"/>
      <c r="G39" s="1"/>
      <c r="H39" s="1"/>
    </row>
    <row r="40" spans="1:8" ht="14.5" x14ac:dyDescent="0.35">
      <c r="A40" s="1"/>
      <c r="B40" s="1"/>
      <c r="C40" s="1"/>
      <c r="D40" s="129" t="s">
        <v>43</v>
      </c>
      <c r="E40" s="130"/>
      <c r="F40" s="1"/>
      <c r="G40" s="1"/>
      <c r="H40" s="1"/>
    </row>
    <row r="41" spans="1:8" ht="14.5" x14ac:dyDescent="0.35">
      <c r="A41" s="1"/>
      <c r="B41" s="1"/>
      <c r="C41" s="1"/>
      <c r="D41" s="1"/>
      <c r="E41" s="1"/>
      <c r="F41" s="1"/>
      <c r="G41" s="1"/>
      <c r="H41" s="1"/>
    </row>
    <row r="42" spans="1:8" ht="14.5" x14ac:dyDescent="0.35">
      <c r="A42" s="5">
        <v>7</v>
      </c>
      <c r="B42" s="8" t="s">
        <v>44</v>
      </c>
      <c r="C42" s="1"/>
      <c r="D42" s="1"/>
      <c r="E42" s="1"/>
      <c r="F42" s="1"/>
      <c r="G42" s="1"/>
      <c r="H42" s="1"/>
    </row>
    <row r="43" spans="1:8" ht="14.5" x14ac:dyDescent="0.35">
      <c r="A43" s="1"/>
      <c r="B43" s="1"/>
      <c r="C43" s="1"/>
      <c r="D43" s="129" t="s">
        <v>45</v>
      </c>
      <c r="E43" s="130"/>
      <c r="F43" s="130"/>
      <c r="G43" s="130"/>
      <c r="H43" s="1"/>
    </row>
    <row r="44" spans="1:8" ht="14.5" x14ac:dyDescent="0.35">
      <c r="A44" s="1"/>
      <c r="B44" s="9">
        <v>400</v>
      </c>
      <c r="C44" s="1" t="s">
        <v>10</v>
      </c>
      <c r="D44" s="129" t="s">
        <v>46</v>
      </c>
      <c r="E44" s="130"/>
      <c r="F44" s="1"/>
      <c r="G44" s="1"/>
      <c r="H44" s="1"/>
    </row>
    <row r="45" spans="1:8" ht="14.5" x14ac:dyDescent="0.35">
      <c r="A45" s="1"/>
      <c r="B45" s="11"/>
      <c r="C45" s="11"/>
      <c r="D45" s="12" t="s">
        <v>47</v>
      </c>
      <c r="E45" s="1"/>
      <c r="F45" s="1"/>
      <c r="G45" s="1"/>
      <c r="H45" s="1"/>
    </row>
    <row r="46" spans="1:8" ht="14.5" x14ac:dyDescent="0.35">
      <c r="A46" s="1"/>
      <c r="B46" s="9">
        <v>40</v>
      </c>
      <c r="C46" s="1" t="s">
        <v>10</v>
      </c>
      <c r="D46" s="129" t="s">
        <v>48</v>
      </c>
      <c r="E46" s="130"/>
      <c r="F46" s="1"/>
      <c r="G46" s="1"/>
      <c r="H46" s="1"/>
    </row>
    <row r="47" spans="1:8" ht="14.5" x14ac:dyDescent="0.35">
      <c r="A47" s="1"/>
      <c r="B47" s="1"/>
      <c r="C47" s="1"/>
      <c r="D47" s="129" t="s">
        <v>49</v>
      </c>
      <c r="E47" s="130"/>
      <c r="F47" s="1"/>
      <c r="G47" s="1"/>
      <c r="H47" s="1"/>
    </row>
    <row r="48" spans="1:8" ht="14.5" x14ac:dyDescent="0.35">
      <c r="A48" s="1"/>
      <c r="B48" s="1"/>
      <c r="C48" s="1"/>
      <c r="D48" s="1"/>
      <c r="E48" s="1"/>
      <c r="F48" s="1"/>
      <c r="G48" s="1"/>
      <c r="H48" s="1"/>
    </row>
    <row r="49" spans="1:8" ht="14.5" x14ac:dyDescent="0.35">
      <c r="A49" s="5">
        <v>8</v>
      </c>
      <c r="B49" s="8" t="s">
        <v>50</v>
      </c>
      <c r="C49" s="1"/>
      <c r="D49" s="1"/>
      <c r="E49" s="1"/>
      <c r="F49" s="1"/>
      <c r="G49" s="1"/>
      <c r="H49" s="1"/>
    </row>
    <row r="50" spans="1:8" ht="14.5" x14ac:dyDescent="0.35">
      <c r="A50" s="1"/>
      <c r="B50" s="17">
        <v>500</v>
      </c>
      <c r="C50" s="11" t="s">
        <v>10</v>
      </c>
      <c r="D50" s="12" t="s">
        <v>51</v>
      </c>
      <c r="E50" s="1"/>
      <c r="F50" s="1"/>
      <c r="G50" s="1"/>
      <c r="H50" s="1"/>
    </row>
    <row r="51" spans="1:8" ht="14.5" x14ac:dyDescent="0.35">
      <c r="A51" s="1"/>
      <c r="B51" s="3" t="s">
        <v>52</v>
      </c>
      <c r="C51" s="1"/>
      <c r="D51" s="1"/>
      <c r="E51" s="1"/>
      <c r="F51" s="1"/>
      <c r="G51" s="1"/>
      <c r="H51" s="1"/>
    </row>
    <row r="52" spans="1:8" ht="14.5" x14ac:dyDescent="0.35">
      <c r="A52" s="1"/>
      <c r="B52" s="1"/>
      <c r="C52" s="1"/>
      <c r="D52" s="129" t="s">
        <v>53</v>
      </c>
      <c r="E52" s="130"/>
      <c r="F52" s="130"/>
      <c r="G52" s="1"/>
      <c r="H52" s="1"/>
    </row>
    <row r="53" spans="1:8" ht="14.5" x14ac:dyDescent="0.35">
      <c r="A53" s="1"/>
      <c r="B53" s="3" t="s">
        <v>54</v>
      </c>
      <c r="C53" s="1"/>
      <c r="D53" s="3"/>
      <c r="E53" s="1"/>
      <c r="F53" s="1"/>
      <c r="G53" s="1"/>
      <c r="H53" s="1"/>
    </row>
    <row r="54" spans="1:8" ht="14.5" x14ac:dyDescent="0.35">
      <c r="A54" s="1"/>
      <c r="B54" s="1"/>
      <c r="C54" s="1"/>
      <c r="D54" s="129" t="s">
        <v>55</v>
      </c>
      <c r="E54" s="130"/>
      <c r="F54" s="130"/>
      <c r="G54" s="130"/>
      <c r="H54" s="130"/>
    </row>
    <row r="55" spans="1:8" ht="14.5" x14ac:dyDescent="0.35">
      <c r="A55" s="1"/>
      <c r="B55" s="1"/>
      <c r="C55" s="1"/>
      <c r="D55" s="1"/>
      <c r="E55" s="1"/>
      <c r="F55" s="1"/>
      <c r="G55" s="1"/>
      <c r="H55" s="1"/>
    </row>
    <row r="56" spans="1:8" ht="14.5" x14ac:dyDescent="0.35">
      <c r="A56" s="5">
        <v>9</v>
      </c>
      <c r="B56" s="8" t="s">
        <v>56</v>
      </c>
      <c r="C56" s="129" t="s">
        <v>57</v>
      </c>
      <c r="D56" s="130"/>
      <c r="E56" s="130"/>
      <c r="F56" s="1"/>
      <c r="G56" s="1"/>
      <c r="H56" s="1"/>
    </row>
    <row r="57" spans="1:8" ht="14.5" x14ac:dyDescent="0.35">
      <c r="A57" s="1"/>
      <c r="B57" s="4">
        <v>0.05</v>
      </c>
      <c r="C57" s="3" t="s">
        <v>58</v>
      </c>
      <c r="D57" s="1"/>
      <c r="E57" s="1"/>
      <c r="F57" s="1"/>
      <c r="G57" s="1"/>
      <c r="H57" s="1"/>
    </row>
    <row r="58" spans="1:8" ht="14.5" x14ac:dyDescent="0.35">
      <c r="A58" s="1"/>
      <c r="B58" s="4">
        <v>0.1</v>
      </c>
      <c r="C58" s="3" t="s">
        <v>59</v>
      </c>
      <c r="D58" s="129" t="s">
        <v>60</v>
      </c>
      <c r="E58" s="130"/>
      <c r="F58" s="1"/>
      <c r="G58" s="1"/>
      <c r="H58" s="1"/>
    </row>
    <row r="59" spans="1:8" ht="14.5" x14ac:dyDescent="0.35">
      <c r="A59" s="1"/>
      <c r="B59" s="18">
        <v>0.06</v>
      </c>
      <c r="C59" s="12" t="s">
        <v>61</v>
      </c>
      <c r="D59" s="11"/>
      <c r="E59" s="1"/>
      <c r="F59" s="1"/>
      <c r="G59" s="1"/>
      <c r="H59" s="1"/>
    </row>
    <row r="60" spans="1:8" ht="14.5" x14ac:dyDescent="0.35">
      <c r="A60" s="1"/>
      <c r="B60" s="1"/>
      <c r="C60" s="1"/>
      <c r="D60" s="129" t="s">
        <v>62</v>
      </c>
      <c r="E60" s="130"/>
      <c r="F60" s="130"/>
      <c r="G60" s="130"/>
      <c r="H60" s="130"/>
    </row>
    <row r="61" spans="1:8" ht="14.5" x14ac:dyDescent="0.35">
      <c r="A61" s="1"/>
      <c r="B61" s="1"/>
      <c r="C61" s="1"/>
      <c r="D61" s="129" t="s">
        <v>63</v>
      </c>
      <c r="E61" s="130"/>
      <c r="F61" s="130"/>
      <c r="G61" s="130"/>
      <c r="H61" s="130"/>
    </row>
    <row r="62" spans="1:8" ht="14.5" x14ac:dyDescent="0.35">
      <c r="A62" s="1"/>
      <c r="B62" s="1"/>
      <c r="C62" s="1"/>
      <c r="D62" s="1"/>
      <c r="E62" s="1"/>
      <c r="F62" s="1"/>
      <c r="G62" s="1"/>
      <c r="H62" s="1"/>
    </row>
    <row r="63" spans="1:8" ht="14.5" x14ac:dyDescent="0.35">
      <c r="A63" s="5">
        <v>10</v>
      </c>
      <c r="B63" s="8" t="s">
        <v>64</v>
      </c>
      <c r="C63" s="1"/>
      <c r="D63" s="1"/>
      <c r="E63" s="1"/>
      <c r="F63" s="1"/>
      <c r="G63" s="1"/>
      <c r="H63" s="1"/>
    </row>
    <row r="64" spans="1:8" ht="14.5" x14ac:dyDescent="0.35">
      <c r="A64" s="1"/>
      <c r="B64" s="9">
        <v>30</v>
      </c>
      <c r="C64" s="1" t="s">
        <v>10</v>
      </c>
      <c r="D64" s="129" t="s">
        <v>65</v>
      </c>
      <c r="E64" s="130"/>
      <c r="F64" s="1"/>
      <c r="G64" s="1"/>
      <c r="H64" s="1"/>
    </row>
    <row r="65" spans="1:9" ht="14.5" x14ac:dyDescent="0.35">
      <c r="A65" s="1"/>
      <c r="B65" s="1"/>
      <c r="C65" s="1"/>
      <c r="D65" s="3" t="s">
        <v>66</v>
      </c>
      <c r="E65" s="1"/>
      <c r="F65" s="1"/>
      <c r="G65" s="1"/>
      <c r="H65" s="1"/>
    </row>
    <row r="66" spans="1:9" ht="14.5" x14ac:dyDescent="0.35">
      <c r="A66" s="1"/>
      <c r="B66" s="1"/>
      <c r="C66" s="1"/>
      <c r="D66" s="129" t="s">
        <v>67</v>
      </c>
      <c r="E66" s="130"/>
      <c r="F66" s="130"/>
      <c r="G66" s="1"/>
      <c r="H66" s="1"/>
    </row>
    <row r="67" spans="1:9" ht="14.5" x14ac:dyDescent="0.35">
      <c r="A67" s="1"/>
      <c r="B67" s="1"/>
      <c r="C67" s="1"/>
      <c r="D67" s="1"/>
      <c r="E67" s="1"/>
      <c r="F67" s="1"/>
      <c r="G67" s="1"/>
      <c r="H67" s="1"/>
    </row>
    <row r="68" spans="1:9" ht="14.5" x14ac:dyDescent="0.35">
      <c r="A68" s="5">
        <v>11</v>
      </c>
      <c r="B68" s="8" t="s">
        <v>68</v>
      </c>
      <c r="C68" s="1"/>
      <c r="D68" s="1"/>
      <c r="E68" s="1"/>
      <c r="F68" s="1"/>
      <c r="G68" s="1"/>
      <c r="H68" s="1"/>
    </row>
    <row r="69" spans="1:9" ht="14.5" x14ac:dyDescent="0.35">
      <c r="A69" s="1"/>
      <c r="B69" s="9">
        <v>87.5</v>
      </c>
      <c r="C69" s="1" t="s">
        <v>69</v>
      </c>
      <c r="D69" s="1"/>
      <c r="E69" s="1"/>
      <c r="F69" s="1"/>
      <c r="G69" s="1"/>
      <c r="H69" s="1"/>
    </row>
    <row r="70" spans="1:9" ht="14.5" x14ac:dyDescent="0.35">
      <c r="A70" s="1"/>
      <c r="B70" s="98">
        <v>428.08</v>
      </c>
      <c r="C70" s="97" t="s">
        <v>10</v>
      </c>
      <c r="D70" s="97" t="s">
        <v>70</v>
      </c>
      <c r="E70" s="1"/>
      <c r="F70" s="1"/>
      <c r="G70" s="1"/>
      <c r="H70" s="1"/>
    </row>
    <row r="71" spans="1:9" ht="14.5" x14ac:dyDescent="0.35">
      <c r="A71" s="1"/>
      <c r="B71" s="9">
        <f>B69*B70</f>
        <v>37457</v>
      </c>
      <c r="C71" s="96" t="s">
        <v>10</v>
      </c>
      <c r="D71" s="96" t="s">
        <v>138</v>
      </c>
      <c r="E71" s="1"/>
      <c r="F71" s="1"/>
      <c r="G71" s="1"/>
      <c r="H71" s="1"/>
    </row>
    <row r="72" spans="1:9" ht="14.5" x14ac:dyDescent="0.35">
      <c r="A72" s="1"/>
      <c r="B72" s="9">
        <v>2432</v>
      </c>
      <c r="C72" s="96" t="s">
        <v>10</v>
      </c>
      <c r="D72" s="131" t="s">
        <v>71</v>
      </c>
      <c r="E72" s="132"/>
      <c r="F72" s="132"/>
      <c r="G72" s="132"/>
      <c r="H72" s="1"/>
    </row>
    <row r="73" spans="1:9" ht="14.5" x14ac:dyDescent="0.35">
      <c r="A73" s="1"/>
      <c r="B73" s="1"/>
      <c r="C73" s="1"/>
      <c r="D73" s="1"/>
      <c r="E73" s="1"/>
      <c r="F73" s="1"/>
      <c r="G73" s="1"/>
      <c r="H73" s="1"/>
    </row>
    <row r="74" spans="1:9" ht="14.5" x14ac:dyDescent="0.35">
      <c r="A74" s="1"/>
      <c r="B74" s="3" t="s">
        <v>72</v>
      </c>
      <c r="C74" s="1"/>
      <c r="D74" s="1"/>
      <c r="E74" s="1"/>
      <c r="F74" s="1"/>
      <c r="G74" s="1"/>
      <c r="H74" s="1"/>
    </row>
    <row r="75" spans="1:9" ht="14.5" x14ac:dyDescent="0.35">
      <c r="A75" s="1"/>
      <c r="B75" s="19" t="s">
        <v>73</v>
      </c>
      <c r="C75" s="20" t="s">
        <v>74</v>
      </c>
      <c r="D75" s="20">
        <v>2021</v>
      </c>
      <c r="E75" s="20">
        <v>2022</v>
      </c>
      <c r="F75" s="20">
        <v>2023</v>
      </c>
      <c r="G75" s="20">
        <v>2024</v>
      </c>
      <c r="H75" s="20">
        <v>2025</v>
      </c>
      <c r="I75" s="20" t="s">
        <v>75</v>
      </c>
    </row>
    <row r="76" spans="1:9" ht="14.5" x14ac:dyDescent="0.35">
      <c r="A76" s="1"/>
      <c r="B76" s="21" t="s">
        <v>76</v>
      </c>
      <c r="C76" s="22">
        <v>35</v>
      </c>
      <c r="D76" s="22">
        <v>42.37</v>
      </c>
      <c r="E76" s="22">
        <v>55.24</v>
      </c>
      <c r="F76" s="22">
        <v>58.44</v>
      </c>
      <c r="G76" s="22">
        <v>53.22</v>
      </c>
      <c r="H76" s="22">
        <v>51.91</v>
      </c>
      <c r="I76" s="22">
        <v>58.05</v>
      </c>
    </row>
    <row r="77" spans="1:9" ht="14.5" x14ac:dyDescent="0.35">
      <c r="A77" s="1"/>
      <c r="B77" s="21" t="s">
        <v>77</v>
      </c>
      <c r="C77" s="22">
        <v>3405</v>
      </c>
      <c r="D77" s="23">
        <v>4703.17</v>
      </c>
      <c r="E77" s="22">
        <v>2624.57</v>
      </c>
      <c r="F77" s="22">
        <v>2624.57</v>
      </c>
      <c r="G77" s="22">
        <v>445.93</v>
      </c>
      <c r="H77" s="22">
        <v>445.93</v>
      </c>
      <c r="I77" s="24">
        <v>269.33</v>
      </c>
    </row>
    <row r="78" spans="1:9" ht="14.5" x14ac:dyDescent="0.35">
      <c r="A78" s="1"/>
      <c r="B78" s="1"/>
    </row>
    <row r="79" spans="1:9" ht="14.5" x14ac:dyDescent="0.35">
      <c r="A79" s="1"/>
      <c r="B79" s="1"/>
      <c r="C79" s="1"/>
      <c r="D79" s="25"/>
      <c r="E79" s="1"/>
      <c r="F79" s="1"/>
      <c r="G79" s="1"/>
      <c r="H79" s="1"/>
    </row>
    <row r="80" spans="1:9" ht="14.5" x14ac:dyDescent="0.35">
      <c r="A80" s="1"/>
      <c r="B80" s="1"/>
      <c r="C80" s="1"/>
      <c r="D80" s="25"/>
      <c r="E80" s="1"/>
      <c r="F80" s="1"/>
      <c r="G80" s="1"/>
      <c r="H80" s="1"/>
    </row>
    <row r="81" spans="1:8" ht="14.5" x14ac:dyDescent="0.35">
      <c r="A81" s="1"/>
      <c r="B81" s="1"/>
      <c r="C81" s="1"/>
      <c r="D81" s="25"/>
      <c r="E81" s="1"/>
      <c r="F81" s="1"/>
      <c r="G81" s="1"/>
      <c r="H81" s="1"/>
    </row>
    <row r="82" spans="1:8" ht="14.5" x14ac:dyDescent="0.35">
      <c r="A82" s="1"/>
      <c r="B82" s="1"/>
      <c r="C82" s="1"/>
      <c r="D82" s="25"/>
      <c r="E82" s="1"/>
      <c r="F82" s="1"/>
      <c r="G82" s="1"/>
      <c r="H82" s="1"/>
    </row>
  </sheetData>
  <mergeCells count="25">
    <mergeCell ref="D64:E64"/>
    <mergeCell ref="D66:F66"/>
    <mergeCell ref="D72:G72"/>
    <mergeCell ref="D46:E46"/>
    <mergeCell ref="D47:E47"/>
    <mergeCell ref="D52:F52"/>
    <mergeCell ref="D54:H54"/>
    <mergeCell ref="C56:E56"/>
    <mergeCell ref="D60:H60"/>
    <mergeCell ref="D61:H61"/>
    <mergeCell ref="D39:E39"/>
    <mergeCell ref="D40:E40"/>
    <mergeCell ref="D43:G43"/>
    <mergeCell ref="D44:E44"/>
    <mergeCell ref="D58:E58"/>
    <mergeCell ref="C28:E28"/>
    <mergeCell ref="D29:E29"/>
    <mergeCell ref="D30:E30"/>
    <mergeCell ref="D35:G35"/>
    <mergeCell ref="D36:E36"/>
    <mergeCell ref="D7:E7"/>
    <mergeCell ref="D10:E10"/>
    <mergeCell ref="D12:F12"/>
    <mergeCell ref="D18:E18"/>
    <mergeCell ref="D20:E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63CF-4F71-4DBD-84DC-92D8BEC3F6C1}">
  <dimension ref="A1:L21"/>
  <sheetViews>
    <sheetView tabSelected="1" workbookViewId="0">
      <selection activeCell="C5" sqref="C5"/>
    </sheetView>
  </sheetViews>
  <sheetFormatPr defaultColWidth="8.81640625" defaultRowHeight="12.5" x14ac:dyDescent="0.25"/>
  <cols>
    <col min="1" max="1" width="28.36328125" style="86" bestFit="1" customWidth="1"/>
    <col min="2" max="2" width="11.81640625" style="86" bestFit="1" customWidth="1"/>
    <col min="3" max="3" width="11" style="86" bestFit="1" customWidth="1"/>
    <col min="4" max="15" width="10.81640625" style="86" bestFit="1" customWidth="1"/>
    <col min="16" max="20" width="9.1796875" style="86" bestFit="1" customWidth="1"/>
    <col min="21" max="16384" width="8.81640625" style="86"/>
  </cols>
  <sheetData>
    <row r="1" spans="1:12" x14ac:dyDescent="0.25">
      <c r="A1" s="86" t="s">
        <v>136</v>
      </c>
    </row>
    <row r="2" spans="1:12" x14ac:dyDescent="0.25">
      <c r="C2" s="87" t="s">
        <v>135</v>
      </c>
      <c r="D2" s="88">
        <v>8.266161139964362E-2</v>
      </c>
    </row>
    <row r="4" spans="1:12" ht="14.5" x14ac:dyDescent="0.35">
      <c r="A4" s="89" t="s">
        <v>84</v>
      </c>
      <c r="B4" s="89">
        <v>0</v>
      </c>
      <c r="C4" s="89">
        <v>1</v>
      </c>
      <c r="D4" s="89">
        <v>2</v>
      </c>
      <c r="E4" s="89">
        <v>3</v>
      </c>
      <c r="F4" s="89">
        <v>4</v>
      </c>
      <c r="G4" s="89">
        <v>5</v>
      </c>
      <c r="H4" s="89">
        <v>6</v>
      </c>
      <c r="I4" s="89">
        <v>7</v>
      </c>
      <c r="J4" s="89">
        <v>8</v>
      </c>
      <c r="K4" s="89">
        <v>9</v>
      </c>
      <c r="L4" s="89">
        <v>10</v>
      </c>
    </row>
    <row r="5" spans="1:12" ht="13" x14ac:dyDescent="0.3">
      <c r="A5" s="121" t="s">
        <v>153</v>
      </c>
      <c r="B5" s="90">
        <f t="shared" ref="B5:L5" si="0">(1+$D$2)^-B4</f>
        <v>1</v>
      </c>
      <c r="C5" s="90">
        <f>(1+$D$2)^-C4</f>
        <v>0.92364963297000957</v>
      </c>
      <c r="D5" s="90">
        <f t="shared" si="0"/>
        <v>0.85312864448563341</v>
      </c>
      <c r="E5" s="90">
        <f t="shared" si="0"/>
        <v>0.78799195935535693</v>
      </c>
      <c r="F5" s="90">
        <f t="shared" si="0"/>
        <v>0.72782848404189415</v>
      </c>
      <c r="G5" s="90">
        <f t="shared" si="0"/>
        <v>0.67225851215041399</v>
      </c>
      <c r="H5" s="90">
        <f t="shared" si="0"/>
        <v>0.62093132800869466</v>
      </c>
      <c r="I5" s="90">
        <f t="shared" si="0"/>
        <v>0.57352299321481137</v>
      </c>
      <c r="J5" s="90">
        <f t="shared" si="0"/>
        <v>0.52973430218272177</v>
      </c>
      <c r="K5" s="90">
        <f t="shared" si="0"/>
        <v>0.48928889378269508</v>
      </c>
      <c r="L5" s="90">
        <f t="shared" si="0"/>
        <v>0.45193150715868829</v>
      </c>
    </row>
    <row r="6" spans="1:12" ht="13" x14ac:dyDescent="0.3">
      <c r="A6" s="121" t="s">
        <v>154</v>
      </c>
      <c r="B6" s="90"/>
      <c r="C6" s="90">
        <f>EXP(-LN(1+$D$2))</f>
        <v>0.92364963297000957</v>
      </c>
      <c r="D6" s="90">
        <f t="shared" ref="D6:L6" si="1">EXP(-LN(1+$D$2))</f>
        <v>0.92364963297000957</v>
      </c>
      <c r="E6" s="90">
        <f t="shared" si="1"/>
        <v>0.92364963297000957</v>
      </c>
      <c r="F6" s="90">
        <f t="shared" si="1"/>
        <v>0.92364963297000957</v>
      </c>
      <c r="G6" s="90">
        <f t="shared" si="1"/>
        <v>0.92364963297000957</v>
      </c>
      <c r="H6" s="90">
        <f t="shared" si="1"/>
        <v>0.92364963297000957</v>
      </c>
      <c r="I6" s="90">
        <f t="shared" si="1"/>
        <v>0.92364963297000957</v>
      </c>
      <c r="J6" s="90">
        <f t="shared" si="1"/>
        <v>0.92364963297000957</v>
      </c>
      <c r="K6" s="90">
        <f t="shared" si="1"/>
        <v>0.92364963297000957</v>
      </c>
      <c r="L6" s="90">
        <f t="shared" si="1"/>
        <v>0.92364963297000957</v>
      </c>
    </row>
    <row r="7" spans="1:12" ht="14.5" x14ac:dyDescent="0.35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1:12" ht="13" x14ac:dyDescent="0.3">
      <c r="A8" s="93" t="str">
        <f>'CF for 10 years'!C40</f>
        <v>Discounted Revenue</v>
      </c>
      <c r="B8" s="90"/>
      <c r="C8" s="128">
        <f>'Sensivity Analysis 2'!E$7*'IRR (SensAnal 2)'!B5*'IRR (SensAnal 2)'!C6</f>
        <v>6852.3834426983194</v>
      </c>
      <c r="D8" s="128">
        <f>'Sensivity Analysis 2'!F$7*'IRR (SensAnal 2)'!C5*'IRR (SensAnal 2)'!D6</f>
        <v>6754.751048454591</v>
      </c>
      <c r="E8" s="128">
        <f>'Sensivity Analysis 2'!G$7*'IRR (SensAnal 2)'!D5*'IRR (SensAnal 2)'!E6</f>
        <v>6662.198571827259</v>
      </c>
      <c r="F8" s="128">
        <f>'Sensivity Analysis 2'!H$7*'IRR (SensAnal 2)'!E5*'IRR (SensAnal 2)'!F6</f>
        <v>6574.5729747575233</v>
      </c>
      <c r="G8" s="128">
        <f>'Sensivity Analysis 2'!I$7*'IRR (SensAnal 2)'!F5*'IRR (SensAnal 2)'!G6</f>
        <v>6491.7267487968438</v>
      </c>
      <c r="H8" s="128">
        <f>'Sensivity Analysis 2'!J$7*'IRR (SensAnal 2)'!G5*'IRR (SensAnal 2)'!H6</f>
        <v>6413.5177284229921</v>
      </c>
      <c r="I8" s="128">
        <f>'Sensivity Analysis 2'!K$7*'IRR (SensAnal 2)'!H5*'IRR (SensAnal 2)'!I6</f>
        <v>6339.8089108147096</v>
      </c>
      <c r="J8" s="128">
        <f>'Sensivity Analysis 2'!L$7*'IRR (SensAnal 2)'!I5*'IRR (SensAnal 2)'!J6</f>
        <v>6270.4682818634583</v>
      </c>
      <c r="K8" s="128">
        <f>'Sensivity Analysis 2'!M$7*'IRR (SensAnal 2)'!J5*'IRR (SensAnal 2)'!K6</f>
        <v>6205.3686482084786</v>
      </c>
      <c r="L8" s="128">
        <f>'Sensivity Analysis 2'!N$7*'IRR (SensAnal 2)'!K5*'IRR (SensAnal 2)'!L6</f>
        <v>6144.387475088628</v>
      </c>
    </row>
    <row r="9" spans="1:12" ht="13" x14ac:dyDescent="0.3">
      <c r="A9" s="93" t="str">
        <f>'CF for 10 years'!C41</f>
        <v>Discounted Assets sold</v>
      </c>
      <c r="B9" s="120"/>
      <c r="C9" s="128">
        <f>C5*'Sensivity Analysis 2'!E$41</f>
        <v>0</v>
      </c>
      <c r="D9" s="128">
        <f>D5*'CF for 10 years'!F$41</f>
        <v>0</v>
      </c>
      <c r="E9" s="128">
        <f>E5*'CF for 10 years'!G$41</f>
        <v>0</v>
      </c>
      <c r="F9" s="128">
        <f>F5*'CF for 10 years'!H$41</f>
        <v>0</v>
      </c>
      <c r="G9" s="128">
        <f>G5*'CF for 10 years'!I$41</f>
        <v>0</v>
      </c>
      <c r="H9" s="128">
        <f>H5*'CF for 10 years'!J$41</f>
        <v>0</v>
      </c>
      <c r="I9" s="128">
        <f>I5*'CF for 10 years'!K$41</f>
        <v>0</v>
      </c>
      <c r="J9" s="128">
        <f>J5*'CF for 10 years'!L$41</f>
        <v>0</v>
      </c>
      <c r="K9" s="128">
        <f>K5*'CF for 10 years'!M$41</f>
        <v>0</v>
      </c>
      <c r="L9" s="128">
        <f>L5*'Sensivity Analysis 2'!N8</f>
        <v>127.53839149719134</v>
      </c>
    </row>
    <row r="10" spans="1:12" ht="13" x14ac:dyDescent="0.3">
      <c r="A10" s="93" t="str">
        <f>'CF for 10 years'!C42</f>
        <v>Discounted Working Cap.</v>
      </c>
      <c r="B10" s="120"/>
      <c r="C10" s="128">
        <f>'Sensivity Analysis 2'!E$27*'IRR (SensAnal 2)'!B5</f>
        <v>60.193125000000123</v>
      </c>
      <c r="D10" s="128">
        <f>'Sensivity Analysis 2'!F$27*'IRR (SensAnal 2)'!C5</f>
        <v>41.465359082246387</v>
      </c>
      <c r="E10" s="128">
        <f>'Sensivity Analysis 2'!G$27*'IRR (SensAnal 2)'!D5</f>
        <v>41.234003350588324</v>
      </c>
      <c r="F10" s="128">
        <f>'Sensivity Analysis 2'!H$27*'IRR (SensAnal 2)'!E5</f>
        <v>41.02552793594451</v>
      </c>
      <c r="G10" s="128">
        <f>'Sensivity Analysis 2'!I$27*'IRR (SensAnal 2)'!F5</f>
        <v>40.839333107493289</v>
      </c>
      <c r="H10" s="128">
        <f>'Sensivity Analysis 2'!J$27*'IRR (SensAnal 2)'!G5</f>
        <v>40.674842081799767</v>
      </c>
      <c r="I10" s="128">
        <f>'Sensivity Analysis 2'!K$27*'IRR (SensAnal 2)'!H5</f>
        <v>40.531500263293019</v>
      </c>
      <c r="J10" s="128">
        <f>'Sensivity Analysis 2'!L$27*'IRR (SensAnal 2)'!I5</f>
        <v>40.408774511214553</v>
      </c>
      <c r="K10" s="128">
        <f>'Sensivity Analysis 2'!M$27*'IRR (SensAnal 2)'!J5</f>
        <v>40.306152432128663</v>
      </c>
      <c r="L10" s="128">
        <f>'Sensivity Analysis 2'!N$27*'IRR (SensAnal 2)'!K5</f>
        <v>40.223141697128781</v>
      </c>
    </row>
    <row r="11" spans="1:12" ht="13" x14ac:dyDescent="0.3">
      <c r="A11" s="93" t="str">
        <f>'CF for 10 years'!C43</f>
        <v>Discounted Expenses</v>
      </c>
      <c r="B11" s="122"/>
      <c r="C11" s="128">
        <f>SUM('Sensivity Analysis 2'!E$16,'Sensivity Analysis 2'!E$20,'Sensivity Analysis 2'!E$22,'Sensivity Analysis 2'!E$23,'Sensivity Analysis 2'!E$31,'Sensivity Analysis 2'!E$32,'Sensivity Analysis 2'!E$35)*'IRR (SensAnal 2)'!C5</f>
        <v>9989.0354808266547</v>
      </c>
      <c r="D11" s="128">
        <f>SUM('Sensivity Analysis 2'!F$16,'Sensivity Analysis 2'!F$20,'Sensivity Analysis 2'!F$22,'Sensivity Analysis 2'!F$23,'Sensivity Analysis 2'!F$31,'Sensivity Analysis 2'!F$32,'Sensivity Analysis 2'!F$35)*'IRR (SensAnal 2)'!D5</f>
        <v>7553.5175893859996</v>
      </c>
      <c r="E11" s="128">
        <f>SUM('Sensivity Analysis 2'!G$16,'Sensivity Analysis 2'!G$20,'Sensivity Analysis 2'!G$22,'Sensivity Analysis 2'!G$23,'Sensivity Analysis 2'!G$31,'Sensivity Analysis 2'!G$32,'Sensivity Analysis 2'!G$35)*'IRR (SensAnal 2)'!E5</f>
        <v>7241.1278406688461</v>
      </c>
      <c r="F11" s="128">
        <f>SUM('Sensivity Analysis 2'!H$16,'Sensivity Analysis 2'!H$20,'Sensivity Analysis 2'!H$22,'Sensivity Analysis 2'!H$23,'Sensivity Analysis 2'!H$31,'Sensivity Analysis 2'!H$32,'Sensivity Analysis 2'!H$35)*'IRR (SensAnal 2)'!F5</f>
        <v>5197.4050144880966</v>
      </c>
      <c r="G11" s="128">
        <f>SUM('Sensivity Analysis 2'!I$16,'Sensivity Analysis 2'!I$20,'Sensivity Analysis 2'!I$22,'Sensivity Analysis 2'!I$23,'Sensivity Analysis 2'!I$31,'Sensivity Analysis 2'!I$32,'Sensivity Analysis 2'!I$35)*'IRR (SensAnal 2)'!G5</f>
        <v>5053.3586398025964</v>
      </c>
      <c r="H11" s="128">
        <f>SUM('Sensivity Analysis 2'!J$16,'Sensivity Analysis 2'!J$20,'Sensivity Analysis 2'!J$22,'Sensivity Analysis 2'!J$23,'Sensivity Analysis 2'!J$31,'Sensivity Analysis 2'!J$32,'Sensivity Analysis 2'!J$35)*'IRR (SensAnal 2)'!H5</f>
        <v>4801.1973339583901</v>
      </c>
      <c r="I11" s="128">
        <f>SUM('Sensivity Analysis 2'!K$16,'Sensivity Analysis 2'!K$20,'Sensivity Analysis 2'!K$22,'Sensivity Analysis 2'!K$23,'Sensivity Analysis 2'!K$31,'Sensivity Analysis 2'!K$32,'Sensivity Analysis 2'!K$35)*'IRR (SensAnal 2)'!I5</f>
        <v>4681.2206699681883</v>
      </c>
      <c r="J11" s="128">
        <f>SUM('Sensivity Analysis 2'!L$16,'Sensivity Analysis 2'!L$20,'Sensivity Analysis 2'!L$22,'Sensivity Analysis 2'!L$23,'Sensivity Analysis 2'!L$31,'Sensivity Analysis 2'!L$32,'Sensivity Analysis 2'!L$35)*'IRR (SensAnal 2)'!J5</f>
        <v>4567.0586363196644</v>
      </c>
      <c r="K11" s="128">
        <f>SUM('Sensivity Analysis 2'!M$16,'Sensivity Analysis 2'!M$20,'Sensivity Analysis 2'!M$22,'Sensivity Analysis 2'!M$23,'Sensivity Analysis 2'!M$31,'Sensivity Analysis 2'!M$32,'Sensivity Analysis 2'!M$35)*'IRR (SensAnal 2)'!K5</f>
        <v>4458.4119482904807</v>
      </c>
      <c r="L11" s="128">
        <f>SUM('Sensivity Analysis 2'!N$16,'Sensivity Analysis 2'!N$20,'Sensivity Analysis 2'!N$22,'Sensivity Analysis 2'!N$23,'Sensivity Analysis 2'!N$31,'Sensivity Analysis 2'!N$32,'Sensivity Analysis 2'!N$35)*'IRR (SensAnal 2)'!L5</f>
        <v>4354.998419600849</v>
      </c>
    </row>
    <row r="12" spans="1:12" ht="13" x14ac:dyDescent="0.3">
      <c r="A12" s="121"/>
    </row>
    <row r="15" spans="1:12" ht="13" x14ac:dyDescent="0.3">
      <c r="A15" s="80" t="str">
        <f>_xlfn.CONCAT("∑",A8)</f>
        <v>∑Discounted Revenue</v>
      </c>
      <c r="B15" s="111">
        <f>SUM(C8:L8)</f>
        <v>64709.183830932816</v>
      </c>
    </row>
    <row r="16" spans="1:12" ht="13" x14ac:dyDescent="0.3">
      <c r="A16" s="80" t="str">
        <f>_xlfn.CONCAT("∑",A9)</f>
        <v>∑Discounted Assets sold</v>
      </c>
      <c r="B16" s="112">
        <f>SUM(C9:L9)</f>
        <v>127.53839149719134</v>
      </c>
    </row>
    <row r="17" spans="1:2" ht="13" x14ac:dyDescent="0.3">
      <c r="A17" s="80" t="s">
        <v>118</v>
      </c>
      <c r="B17" s="113">
        <f>'CF for 10 years'!D47</f>
        <v>1150</v>
      </c>
    </row>
    <row r="18" spans="1:2" ht="13" x14ac:dyDescent="0.3">
      <c r="A18" s="80" t="str">
        <f t="shared" ref="A18:A19" si="2">_xlfn.CONCAT("∑",A10)</f>
        <v>∑Discounted Working Cap.</v>
      </c>
      <c r="B18" s="112">
        <f>SUM(C10:L10)</f>
        <v>426.90175946183746</v>
      </c>
    </row>
    <row r="19" spans="1:2" ht="13.5" thickBot="1" x14ac:dyDescent="0.35">
      <c r="A19" s="109" t="str">
        <f t="shared" si="2"/>
        <v>∑Discounted Expenses</v>
      </c>
      <c r="B19" s="114">
        <f>SUM(C11:L11)</f>
        <v>57897.331573309777</v>
      </c>
    </row>
    <row r="20" spans="1:2" ht="13.5" thickBot="1" x14ac:dyDescent="0.35">
      <c r="A20" s="110" t="s">
        <v>149</v>
      </c>
      <c r="B20" s="114">
        <f>SUM(B15:B16)-SUM(B17:B19)</f>
        <v>5362.4888896583943</v>
      </c>
    </row>
    <row r="21" spans="1:2" ht="13" x14ac:dyDescent="0.3">
      <c r="A21" s="110"/>
      <c r="B21" s="1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"/>
  <sheetViews>
    <sheetView workbookViewId="0">
      <pane ySplit="1" topLeftCell="A6" activePane="bottomLeft" state="frozen"/>
      <selection activeCell="B24" sqref="B24"/>
      <selection pane="bottomLeft" activeCell="E3" sqref="E3"/>
    </sheetView>
  </sheetViews>
  <sheetFormatPr defaultColWidth="12.6328125" defaultRowHeight="15.75" customHeight="1" x14ac:dyDescent="0.25"/>
  <cols>
    <col min="2" max="2" width="19.453125" customWidth="1"/>
    <col min="3" max="3" width="16" customWidth="1"/>
  </cols>
  <sheetData>
    <row r="1" spans="1:26" ht="15.75" customHeight="1" x14ac:dyDescent="0.35">
      <c r="C1" s="26" t="s">
        <v>73</v>
      </c>
      <c r="D1" s="27">
        <v>2020</v>
      </c>
      <c r="E1" s="27">
        <v>2021</v>
      </c>
      <c r="F1" s="27">
        <v>2022</v>
      </c>
      <c r="G1" s="27">
        <v>2023</v>
      </c>
      <c r="H1" s="27">
        <v>2024</v>
      </c>
      <c r="I1" s="27">
        <v>2025</v>
      </c>
      <c r="J1" s="27">
        <v>2026</v>
      </c>
      <c r="K1" s="27">
        <v>2027</v>
      </c>
      <c r="L1" s="27">
        <v>2028</v>
      </c>
      <c r="M1" s="27">
        <v>2029</v>
      </c>
      <c r="N1" s="28">
        <v>2030</v>
      </c>
      <c r="O1" s="27">
        <v>2031</v>
      </c>
      <c r="P1" s="27">
        <v>2032</v>
      </c>
      <c r="Q1" s="27">
        <v>2033</v>
      </c>
      <c r="R1" s="27">
        <v>2034</v>
      </c>
      <c r="S1" s="27">
        <v>2035</v>
      </c>
      <c r="T1" s="27">
        <v>2036</v>
      </c>
      <c r="U1" s="27">
        <v>2037</v>
      </c>
      <c r="V1" s="27">
        <v>2038</v>
      </c>
    </row>
    <row r="2" spans="1:26" ht="13" x14ac:dyDescent="0.3">
      <c r="A2" s="29"/>
      <c r="B2" s="30" t="s">
        <v>78</v>
      </c>
      <c r="C2" s="31" t="s">
        <v>79</v>
      </c>
      <c r="D2" s="29"/>
      <c r="E2" s="32"/>
      <c r="F2" s="32"/>
      <c r="G2" s="32"/>
      <c r="H2" s="32"/>
      <c r="I2" s="32"/>
      <c r="J2" s="32"/>
      <c r="K2" s="32"/>
      <c r="L2" s="32"/>
      <c r="M2" s="32"/>
      <c r="N2" s="33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</row>
    <row r="3" spans="1:26" ht="15.75" customHeight="1" x14ac:dyDescent="0.35">
      <c r="A3" s="34"/>
      <c r="C3" s="35" t="s">
        <v>25</v>
      </c>
      <c r="D3" s="36">
        <f>Details!B15</f>
        <v>45</v>
      </c>
      <c r="E3" s="37">
        <f>D3*(1+Details!$B$19)</f>
        <v>46.35</v>
      </c>
      <c r="F3" s="37">
        <f>E3*(1+Details!$B$19)</f>
        <v>47.740500000000004</v>
      </c>
      <c r="G3" s="37">
        <f>F3*(1+Details!$B$19)</f>
        <v>49.172715000000004</v>
      </c>
      <c r="H3" s="37">
        <f>G3*(1+Details!$B$19)</f>
        <v>50.647896450000005</v>
      </c>
      <c r="I3" s="37">
        <f>H3*(1+Details!$B$19)</f>
        <v>52.167333343500005</v>
      </c>
      <c r="J3" s="37">
        <f>I3*(1+Details!$B$19)</f>
        <v>53.732353343805009</v>
      </c>
      <c r="K3" s="37">
        <f>J3*(1+Details!$B$19)</f>
        <v>55.344323944119161</v>
      </c>
      <c r="L3" s="37">
        <f>K3*(1+Details!$B$19)</f>
        <v>57.004653662442735</v>
      </c>
      <c r="M3" s="37">
        <f>L3*(1+Details!$B$19)</f>
        <v>58.714793272316015</v>
      </c>
      <c r="N3" s="38">
        <f>M3*(1+Details!$B$19)</f>
        <v>60.476237070485496</v>
      </c>
      <c r="O3" s="37">
        <f t="shared" ref="O3:V3" si="0">N3*1.042</f>
        <v>63.016239027445891</v>
      </c>
      <c r="P3" s="37">
        <f t="shared" si="0"/>
        <v>65.662921066598628</v>
      </c>
      <c r="Q3" s="37">
        <f t="shared" si="0"/>
        <v>68.420763751395768</v>
      </c>
      <c r="R3" s="37">
        <f t="shared" si="0"/>
        <v>71.294435828954391</v>
      </c>
      <c r="S3" s="37">
        <f t="shared" si="0"/>
        <v>74.288802133770474</v>
      </c>
      <c r="T3" s="37">
        <f t="shared" si="0"/>
        <v>77.408931823388841</v>
      </c>
      <c r="U3" s="37">
        <f t="shared" si="0"/>
        <v>80.660106959971174</v>
      </c>
      <c r="V3" s="37">
        <f t="shared" si="0"/>
        <v>84.047831452289969</v>
      </c>
      <c r="Z3" s="39"/>
    </row>
    <row r="4" spans="1:26" ht="15.75" customHeight="1" x14ac:dyDescent="0.35">
      <c r="A4" s="29"/>
      <c r="B4" s="40" t="s">
        <v>26</v>
      </c>
      <c r="C4" s="41" t="s">
        <v>80</v>
      </c>
      <c r="D4" s="42">
        <f>Details!B16</f>
        <v>30</v>
      </c>
      <c r="E4" s="43">
        <f>D4*(1+Details!$B$20)</f>
        <v>31.5</v>
      </c>
      <c r="F4" s="43">
        <f>E4*(1+Details!$B$20)</f>
        <v>33.075000000000003</v>
      </c>
      <c r="G4" s="43">
        <f>F4*(1+Details!$B$20)</f>
        <v>34.728750000000005</v>
      </c>
      <c r="H4" s="43">
        <f>G4*(1+Details!$B$20)</f>
        <v>36.465187500000006</v>
      </c>
      <c r="I4" s="43">
        <f>H4*(1+Details!$B$20)</f>
        <v>38.288446875000005</v>
      </c>
      <c r="J4" s="43">
        <f>I4*(1+Details!$B$20)</f>
        <v>40.20286921875001</v>
      </c>
      <c r="K4" s="43">
        <f>J4*(1+Details!$B$20)</f>
        <v>42.213012679687509</v>
      </c>
      <c r="L4" s="43">
        <f>K4*(1+Details!$B$20)</f>
        <v>44.323663313671886</v>
      </c>
      <c r="M4" s="43">
        <f>L4*(1+Details!$B$20)</f>
        <v>46.539846479355482</v>
      </c>
      <c r="N4" s="44">
        <f>M4*(1+Details!$B$20)</f>
        <v>48.866838803323262</v>
      </c>
      <c r="O4" s="43">
        <f>N4*(1+Details!$B$20)</f>
        <v>51.310180743489425</v>
      </c>
      <c r="P4" s="43">
        <f>O4*(1+Details!$B$20)</f>
        <v>53.875689780663897</v>
      </c>
      <c r="Q4" s="43">
        <f>P4*(1+Details!$B$20)</f>
        <v>56.569474269697096</v>
      </c>
      <c r="R4" s="43">
        <f>Q4*(1+Details!$B$20)</f>
        <v>59.39794798318195</v>
      </c>
      <c r="S4" s="43">
        <f>R4*(1+Details!$B$20)</f>
        <v>62.367845382341052</v>
      </c>
      <c r="T4" s="43">
        <f>S4*(1+Details!$B$20)</f>
        <v>65.486237651458111</v>
      </c>
      <c r="U4" s="43">
        <f>T4*(1+Details!$B$20)</f>
        <v>68.760549534031014</v>
      </c>
      <c r="V4" s="43">
        <f>U4*(1+Details!$B$20)</f>
        <v>72.198577010732564</v>
      </c>
      <c r="W4" s="32"/>
      <c r="X4" s="32"/>
      <c r="Y4" s="32"/>
      <c r="Z4" s="33"/>
    </row>
    <row r="5" spans="1:26" ht="13" x14ac:dyDescent="0.3">
      <c r="A5" s="45"/>
      <c r="B5" s="46"/>
      <c r="C5" s="47" t="s">
        <v>81</v>
      </c>
      <c r="D5" s="48">
        <f>Details!B16</f>
        <v>30</v>
      </c>
      <c r="E5" s="49">
        <f>D5*(1+Details!$C$20)</f>
        <v>32.400000000000006</v>
      </c>
      <c r="F5" s="49">
        <f>E5*(1+Details!$C$20)</f>
        <v>34.992000000000012</v>
      </c>
      <c r="G5" s="49">
        <f>F5*(1+Details!$C$20)</f>
        <v>37.791360000000012</v>
      </c>
      <c r="H5" s="49">
        <f>G5*(1+Details!$C$20)</f>
        <v>40.814668800000014</v>
      </c>
      <c r="I5" s="49">
        <f>H5*(1+Details!$C$20)</f>
        <v>44.079842304000017</v>
      </c>
      <c r="J5" s="49">
        <f>I5*(1+Details!$C$20)</f>
        <v>47.60622968832002</v>
      </c>
      <c r="K5" s="49">
        <f>J5*(1+Details!$C$20)</f>
        <v>51.414728063385624</v>
      </c>
      <c r="L5" s="49">
        <f>K5*(1+Details!$C$20)</f>
        <v>55.52790630845648</v>
      </c>
      <c r="M5" s="49">
        <f>L5*(1+Details!$C$20)</f>
        <v>59.970138813133005</v>
      </c>
      <c r="N5" s="50">
        <f>M5*(1+Details!$C$20)</f>
        <v>64.767749918183654</v>
      </c>
      <c r="O5" s="49">
        <f t="shared" ref="O5:V5" si="1">N5*1.11</f>
        <v>71.892202409183867</v>
      </c>
      <c r="P5" s="49">
        <f t="shared" si="1"/>
        <v>79.800344674194093</v>
      </c>
      <c r="Q5" s="49">
        <f t="shared" si="1"/>
        <v>88.578382588355453</v>
      </c>
      <c r="R5" s="49">
        <f t="shared" si="1"/>
        <v>98.322004673074559</v>
      </c>
      <c r="S5" s="49">
        <f t="shared" si="1"/>
        <v>109.13742518711277</v>
      </c>
      <c r="T5" s="49">
        <f t="shared" si="1"/>
        <v>121.14254195769519</v>
      </c>
      <c r="U5" s="49">
        <f t="shared" si="1"/>
        <v>134.46822157304166</v>
      </c>
      <c r="V5" s="49">
        <f t="shared" si="1"/>
        <v>149.25972594607626</v>
      </c>
      <c r="W5" s="46"/>
      <c r="X5" s="46"/>
      <c r="Y5" s="46"/>
      <c r="Z5" s="51"/>
    </row>
    <row r="6" spans="1:26" ht="15.75" customHeight="1" x14ac:dyDescent="0.25">
      <c r="A6" s="45"/>
      <c r="B6" s="46" t="s">
        <v>82</v>
      </c>
      <c r="C6" s="51"/>
      <c r="D6" s="45" t="s">
        <v>83</v>
      </c>
      <c r="E6" s="46">
        <v>5</v>
      </c>
      <c r="F6" s="46">
        <f t="shared" ref="F6:N6" si="2">E6*(1.08)</f>
        <v>5.4</v>
      </c>
      <c r="G6" s="49">
        <f t="shared" si="2"/>
        <v>5.8320000000000007</v>
      </c>
      <c r="H6" s="49">
        <f t="shared" si="2"/>
        <v>6.298560000000001</v>
      </c>
      <c r="I6" s="49">
        <f t="shared" si="2"/>
        <v>6.8024448000000017</v>
      </c>
      <c r="J6" s="49">
        <f t="shared" si="2"/>
        <v>7.3466403840000023</v>
      </c>
      <c r="K6" s="49">
        <f t="shared" si="2"/>
        <v>7.9343716147200034</v>
      </c>
      <c r="L6" s="49">
        <f t="shared" si="2"/>
        <v>8.5691213438976046</v>
      </c>
      <c r="M6" s="49">
        <f t="shared" si="2"/>
        <v>9.2546510514094145</v>
      </c>
      <c r="N6" s="50">
        <f t="shared" si="2"/>
        <v>9.9950231355221675</v>
      </c>
      <c r="O6" s="49">
        <f t="shared" ref="O6:V6" si="3">N6*1.11</f>
        <v>11.094475680429607</v>
      </c>
      <c r="P6" s="49">
        <f t="shared" si="3"/>
        <v>12.314868005276864</v>
      </c>
      <c r="Q6" s="49">
        <f t="shared" si="3"/>
        <v>13.669503485857319</v>
      </c>
      <c r="R6" s="49">
        <f t="shared" si="3"/>
        <v>15.173148869301626</v>
      </c>
      <c r="S6" s="49">
        <f t="shared" si="3"/>
        <v>16.842195244924806</v>
      </c>
      <c r="T6" s="49">
        <f t="shared" si="3"/>
        <v>18.694836721866537</v>
      </c>
      <c r="U6" s="49">
        <f t="shared" si="3"/>
        <v>20.751268761271859</v>
      </c>
      <c r="V6" s="49">
        <f t="shared" si="3"/>
        <v>23.033908325011765</v>
      </c>
      <c r="W6" s="46"/>
      <c r="X6" s="46"/>
      <c r="Y6" s="46"/>
      <c r="Z6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50"/>
  <sheetViews>
    <sheetView topLeftCell="C1" zoomScaleNormal="100" workbookViewId="0">
      <pane ySplit="2" topLeftCell="A23" activePane="bottomLeft" state="frozen"/>
      <selection activeCell="B24" sqref="B24"/>
      <selection pane="bottomLeft" activeCell="D27" sqref="D27:N27"/>
    </sheetView>
  </sheetViews>
  <sheetFormatPr defaultColWidth="12.6328125" defaultRowHeight="15.75" customHeight="1" x14ac:dyDescent="0.25"/>
  <cols>
    <col min="2" max="2" width="13.6328125" customWidth="1"/>
    <col min="3" max="3" width="25.453125" customWidth="1"/>
  </cols>
  <sheetData>
    <row r="1" spans="1:14" ht="15.75" customHeight="1" x14ac:dyDescent="0.35">
      <c r="A1" s="1"/>
      <c r="B1" s="1"/>
      <c r="C1" s="26" t="s">
        <v>73</v>
      </c>
      <c r="D1" s="52">
        <v>2020</v>
      </c>
      <c r="E1" s="27">
        <v>2021</v>
      </c>
      <c r="F1" s="27">
        <v>2022</v>
      </c>
      <c r="G1" s="27">
        <v>2023</v>
      </c>
      <c r="H1" s="27">
        <v>2024</v>
      </c>
      <c r="I1" s="27">
        <v>2025</v>
      </c>
      <c r="J1" s="27">
        <v>2026</v>
      </c>
      <c r="K1" s="27">
        <v>2027</v>
      </c>
      <c r="L1" s="27">
        <v>2028</v>
      </c>
      <c r="M1" s="27">
        <v>2029</v>
      </c>
      <c r="N1" s="27">
        <v>2030</v>
      </c>
    </row>
    <row r="2" spans="1:14" ht="15.75" customHeight="1" x14ac:dyDescent="0.35">
      <c r="A2" s="2"/>
      <c r="C2" s="26" t="s">
        <v>84</v>
      </c>
      <c r="D2" s="5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</row>
    <row r="3" spans="1:14" ht="15.75" customHeight="1" x14ac:dyDescent="0.35">
      <c r="A3" s="2"/>
      <c r="C3" s="3"/>
      <c r="D3" s="54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ht="15.75" customHeight="1" x14ac:dyDescent="0.35">
      <c r="A4" s="2" t="s">
        <v>85</v>
      </c>
      <c r="C4" s="3" t="s">
        <v>25</v>
      </c>
      <c r="D4" s="54">
        <f>'Subsciption Numbers(10 Years)'!D3*Details!$B$23*(1+Details!$C$3)^D$2</f>
        <v>4500</v>
      </c>
      <c r="E4" s="55">
        <f>'Subsciption Numbers(10 Years)'!E3*Details!$B$23*(1+Details!$C$3)^E$2</f>
        <v>4704.5249999999996</v>
      </c>
      <c r="F4" s="55">
        <f>'Subsciption Numbers(10 Years)'!F3*Details!$B$23*(1+Details!$C$3)^F$2</f>
        <v>4918.3456612499986</v>
      </c>
      <c r="G4" s="55">
        <f>'Subsciption Numbers(10 Years)'!G3*Details!$B$23*(1+Details!$C$3)^G$2</f>
        <v>5141.8844715538116</v>
      </c>
      <c r="H4" s="55">
        <f>'Subsciption Numbers(10 Years)'!H3*Details!$B$23*(1+Details!$C$3)^H$2</f>
        <v>5375.583120785931</v>
      </c>
      <c r="I4" s="55">
        <f>'Subsciption Numbers(10 Years)'!I3*Details!$B$23*(1+Details!$C$3)^I$2</f>
        <v>5619.9033736256506</v>
      </c>
      <c r="J4" s="55">
        <f>'Subsciption Numbers(10 Years)'!J3*Details!$B$23*(1+Details!$C$3)^J$2</f>
        <v>5875.3279819569352</v>
      </c>
      <c r="K4" s="55">
        <f>'Subsciption Numbers(10 Years)'!K3*Details!$B$23*(1+Details!$C$3)^K$2</f>
        <v>6142.3616387368775</v>
      </c>
      <c r="L4" s="55">
        <f>'Subsciption Numbers(10 Years)'!L3*Details!$B$23*(1+Details!$C$3)^L$2</f>
        <v>6421.5319752174682</v>
      </c>
      <c r="M4" s="55">
        <f>'Subsciption Numbers(10 Years)'!M3*Details!$B$23*(1+Details!$C$3)^M$2</f>
        <v>6713.3906034911015</v>
      </c>
      <c r="N4" s="55">
        <f>'Subsciption Numbers(10 Years)'!N3*Details!$B$23*(1+Details!$C$3)^N$2</f>
        <v>7018.5142064197707</v>
      </c>
    </row>
    <row r="5" spans="1:14" ht="15.75" customHeight="1" x14ac:dyDescent="0.35">
      <c r="A5" s="2"/>
      <c r="C5" s="3" t="s">
        <v>26</v>
      </c>
      <c r="D5" s="54">
        <f>'Subsciption Numbers(10 Years)'!D5*Details!$B$23*(1+Details!$C$3)^D$2</f>
        <v>3000</v>
      </c>
      <c r="E5" s="55">
        <f>'Subsciption Numbers(10 Years)'!E5*Details!$B$23*(1+Details!$C$3)^E$2</f>
        <v>3288.6000000000004</v>
      </c>
      <c r="F5" s="55">
        <f>'Subsciption Numbers(10 Years)'!F5*Details!$B$23*(1+Details!$C$3)^F$2</f>
        <v>3604.9633200000003</v>
      </c>
      <c r="G5" s="55">
        <f>'Subsciption Numbers(10 Years)'!G5*Details!$B$23*(1+Details!$C$3)^G$2</f>
        <v>3951.7607913839997</v>
      </c>
      <c r="H5" s="55">
        <f>'Subsciption Numbers(10 Years)'!H5*Details!$B$23*(1+Details!$C$3)^H$2</f>
        <v>4331.9201795151403</v>
      </c>
      <c r="I5" s="55">
        <f>'Subsciption Numbers(10 Years)'!I5*Details!$B$23*(1+Details!$C$3)^I$2</f>
        <v>4748.6509007844961</v>
      </c>
      <c r="J5" s="55">
        <f>'Subsciption Numbers(10 Years)'!J5*Details!$B$23*(1+Details!$C$3)^J$2</f>
        <v>5205.4711174399636</v>
      </c>
      <c r="K5" s="55">
        <f>'Subsciption Numbers(10 Years)'!K5*Details!$B$23*(1+Details!$C$3)^K$2</f>
        <v>5706.2374389376882</v>
      </c>
      <c r="L5" s="55">
        <f>'Subsciption Numbers(10 Years)'!L5*Details!$B$23*(1+Details!$C$3)^L$2</f>
        <v>6255.1774805634932</v>
      </c>
      <c r="M5" s="55">
        <f>'Subsciption Numbers(10 Years)'!M5*Details!$B$23*(1+Details!$C$3)^M$2</f>
        <v>6856.9255541937018</v>
      </c>
      <c r="N5" s="55">
        <f>'Subsciption Numbers(10 Years)'!N5*Details!$B$23*(1+Details!$C$3)^N$2</f>
        <v>7516.5617925071356</v>
      </c>
    </row>
    <row r="6" spans="1:14" ht="15.75" customHeight="1" x14ac:dyDescent="0.35">
      <c r="A6" s="2"/>
      <c r="C6" s="56" t="s">
        <v>86</v>
      </c>
      <c r="D6" s="54">
        <v>0</v>
      </c>
      <c r="E6" s="55">
        <f>'Subsciption Numbers(10 Years)'!E6*Details!$B$29*(1+Details!$C$3)^(E$2-1)</f>
        <v>250</v>
      </c>
      <c r="F6" s="55">
        <f>'Subsciption Numbers(10 Years)'!F6*Details!$B$29*(1+Details!$C$3)^(F$2-1)</f>
        <v>274.04999999999995</v>
      </c>
      <c r="G6" s="55">
        <f>'Subsciption Numbers(10 Years)'!G6*Details!$B$29*(1+Details!$C$3)^(G$2-1)</f>
        <v>300.41360999999995</v>
      </c>
      <c r="H6" s="55">
        <f>'Subsciption Numbers(10 Years)'!H6*Details!$B$29*(1+Details!$C$3)^(H$2-1)</f>
        <v>329.31339928199992</v>
      </c>
      <c r="I6" s="55">
        <f>'Subsciption Numbers(10 Years)'!I6*Details!$B$29*(1+Details!$C$3)^(I$2-1)</f>
        <v>360.99334829292832</v>
      </c>
      <c r="J6" s="55">
        <f>'Subsciption Numbers(10 Years)'!J6*Details!$B$29*(1+Details!$C$3)^(J$2-1)</f>
        <v>395.72090839870793</v>
      </c>
      <c r="K6" s="55">
        <f>'Subsciption Numbers(10 Years)'!K6*Details!$B$29*(1+Details!$C$3)^(K$2-1)</f>
        <v>433.78925978666365</v>
      </c>
      <c r="L6" s="55">
        <f>'Subsciption Numbers(10 Years)'!L6*Details!$B$29*(1+Details!$C$3)^(L$2-1)</f>
        <v>475.51978657814067</v>
      </c>
      <c r="M6" s="55">
        <f>'Subsciption Numbers(10 Years)'!M6*Details!$B$29*(1+Details!$C$3)^(M$2-1)</f>
        <v>521.26479004695784</v>
      </c>
      <c r="N6" s="55">
        <f>'Subsciption Numbers(10 Years)'!N6*Details!$B$29*(1+Details!$C$3)^(N$2-1)</f>
        <v>571.41046284947504</v>
      </c>
    </row>
    <row r="7" spans="1:14" ht="15.75" customHeight="1" x14ac:dyDescent="0.35">
      <c r="A7" s="2"/>
      <c r="B7" s="101" t="s">
        <v>144</v>
      </c>
      <c r="C7" s="57" t="s">
        <v>87</v>
      </c>
      <c r="D7" s="58">
        <f t="shared" ref="D7:N7" si="0">SUM(D4:D6)</f>
        <v>7500</v>
      </c>
      <c r="E7" s="59">
        <f t="shared" si="0"/>
        <v>8243.125</v>
      </c>
      <c r="F7" s="59">
        <f t="shared" si="0"/>
        <v>8797.3589812499977</v>
      </c>
      <c r="G7" s="59">
        <f t="shared" si="0"/>
        <v>9394.0588729378105</v>
      </c>
      <c r="H7" s="59">
        <f t="shared" si="0"/>
        <v>10036.816699583072</v>
      </c>
      <c r="I7" s="59">
        <f t="shared" si="0"/>
        <v>10729.547622703076</v>
      </c>
      <c r="J7" s="59">
        <f t="shared" si="0"/>
        <v>11476.520007795607</v>
      </c>
      <c r="K7" s="59">
        <f t="shared" si="0"/>
        <v>12282.388337461229</v>
      </c>
      <c r="L7" s="59">
        <f t="shared" si="0"/>
        <v>13152.229242359102</v>
      </c>
      <c r="M7" s="59">
        <f t="shared" si="0"/>
        <v>14091.580947731762</v>
      </c>
      <c r="N7" s="59">
        <f t="shared" si="0"/>
        <v>15106.486461776381</v>
      </c>
    </row>
    <row r="8" spans="1:14" ht="15.75" customHeight="1" x14ac:dyDescent="0.35">
      <c r="A8" s="2"/>
      <c r="C8" s="57" t="s">
        <v>88</v>
      </c>
      <c r="D8" s="60"/>
      <c r="E8" s="61"/>
      <c r="F8" s="61"/>
      <c r="G8" s="61"/>
      <c r="H8" s="61"/>
      <c r="I8" s="61"/>
      <c r="J8" s="61"/>
      <c r="K8" s="61"/>
      <c r="L8" s="61"/>
      <c r="M8" s="61"/>
      <c r="N8" s="59">
        <f>Details!B11+N27</f>
        <v>291.3414962640154</v>
      </c>
    </row>
    <row r="9" spans="1:14" ht="15.75" customHeight="1" x14ac:dyDescent="0.35">
      <c r="A9" s="2"/>
      <c r="C9" s="1"/>
      <c r="D9" s="54"/>
      <c r="E9" s="55"/>
      <c r="F9" s="55"/>
      <c r="G9" s="55"/>
      <c r="H9" s="55"/>
      <c r="I9" s="55"/>
      <c r="J9" s="55"/>
      <c r="K9" s="55"/>
      <c r="L9" s="55"/>
      <c r="M9" s="55"/>
      <c r="N9" s="55"/>
    </row>
    <row r="10" spans="1:14" ht="15.75" customHeight="1" x14ac:dyDescent="0.35">
      <c r="A10" s="2" t="s">
        <v>89</v>
      </c>
      <c r="C10" s="1" t="s">
        <v>79</v>
      </c>
      <c r="D10" s="54"/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4" ht="15.75" customHeight="1" x14ac:dyDescent="0.35">
      <c r="A11" s="1"/>
      <c r="B11" s="1"/>
      <c r="C11" s="1" t="s">
        <v>90</v>
      </c>
      <c r="D11" s="62">
        <f>Details!B7</f>
        <v>150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1:14" ht="15.75" customHeight="1" x14ac:dyDescent="0.35">
      <c r="A12" s="1"/>
      <c r="B12" s="1"/>
      <c r="C12" s="1" t="s">
        <v>91</v>
      </c>
      <c r="D12" s="62">
        <f>Details!B10</f>
        <v>1000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4" ht="15.75" customHeight="1" x14ac:dyDescent="0.35">
      <c r="B13" s="63" t="s">
        <v>92</v>
      </c>
      <c r="C13" s="3" t="s">
        <v>25</v>
      </c>
      <c r="D13" s="64">
        <f>'Subsciption Numbers(10 Years)'!D3*Details!$B$25</f>
        <v>1620</v>
      </c>
      <c r="E13" s="65">
        <f>'Subsciption Numbers(10 Years)'!E3*Details!$B$25</f>
        <v>1668.6000000000001</v>
      </c>
      <c r="F13" s="65">
        <f>'Subsciption Numbers(10 Years)'!F3*Details!$B$25</f>
        <v>1718.6580000000001</v>
      </c>
      <c r="G13" s="65">
        <f>'Subsciption Numbers(10 Years)'!G3*Details!$B$25</f>
        <v>1770.21774</v>
      </c>
      <c r="H13" s="65">
        <f>'Subsciption Numbers(10 Years)'!H3*Details!$B$25</f>
        <v>1823.3242722000002</v>
      </c>
      <c r="I13" s="65">
        <f>'Subsciption Numbers(10 Years)'!I3*Details!$B$25</f>
        <v>1878.0240003660001</v>
      </c>
      <c r="J13" s="65">
        <f>'Subsciption Numbers(10 Years)'!J3*Details!$B$25</f>
        <v>1934.3647203769804</v>
      </c>
      <c r="K13" s="65">
        <f>'Subsciption Numbers(10 Years)'!K3*Details!$B$25</f>
        <v>1992.3956619882897</v>
      </c>
      <c r="L13" s="65">
        <f>'Subsciption Numbers(10 Years)'!L3*Details!$B$25</f>
        <v>2052.1675318479383</v>
      </c>
      <c r="M13" s="65">
        <f>'Subsciption Numbers(10 Years)'!M3*Details!$B$25</f>
        <v>2113.7325578033765</v>
      </c>
      <c r="N13" s="65">
        <f>'Subsciption Numbers(10 Years)'!N3*Details!$B$25</f>
        <v>2177.1445345374777</v>
      </c>
    </row>
    <row r="14" spans="1:14" ht="15.75" customHeight="1" x14ac:dyDescent="0.35">
      <c r="C14" s="3" t="s">
        <v>26</v>
      </c>
      <c r="D14" s="64">
        <f>'Subsciption Numbers(10 Years)'!D5*Details!$B$26</f>
        <v>1440</v>
      </c>
      <c r="E14" s="65">
        <f>'Subsciption Numbers(10 Years)'!E5*Details!$B$26</f>
        <v>1555.2000000000003</v>
      </c>
      <c r="F14" s="65">
        <f>'Subsciption Numbers(10 Years)'!F5*Details!$B$26</f>
        <v>1679.6160000000004</v>
      </c>
      <c r="G14" s="65">
        <f>'Subsciption Numbers(10 Years)'!G5*Details!$B$26</f>
        <v>1813.9852800000006</v>
      </c>
      <c r="H14" s="65">
        <f>'Subsciption Numbers(10 Years)'!H5*Details!$B$26</f>
        <v>1959.1041024000006</v>
      </c>
      <c r="I14" s="65">
        <f>'Subsciption Numbers(10 Years)'!I5*Details!$B$26</f>
        <v>2115.8324305920009</v>
      </c>
      <c r="J14" s="65">
        <f>'Subsciption Numbers(10 Years)'!J5*Details!$B$26</f>
        <v>2285.0990250393611</v>
      </c>
      <c r="K14" s="65">
        <f>'Subsciption Numbers(10 Years)'!K5*Details!$B$26</f>
        <v>2467.9069470425102</v>
      </c>
      <c r="L14" s="65">
        <f>'Subsciption Numbers(10 Years)'!L5*Details!$B$26</f>
        <v>2665.3395028059113</v>
      </c>
      <c r="M14" s="65">
        <f>'Subsciption Numbers(10 Years)'!M5*Details!$B$26</f>
        <v>2878.566663030384</v>
      </c>
      <c r="N14" s="65">
        <f>'Subsciption Numbers(10 Years)'!N5*Details!$B$26</f>
        <v>3108.8519960728154</v>
      </c>
    </row>
    <row r="15" spans="1:14" ht="13" x14ac:dyDescent="0.3">
      <c r="C15" s="56" t="s">
        <v>86</v>
      </c>
      <c r="D15" s="64">
        <v>0</v>
      </c>
      <c r="E15" s="65">
        <f>'Subsciption Numbers(10 Years)'!E6*Details!$B$32</f>
        <v>120</v>
      </c>
      <c r="F15" s="65">
        <f>'Subsciption Numbers(10 Years)'!F6*Details!$B$32</f>
        <v>129.60000000000002</v>
      </c>
      <c r="G15" s="65">
        <f>'Subsciption Numbers(10 Years)'!G6*Details!$B$32</f>
        <v>139.96800000000002</v>
      </c>
      <c r="H15" s="65">
        <f>'Subsciption Numbers(10 Years)'!H6*Details!$B$32</f>
        <v>151.16544000000002</v>
      </c>
      <c r="I15" s="65">
        <f>'Subsciption Numbers(10 Years)'!I6*Details!$B$32</f>
        <v>163.25867520000003</v>
      </c>
      <c r="J15" s="65">
        <f>'Subsciption Numbers(10 Years)'!J6*Details!$B$32</f>
        <v>176.31936921600004</v>
      </c>
      <c r="K15" s="65">
        <f>'Subsciption Numbers(10 Years)'!K6*Details!$B$32</f>
        <v>190.42491875328008</v>
      </c>
      <c r="L15" s="65">
        <f>'Subsciption Numbers(10 Years)'!L6*Details!$B$32</f>
        <v>205.6589122535425</v>
      </c>
      <c r="M15" s="65">
        <f>'Subsciption Numbers(10 Years)'!M6*Details!$B$32</f>
        <v>222.11162523382595</v>
      </c>
      <c r="N15" s="65">
        <f>'Subsciption Numbers(10 Years)'!N6*Details!$B$32</f>
        <v>239.88055525253202</v>
      </c>
    </row>
    <row r="16" spans="1:14" ht="13" x14ac:dyDescent="0.3">
      <c r="C16" s="66" t="s">
        <v>93</v>
      </c>
      <c r="D16" s="67">
        <f t="shared" ref="D16:N16" si="1">SUM(D13:D15)</f>
        <v>3060</v>
      </c>
      <c r="E16" s="68">
        <f t="shared" si="1"/>
        <v>3343.8</v>
      </c>
      <c r="F16" s="68">
        <f t="shared" si="1"/>
        <v>3527.8740000000003</v>
      </c>
      <c r="G16" s="68">
        <f t="shared" si="1"/>
        <v>3724.1710200000007</v>
      </c>
      <c r="H16" s="68">
        <f t="shared" si="1"/>
        <v>3933.5938146000012</v>
      </c>
      <c r="I16" s="68">
        <f t="shared" si="1"/>
        <v>4157.1151061580013</v>
      </c>
      <c r="J16" s="68">
        <f t="shared" si="1"/>
        <v>4395.7831146323415</v>
      </c>
      <c r="K16" s="68">
        <f t="shared" si="1"/>
        <v>4650.7275277840799</v>
      </c>
      <c r="L16" s="68">
        <f t="shared" si="1"/>
        <v>4923.165946907392</v>
      </c>
      <c r="M16" s="68">
        <f t="shared" si="1"/>
        <v>5214.4108460675861</v>
      </c>
      <c r="N16" s="68">
        <f t="shared" si="1"/>
        <v>5525.877085862825</v>
      </c>
    </row>
    <row r="17" spans="2:14" ht="13" x14ac:dyDescent="0.3">
      <c r="B17" s="63" t="s">
        <v>94</v>
      </c>
      <c r="C17" s="56" t="s">
        <v>95</v>
      </c>
      <c r="D17" s="64">
        <f>Details!B44</f>
        <v>400</v>
      </c>
      <c r="E17" s="65">
        <f t="shared" ref="E17:N17" si="2">D17*(1.05)</f>
        <v>420</v>
      </c>
      <c r="F17" s="65">
        <f t="shared" si="2"/>
        <v>441</v>
      </c>
      <c r="G17" s="65">
        <f t="shared" si="2"/>
        <v>463.05</v>
      </c>
      <c r="H17" s="65">
        <f t="shared" si="2"/>
        <v>486.20250000000004</v>
      </c>
      <c r="I17" s="65">
        <f t="shared" si="2"/>
        <v>510.51262500000007</v>
      </c>
      <c r="J17" s="65">
        <f t="shared" si="2"/>
        <v>536.03825625000013</v>
      </c>
      <c r="K17" s="65">
        <f t="shared" si="2"/>
        <v>562.84016906250019</v>
      </c>
      <c r="L17" s="65">
        <f t="shared" si="2"/>
        <v>590.98217751562527</v>
      </c>
      <c r="M17" s="65">
        <f t="shared" si="2"/>
        <v>620.53128639140652</v>
      </c>
      <c r="N17" s="65">
        <f t="shared" si="2"/>
        <v>651.55785071097682</v>
      </c>
    </row>
    <row r="18" spans="2:14" ht="13" x14ac:dyDescent="0.3">
      <c r="C18" s="56" t="s">
        <v>96</v>
      </c>
      <c r="D18" s="64">
        <v>0</v>
      </c>
      <c r="E18" s="65">
        <f t="shared" ref="E18:N18" si="3">E17*0.1</f>
        <v>42</v>
      </c>
      <c r="F18" s="65">
        <f t="shared" si="3"/>
        <v>44.1</v>
      </c>
      <c r="G18" s="65">
        <f t="shared" si="3"/>
        <v>46.305000000000007</v>
      </c>
      <c r="H18" s="65">
        <f t="shared" si="3"/>
        <v>48.620250000000006</v>
      </c>
      <c r="I18" s="65">
        <f t="shared" si="3"/>
        <v>51.051262500000007</v>
      </c>
      <c r="J18" s="65">
        <f t="shared" si="3"/>
        <v>53.603825625000013</v>
      </c>
      <c r="K18" s="65">
        <f t="shared" si="3"/>
        <v>56.284016906250024</v>
      </c>
      <c r="L18" s="65">
        <f t="shared" si="3"/>
        <v>59.09821775156253</v>
      </c>
      <c r="M18" s="65">
        <f t="shared" si="3"/>
        <v>62.053128639140652</v>
      </c>
      <c r="N18" s="65">
        <f t="shared" si="3"/>
        <v>65.155785071097682</v>
      </c>
    </row>
    <row r="19" spans="2:14" ht="13" x14ac:dyDescent="0.3">
      <c r="C19" s="56" t="s">
        <v>97</v>
      </c>
      <c r="D19" s="64">
        <v>0</v>
      </c>
      <c r="E19" s="65">
        <f>Details!B46</f>
        <v>40</v>
      </c>
      <c r="F19" s="65">
        <f t="shared" ref="F19:N19" si="4">E19*1.1</f>
        <v>44</v>
      </c>
      <c r="G19" s="65">
        <f t="shared" si="4"/>
        <v>48.400000000000006</v>
      </c>
      <c r="H19" s="65">
        <f t="shared" si="4"/>
        <v>53.240000000000009</v>
      </c>
      <c r="I19" s="65">
        <f t="shared" si="4"/>
        <v>58.564000000000014</v>
      </c>
      <c r="J19" s="65">
        <f t="shared" si="4"/>
        <v>64.420400000000015</v>
      </c>
      <c r="K19" s="65">
        <f t="shared" si="4"/>
        <v>70.862440000000021</v>
      </c>
      <c r="L19" s="65">
        <f t="shared" si="4"/>
        <v>77.948684000000029</v>
      </c>
      <c r="M19" s="65">
        <f t="shared" si="4"/>
        <v>85.743552400000041</v>
      </c>
      <c r="N19" s="65">
        <f t="shared" si="4"/>
        <v>94.317907640000058</v>
      </c>
    </row>
    <row r="20" spans="2:14" ht="13" x14ac:dyDescent="0.3">
      <c r="C20" s="66" t="s">
        <v>98</v>
      </c>
      <c r="D20" s="67">
        <f t="shared" ref="D20:N20" si="5">SUM(D17:D19)</f>
        <v>400</v>
      </c>
      <c r="E20" s="68">
        <f t="shared" si="5"/>
        <v>502</v>
      </c>
      <c r="F20" s="68">
        <f t="shared" si="5"/>
        <v>529.1</v>
      </c>
      <c r="G20" s="68">
        <f t="shared" si="5"/>
        <v>557.755</v>
      </c>
      <c r="H20" s="68">
        <f t="shared" si="5"/>
        <v>588.06275000000005</v>
      </c>
      <c r="I20" s="68">
        <f t="shared" si="5"/>
        <v>620.12788750000004</v>
      </c>
      <c r="J20" s="68">
        <f t="shared" si="5"/>
        <v>654.06248187500012</v>
      </c>
      <c r="K20" s="68">
        <f t="shared" si="5"/>
        <v>689.98662596875022</v>
      </c>
      <c r="L20" s="68">
        <f t="shared" si="5"/>
        <v>728.02907926718785</v>
      </c>
      <c r="M20" s="68">
        <f t="shared" si="5"/>
        <v>768.32796743054723</v>
      </c>
      <c r="N20" s="68">
        <f t="shared" si="5"/>
        <v>811.03154342207461</v>
      </c>
    </row>
    <row r="21" spans="2:14" ht="13" x14ac:dyDescent="0.3">
      <c r="B21" s="63" t="s">
        <v>99</v>
      </c>
      <c r="C21" s="56" t="s">
        <v>100</v>
      </c>
      <c r="D21" s="64">
        <f>Details!B50</f>
        <v>500</v>
      </c>
      <c r="E21" s="65">
        <f t="shared" ref="E21:N21" si="6">D21*(1.05)</f>
        <v>525</v>
      </c>
      <c r="F21" s="65">
        <f t="shared" si="6"/>
        <v>551.25</v>
      </c>
      <c r="G21" s="65">
        <f t="shared" si="6"/>
        <v>578.8125</v>
      </c>
      <c r="H21" s="65">
        <f t="shared" si="6"/>
        <v>607.75312500000007</v>
      </c>
      <c r="I21" s="65">
        <f t="shared" si="6"/>
        <v>638.14078125000015</v>
      </c>
      <c r="J21" s="65">
        <f t="shared" si="6"/>
        <v>670.04782031250022</v>
      </c>
      <c r="K21" s="65">
        <f t="shared" si="6"/>
        <v>703.55021132812522</v>
      </c>
      <c r="L21" s="65">
        <f t="shared" si="6"/>
        <v>738.72772189453156</v>
      </c>
      <c r="M21" s="65">
        <f t="shared" si="6"/>
        <v>775.66410798925813</v>
      </c>
      <c r="N21" s="65">
        <f t="shared" si="6"/>
        <v>814.44731338872111</v>
      </c>
    </row>
    <row r="22" spans="2:14" ht="13" x14ac:dyDescent="0.3">
      <c r="C22" s="66" t="s">
        <v>101</v>
      </c>
      <c r="D22" s="67">
        <f>Details!B50</f>
        <v>500</v>
      </c>
      <c r="E22" s="68">
        <f t="shared" ref="E22:N22" si="7">E21*1.15</f>
        <v>603.75</v>
      </c>
      <c r="F22" s="68">
        <f t="shared" si="7"/>
        <v>633.9375</v>
      </c>
      <c r="G22" s="68">
        <f t="shared" si="7"/>
        <v>665.63437499999998</v>
      </c>
      <c r="H22" s="68">
        <f t="shared" si="7"/>
        <v>698.91609375000007</v>
      </c>
      <c r="I22" s="68">
        <f t="shared" si="7"/>
        <v>733.86189843750014</v>
      </c>
      <c r="J22" s="68">
        <f t="shared" si="7"/>
        <v>770.5549933593752</v>
      </c>
      <c r="K22" s="68">
        <f t="shared" si="7"/>
        <v>809.08274302734389</v>
      </c>
      <c r="L22" s="68">
        <f t="shared" si="7"/>
        <v>849.53688017871127</v>
      </c>
      <c r="M22" s="68">
        <f t="shared" si="7"/>
        <v>892.01372418764674</v>
      </c>
      <c r="N22" s="68">
        <f t="shared" si="7"/>
        <v>936.61441039702925</v>
      </c>
    </row>
    <row r="23" spans="2:14" ht="13" x14ac:dyDescent="0.3">
      <c r="B23" s="63" t="s">
        <v>64</v>
      </c>
      <c r="C23" s="66" t="s">
        <v>102</v>
      </c>
      <c r="D23" s="67">
        <v>0</v>
      </c>
      <c r="E23" s="68">
        <f>-Details!B64</f>
        <v>-30</v>
      </c>
      <c r="F23" s="68">
        <f t="shared" ref="F23:N23" si="8">E23*(1.03)</f>
        <v>-30.900000000000002</v>
      </c>
      <c r="G23" s="68">
        <f t="shared" si="8"/>
        <v>-31.827000000000002</v>
      </c>
      <c r="H23" s="68">
        <f t="shared" si="8"/>
        <v>-32.78181</v>
      </c>
      <c r="I23" s="68">
        <f t="shared" si="8"/>
        <v>-33.765264299999998</v>
      </c>
      <c r="J23" s="68">
        <f t="shared" si="8"/>
        <v>-34.778222229000001</v>
      </c>
      <c r="K23" s="68">
        <f t="shared" si="8"/>
        <v>-35.821568895870001</v>
      </c>
      <c r="L23" s="68">
        <f t="shared" si="8"/>
        <v>-36.896215962746105</v>
      </c>
      <c r="M23" s="68">
        <f t="shared" si="8"/>
        <v>-38.003102441628492</v>
      </c>
      <c r="N23" s="68">
        <f t="shared" si="8"/>
        <v>-39.143195514877348</v>
      </c>
    </row>
    <row r="24" spans="2:14" ht="14.5" x14ac:dyDescent="0.35">
      <c r="B24" s="63" t="s">
        <v>103</v>
      </c>
      <c r="C24" s="3" t="s">
        <v>58</v>
      </c>
      <c r="D24" s="64">
        <f>Details!$B57*D$7</f>
        <v>375</v>
      </c>
      <c r="E24" s="65">
        <f>Details!$B57*E$7</f>
        <v>412.15625</v>
      </c>
      <c r="F24" s="65">
        <f>Details!$B57*F$7</f>
        <v>439.86794906249992</v>
      </c>
      <c r="G24" s="65">
        <f>Details!$B57*G$7</f>
        <v>469.70294364689056</v>
      </c>
      <c r="H24" s="65">
        <f>Details!$B57*H$7</f>
        <v>501.84083497915367</v>
      </c>
      <c r="I24" s="65">
        <f>Details!$B57*I$7</f>
        <v>536.47738113515379</v>
      </c>
      <c r="J24" s="65">
        <f>Details!$B57*J$7</f>
        <v>573.82600038978035</v>
      </c>
      <c r="K24" s="65">
        <f>Details!$B57*K$7</f>
        <v>614.11941687306148</v>
      </c>
      <c r="L24" s="65">
        <f>Details!$B57*L$7</f>
        <v>657.61146211795517</v>
      </c>
      <c r="M24" s="65">
        <f>Details!$B57*M$7</f>
        <v>704.57904738658817</v>
      </c>
      <c r="N24" s="65">
        <f>Details!$B57*N$7</f>
        <v>755.32432308881914</v>
      </c>
    </row>
    <row r="25" spans="2:14" ht="14.5" x14ac:dyDescent="0.35">
      <c r="C25" s="3" t="s">
        <v>59</v>
      </c>
      <c r="D25" s="64">
        <f>Details!$B58*D$7</f>
        <v>750</v>
      </c>
      <c r="E25" s="65">
        <f>Details!$B58*E$7</f>
        <v>824.3125</v>
      </c>
      <c r="F25" s="65">
        <f>Details!$B58*F$7</f>
        <v>879.73589812499984</v>
      </c>
      <c r="G25" s="65">
        <f>Details!$B58*G$7</f>
        <v>939.40588729378112</v>
      </c>
      <c r="H25" s="65">
        <f>Details!$B58*H$7</f>
        <v>1003.6816699583073</v>
      </c>
      <c r="I25" s="65">
        <f>Details!$B58*I$7</f>
        <v>1072.9547622703076</v>
      </c>
      <c r="J25" s="65">
        <f>Details!$B58*J$7</f>
        <v>1147.6520007795607</v>
      </c>
      <c r="K25" s="65">
        <f>Details!$B58*K$7</f>
        <v>1228.238833746123</v>
      </c>
      <c r="L25" s="65">
        <f>Details!$B58*L$7</f>
        <v>1315.2229242359103</v>
      </c>
      <c r="M25" s="65">
        <f>Details!$B58*M$7</f>
        <v>1409.1580947731763</v>
      </c>
      <c r="N25" s="65">
        <f>Details!$B58*N$7</f>
        <v>1510.6486461776383</v>
      </c>
    </row>
    <row r="26" spans="2:14" ht="14.5" x14ac:dyDescent="0.35">
      <c r="C26" s="3" t="s">
        <v>61</v>
      </c>
      <c r="D26" s="64">
        <f>Details!$B59*D$7</f>
        <v>450</v>
      </c>
      <c r="E26" s="65">
        <f>Details!$B59*E$7</f>
        <v>494.58749999999998</v>
      </c>
      <c r="F26" s="65">
        <f>Details!$B59*F$7</f>
        <v>527.84153887499986</v>
      </c>
      <c r="G26" s="65">
        <f>Details!$B59*G$7</f>
        <v>563.64353237626858</v>
      </c>
      <c r="H26" s="65">
        <f>Details!$B59*H$7</f>
        <v>602.20900197498429</v>
      </c>
      <c r="I26" s="65">
        <f>Details!$B59*I$7</f>
        <v>643.77285736218448</v>
      </c>
      <c r="J26" s="65">
        <f>Details!$B59*J$7</f>
        <v>688.59120046773637</v>
      </c>
      <c r="K26" s="65">
        <f>Details!$B59*K$7</f>
        <v>736.94330024767373</v>
      </c>
      <c r="L26" s="65">
        <f>Details!$B59*L$7</f>
        <v>789.13375454154607</v>
      </c>
      <c r="M26" s="65">
        <f>Details!$B59*M$7</f>
        <v>845.49485686390562</v>
      </c>
      <c r="N26" s="65">
        <f>Details!$B59*N$7</f>
        <v>906.3891877065829</v>
      </c>
    </row>
    <row r="27" spans="2:14" ht="13" x14ac:dyDescent="0.3">
      <c r="B27" s="102" t="s">
        <v>104</v>
      </c>
      <c r="C27" s="66" t="s">
        <v>105</v>
      </c>
      <c r="D27" s="67">
        <f>D24+D25-D26</f>
        <v>675</v>
      </c>
      <c r="E27" s="67">
        <f>E24+E25-E26-SUM($D$27:D27)</f>
        <v>66.881250000000023</v>
      </c>
      <c r="F27" s="67">
        <f>F24+F25-F26-SUM($D$27:E27)</f>
        <v>49.881058312499817</v>
      </c>
      <c r="G27" s="67">
        <f>G24+G25-G26-SUM($D$27:F27)</f>
        <v>53.702990251903202</v>
      </c>
      <c r="H27" s="67">
        <f>H24+H25-H26-SUM($D$27:G27)</f>
        <v>57.848204398073676</v>
      </c>
      <c r="I27" s="67">
        <f>I24+I25-I26-SUM($D$27:H27)</f>
        <v>62.345783080800175</v>
      </c>
      <c r="J27" s="67">
        <f>J24+J25-J26-SUM($D$27:I27)</f>
        <v>67.227514658327777</v>
      </c>
      <c r="K27" s="67">
        <f>K24+K25-K26-SUM($D$27:J27)</f>
        <v>72.528149669906043</v>
      </c>
      <c r="L27" s="67">
        <f>L24+L25-L26-SUM($D$27:K27)</f>
        <v>78.28568144080873</v>
      </c>
      <c r="M27" s="67">
        <f>M24+M25-M26-SUM($D$27:L27)</f>
        <v>84.541653483539449</v>
      </c>
      <c r="N27" s="67">
        <f>N24+N25-N26-SUM($D$27:M27)</f>
        <v>91.341496264015404</v>
      </c>
    </row>
    <row r="28" spans="2:14" ht="13" x14ac:dyDescent="0.3">
      <c r="B28" s="63" t="s">
        <v>106</v>
      </c>
      <c r="C28" s="66" t="s">
        <v>107</v>
      </c>
      <c r="D28" s="67">
        <f>IF('Subsciption Numbers(10 Years)'!D5&gt;Details!$B$37,Details!$B$39*(1+Details!$C$3)^D2,0)</f>
        <v>0</v>
      </c>
      <c r="E28" s="68">
        <f>IF('Subsciption Numbers(10 Years)'!E5&gt;Details!$B$37,Details!$B$39*(1+Details!$C$3)^E2,0)</f>
        <v>0</v>
      </c>
      <c r="F28" s="68">
        <f>IF('Subsciption Numbers(10 Years)'!F5&gt;Details!$B$37,Details!$B$39*(1+Details!$C$3)^F2,0)</f>
        <v>0</v>
      </c>
      <c r="G28" s="68">
        <f>IF('Subsciption Numbers(10 Years)'!G5&gt;Details!$B$37,Details!$B$39*(1+Details!$C$3)^G2,0)</f>
        <v>0</v>
      </c>
      <c r="H28" s="68">
        <f>IF('Subsciption Numbers(10 Years)'!H5&gt;Details!$B$37,Details!$B$39*(1+Details!$C$3)^H2,0)</f>
        <v>0</v>
      </c>
      <c r="I28" s="68">
        <f>IF('Subsciption Numbers(10 Years)'!I5&gt;Details!$B$37,Details!$B$39*(1+Details!$C$3)^I2,0)</f>
        <v>0</v>
      </c>
      <c r="J28" s="68">
        <f>IF('Subsciption Numbers(10 Years)'!J5&gt;Details!$B$37,Details!$B$39*(1+Details!$C$3)^J2,0)</f>
        <v>656.06595836558381</v>
      </c>
      <c r="K28" s="68">
        <v>0</v>
      </c>
      <c r="L28" s="68">
        <v>0</v>
      </c>
      <c r="M28" s="68">
        <v>0</v>
      </c>
      <c r="N28" s="68">
        <v>0</v>
      </c>
    </row>
    <row r="29" spans="2:14" ht="13" x14ac:dyDescent="0.3">
      <c r="B29" s="63" t="s">
        <v>108</v>
      </c>
      <c r="C29" s="56" t="s">
        <v>109</v>
      </c>
      <c r="D29" s="64">
        <f>Details!C76</f>
        <v>35</v>
      </c>
      <c r="E29" s="65">
        <f>Details!D76</f>
        <v>42.37</v>
      </c>
      <c r="F29" s="65">
        <f>Details!E76</f>
        <v>55.24</v>
      </c>
      <c r="G29" s="65">
        <f>Details!F76</f>
        <v>58.44</v>
      </c>
      <c r="H29" s="65">
        <f>Details!G76</f>
        <v>53.22</v>
      </c>
      <c r="I29" s="65">
        <f>Details!H76</f>
        <v>51.91</v>
      </c>
      <c r="J29" s="65">
        <f>Details!$I$76</f>
        <v>58.05</v>
      </c>
      <c r="K29" s="65">
        <f>Details!$I$76</f>
        <v>58.05</v>
      </c>
      <c r="L29" s="65">
        <f>Details!$I$76</f>
        <v>58.05</v>
      </c>
      <c r="M29" s="65">
        <f>Details!$I$76</f>
        <v>58.05</v>
      </c>
      <c r="N29" s="65">
        <f>Details!$I$76</f>
        <v>58.05</v>
      </c>
    </row>
    <row r="30" spans="2:14" ht="13" x14ac:dyDescent="0.3">
      <c r="B30" s="63"/>
      <c r="C30" s="56" t="s">
        <v>110</v>
      </c>
      <c r="D30" s="64">
        <f>Details!C77</f>
        <v>3405</v>
      </c>
      <c r="E30" s="65">
        <f>Details!D77</f>
        <v>4703.17</v>
      </c>
      <c r="F30" s="65">
        <f>Details!E77</f>
        <v>2624.57</v>
      </c>
      <c r="G30" s="65">
        <f>Details!F77</f>
        <v>2624.57</v>
      </c>
      <c r="H30" s="65">
        <f>Details!G77</f>
        <v>445.93</v>
      </c>
      <c r="I30" s="65">
        <f>Details!H77</f>
        <v>445.93</v>
      </c>
      <c r="J30" s="65">
        <f>Details!$I$77</f>
        <v>269.33</v>
      </c>
      <c r="K30" s="65">
        <f>Details!$I$77</f>
        <v>269.33</v>
      </c>
      <c r="L30" s="65">
        <f>Details!$I$77</f>
        <v>269.33</v>
      </c>
      <c r="M30" s="65">
        <f>Details!$I$77</f>
        <v>269.33</v>
      </c>
      <c r="N30" s="65">
        <f>Details!$I$77</f>
        <v>269.33</v>
      </c>
    </row>
    <row r="31" spans="2:14" ht="13" x14ac:dyDescent="0.3">
      <c r="B31" s="63"/>
      <c r="C31" s="66" t="s">
        <v>111</v>
      </c>
      <c r="D31" s="67">
        <f t="shared" ref="D31:N31" si="9">SUM(D29:D30)</f>
        <v>3440</v>
      </c>
      <c r="E31" s="68">
        <f t="shared" si="9"/>
        <v>4745.54</v>
      </c>
      <c r="F31" s="68">
        <f t="shared" si="9"/>
        <v>2679.81</v>
      </c>
      <c r="G31" s="68">
        <f t="shared" si="9"/>
        <v>2683.01</v>
      </c>
      <c r="H31" s="68">
        <f t="shared" si="9"/>
        <v>499.15</v>
      </c>
      <c r="I31" s="68">
        <f t="shared" si="9"/>
        <v>497.84000000000003</v>
      </c>
      <c r="J31" s="68">
        <f t="shared" si="9"/>
        <v>327.38</v>
      </c>
      <c r="K31" s="68">
        <f t="shared" si="9"/>
        <v>327.38</v>
      </c>
      <c r="L31" s="68">
        <f t="shared" si="9"/>
        <v>327.38</v>
      </c>
      <c r="M31" s="68">
        <f t="shared" si="9"/>
        <v>327.38</v>
      </c>
      <c r="N31" s="68">
        <f t="shared" si="9"/>
        <v>327.38</v>
      </c>
    </row>
    <row r="32" spans="2:14" ht="13" x14ac:dyDescent="0.3">
      <c r="B32" s="63" t="s">
        <v>112</v>
      </c>
      <c r="C32" s="70" t="s">
        <v>113</v>
      </c>
      <c r="D32" s="71">
        <f>Details!$B$72*Details!$C$2</f>
        <v>48.64</v>
      </c>
      <c r="E32" s="72">
        <f>Details!$B$72*Details!$C$2</f>
        <v>48.64</v>
      </c>
      <c r="F32" s="72">
        <f>Details!$B$72*Details!$C$2</f>
        <v>48.64</v>
      </c>
      <c r="G32" s="72">
        <f>Details!$B$72*Details!$C$2</f>
        <v>48.64</v>
      </c>
      <c r="H32" s="72">
        <f>Details!$B$72*Details!$C$2</f>
        <v>48.64</v>
      </c>
      <c r="I32" s="72">
        <f>Details!$B$72*Details!$C$2</f>
        <v>48.64</v>
      </c>
      <c r="J32" s="72">
        <f>Details!$B$72*Details!$C$2</f>
        <v>48.64</v>
      </c>
      <c r="K32" s="72">
        <f>Details!$B$72*Details!$C$2</f>
        <v>48.64</v>
      </c>
      <c r="L32" s="72">
        <f>Details!$B$72*Details!$C$2</f>
        <v>48.64</v>
      </c>
      <c r="M32" s="72">
        <f>Details!$B$72*Details!$C$2</f>
        <v>48.64</v>
      </c>
      <c r="N32" s="72">
        <f>Details!$B$72*Details!$C$2</f>
        <v>48.64</v>
      </c>
    </row>
    <row r="33" spans="2:14" ht="12.5" x14ac:dyDescent="0.25">
      <c r="D33" s="34"/>
    </row>
    <row r="34" spans="2:14" ht="13" x14ac:dyDescent="0.3">
      <c r="C34" s="70" t="s">
        <v>114</v>
      </c>
      <c r="D34" s="73"/>
      <c r="E34" s="74">
        <f>SUM(E7:E8)-E16-E20-E22-E23-E27-E31-E32-E28</f>
        <v>-1037.4862500000002</v>
      </c>
      <c r="F34" s="74">
        <f t="shared" ref="F34:N34" si="10">SUM(F7:F8)-F16-F20-F22-F23-F27-F31-F32-F28</f>
        <v>1359.0164229374975</v>
      </c>
      <c r="G34" s="74">
        <f t="shared" si="10"/>
        <v>1692.9724876859066</v>
      </c>
      <c r="H34" s="74">
        <f t="shared" si="10"/>
        <v>4243.3876468349981</v>
      </c>
      <c r="I34" s="74">
        <f t="shared" si="10"/>
        <v>4643.3822118267744</v>
      </c>
      <c r="J34" s="74">
        <f t="shared" si="10"/>
        <v>4591.5841671339786</v>
      </c>
      <c r="K34" s="74">
        <f t="shared" si="10"/>
        <v>5719.8648599070175</v>
      </c>
      <c r="L34" s="74">
        <f t="shared" si="10"/>
        <v>6234.0878705277473</v>
      </c>
      <c r="M34" s="74">
        <f t="shared" si="10"/>
        <v>6794.26985900407</v>
      </c>
      <c r="N34" s="74">
        <f t="shared" si="10"/>
        <v>7696.0866176093314</v>
      </c>
    </row>
    <row r="35" spans="2:14" ht="13" x14ac:dyDescent="0.3">
      <c r="C35" s="56" t="s">
        <v>115</v>
      </c>
      <c r="D35" s="34"/>
      <c r="E35" s="37">
        <f>Details!$G$3*E7</f>
        <v>824.3125</v>
      </c>
      <c r="F35" s="37">
        <f>Details!$G$3*F7</f>
        <v>879.73589812499984</v>
      </c>
      <c r="G35" s="37">
        <f>Details!$G$3*G7</f>
        <v>939.40588729378112</v>
      </c>
      <c r="H35" s="37">
        <f>Details!$G$3*H7</f>
        <v>1003.6816699583073</v>
      </c>
      <c r="I35" s="37">
        <f>Details!$G$3*I7</f>
        <v>1072.9547622703076</v>
      </c>
      <c r="J35" s="37">
        <f>Details!$G$3*J7</f>
        <v>1147.6520007795607</v>
      </c>
      <c r="K35" s="37">
        <f>Details!$G$3*K7</f>
        <v>1228.238833746123</v>
      </c>
      <c r="L35" s="37">
        <f>Details!$G$3*L7</f>
        <v>1315.2229242359103</v>
      </c>
      <c r="M35" s="37">
        <f>Details!$G$3*M7</f>
        <v>1409.1580947731763</v>
      </c>
      <c r="N35" s="37">
        <f>Details!$G$3*N7</f>
        <v>1510.6486461776383</v>
      </c>
    </row>
    <row r="36" spans="2:14" ht="13" x14ac:dyDescent="0.3">
      <c r="C36" s="75" t="s">
        <v>116</v>
      </c>
      <c r="D36" s="29"/>
      <c r="E36" s="76">
        <f t="shared" ref="E36:N36" si="11">E34-E35</f>
        <v>-1861.7987500000002</v>
      </c>
      <c r="F36" s="76">
        <f t="shared" si="11"/>
        <v>479.28052481249767</v>
      </c>
      <c r="G36" s="76">
        <f t="shared" si="11"/>
        <v>753.56660039212545</v>
      </c>
      <c r="H36" s="76">
        <f t="shared" si="11"/>
        <v>3239.7059768766908</v>
      </c>
      <c r="I36" s="76">
        <f t="shared" si="11"/>
        <v>3570.4274495564669</v>
      </c>
      <c r="J36" s="76">
        <f t="shared" si="11"/>
        <v>3443.9321663544179</v>
      </c>
      <c r="K36" s="76">
        <f t="shared" si="11"/>
        <v>4491.626026160895</v>
      </c>
      <c r="L36" s="76">
        <f t="shared" si="11"/>
        <v>4918.8649462918365</v>
      </c>
      <c r="M36" s="76">
        <f t="shared" si="11"/>
        <v>5385.1117642308936</v>
      </c>
      <c r="N36" s="76">
        <f t="shared" si="11"/>
        <v>6185.4379714316929</v>
      </c>
    </row>
    <row r="37" spans="2:14" ht="12.5" x14ac:dyDescent="0.25">
      <c r="D37" s="34"/>
    </row>
    <row r="38" spans="2:14" ht="13" x14ac:dyDescent="0.3">
      <c r="C38" s="77" t="s">
        <v>117</v>
      </c>
      <c r="D38" s="104">
        <f>(1+Details!$G$4)^-D2</f>
        <v>1</v>
      </c>
      <c r="E38" s="78">
        <f>(1+Details!$G$4)^-E2</f>
        <v>0.90834771550549553</v>
      </c>
      <c r="F38" s="78">
        <f>(1+Details!$G$4)^-F2</f>
        <v>0.82509557226405261</v>
      </c>
      <c r="G38" s="78">
        <f>(1+Details!$G$4)^-G2</f>
        <v>0.74947367813975163</v>
      </c>
      <c r="H38" s="78">
        <f>(1+Details!$G$4)^-H2</f>
        <v>0.68078270336974434</v>
      </c>
      <c r="I38" s="78">
        <f>(1+Details!$G$4)^-I2</f>
        <v>0.61838741336156267</v>
      </c>
      <c r="J38" s="78">
        <f>(1+Details!$G$4)^-J2</f>
        <v>0.56171079422432801</v>
      </c>
      <c r="K38" s="78">
        <f>(1+Details!$G$4)^-K2</f>
        <v>0.51022871670844583</v>
      </c>
      <c r="L38" s="78">
        <f>(1+Details!$G$4)^-L2</f>
        <v>0.46346508920741741</v>
      </c>
      <c r="M38" s="78">
        <f>(1+Details!$G$4)^-M2</f>
        <v>0.42098745499810825</v>
      </c>
      <c r="N38" s="78">
        <f>(1+Details!$G$4)^-N2</f>
        <v>0.38240299300400427</v>
      </c>
    </row>
    <row r="39" spans="2:14" ht="13" x14ac:dyDescent="0.3">
      <c r="B39" s="101" t="s">
        <v>143</v>
      </c>
      <c r="C39" s="77" t="s">
        <v>117</v>
      </c>
      <c r="D39" s="34"/>
      <c r="E39" s="103">
        <f>EXP(-LN(1+Details!$G$4))</f>
        <v>0.90834771550549553</v>
      </c>
      <c r="F39" s="103">
        <f>EXP(-LN(1+Details!$G$4))</f>
        <v>0.90834771550549553</v>
      </c>
      <c r="G39" s="103">
        <f>EXP(-LN(1+Details!$G$4))</f>
        <v>0.90834771550549553</v>
      </c>
      <c r="H39" s="103">
        <f>EXP(-LN(1+Details!$G$4))</f>
        <v>0.90834771550549553</v>
      </c>
      <c r="I39" s="103">
        <f>EXP(-LN(1+Details!$G$4))</f>
        <v>0.90834771550549553</v>
      </c>
      <c r="J39" s="103">
        <f>EXP(-LN(1+Details!$G$4))</f>
        <v>0.90834771550549553</v>
      </c>
      <c r="K39" s="103">
        <f>EXP(-LN(1+Details!$G$4))</f>
        <v>0.90834771550549553</v>
      </c>
      <c r="L39" s="103">
        <f>EXP(-LN(1+Details!$G$4))</f>
        <v>0.90834771550549553</v>
      </c>
      <c r="M39" s="103">
        <f>EXP(-LN(1+Details!$G$4))</f>
        <v>0.90834771550549553</v>
      </c>
      <c r="N39" s="103">
        <f>EXP(-LN(1+Details!$G$4))</f>
        <v>0.90834771550549553</v>
      </c>
    </row>
    <row r="40" spans="2:14" ht="13" x14ac:dyDescent="0.3">
      <c r="C40" s="106" t="s">
        <v>145</v>
      </c>
      <c r="D40" s="79"/>
      <c r="E40" s="105">
        <f>E39*D38*E7</f>
        <v>7487.6237623762381</v>
      </c>
      <c r="F40" s="105">
        <f t="shared" ref="F40:N40" si="12">F39*E38*F7</f>
        <v>7258.6619430467699</v>
      </c>
      <c r="G40" s="105">
        <f t="shared" si="12"/>
        <v>7040.5998561620718</v>
      </c>
      <c r="H40" s="105">
        <f t="shared" si="12"/>
        <v>6832.89120596876</v>
      </c>
      <c r="I40" s="105">
        <f t="shared" si="12"/>
        <v>6635.0172009430589</v>
      </c>
      <c r="J40" s="105">
        <f t="shared" si="12"/>
        <v>6446.4851685102612</v>
      </c>
      <c r="K40" s="105">
        <f t="shared" si="12"/>
        <v>6266.8272395376243</v>
      </c>
      <c r="L40" s="105">
        <f t="shared" si="12"/>
        <v>6095.5990990863656</v>
      </c>
      <c r="M40" s="105">
        <f t="shared" si="12"/>
        <v>5932.3788000854256</v>
      </c>
      <c r="N40" s="105">
        <f t="shared" si="12"/>
        <v>5776.7656367577583</v>
      </c>
    </row>
    <row r="41" spans="2:14" ht="13" x14ac:dyDescent="0.3">
      <c r="C41" s="107" t="s">
        <v>148</v>
      </c>
      <c r="D41" s="84"/>
      <c r="E41" s="65"/>
      <c r="F41" s="65"/>
      <c r="G41" s="65"/>
      <c r="H41" s="65"/>
      <c r="I41" s="65"/>
      <c r="J41" s="65"/>
      <c r="K41" s="65"/>
      <c r="L41" s="65"/>
      <c r="M41" s="65"/>
      <c r="N41" s="65">
        <f>N8*N38</f>
        <v>111.40986015762442</v>
      </c>
    </row>
    <row r="42" spans="2:14" ht="13" x14ac:dyDescent="0.3">
      <c r="C42" s="108" t="s">
        <v>146</v>
      </c>
      <c r="D42" s="34"/>
      <c r="E42" s="65">
        <f>D38*E27</f>
        <v>66.881250000000023</v>
      </c>
      <c r="F42" s="65">
        <f t="shared" ref="F42:N42" si="13">E38*F27</f>
        <v>45.309345365155615</v>
      </c>
      <c r="G42" s="65">
        <f t="shared" si="13"/>
        <v>44.310099474184909</v>
      </c>
      <c r="H42" s="65">
        <f t="shared" si="13"/>
        <v>43.355706524004432</v>
      </c>
      <c r="I42" s="65">
        <f t="shared" si="13"/>
        <v>42.443930749450807</v>
      </c>
      <c r="J42" s="65">
        <f t="shared" si="13"/>
        <v>41.572648896289856</v>
      </c>
      <c r="K42" s="65">
        <f t="shared" si="13"/>
        <v>40.739844554703858</v>
      </c>
      <c r="L42" s="65">
        <f t="shared" si="13"/>
        <v>39.943602778190034</v>
      </c>
      <c r="M42" s="65">
        <f t="shared" si="13"/>
        <v>39.182104973491178</v>
      </c>
      <c r="N42" s="65">
        <f t="shared" si="13"/>
        <v>38.453624047907056</v>
      </c>
    </row>
    <row r="43" spans="2:14" ht="13" x14ac:dyDescent="0.3">
      <c r="C43" s="80" t="s">
        <v>147</v>
      </c>
      <c r="D43" s="81"/>
      <c r="E43" s="65">
        <f>SUM(E16,E20,E22,E23,E31,E32,E35)*E38</f>
        <v>9118.0329730220728</v>
      </c>
      <c r="F43" s="65">
        <f t="shared" ref="F43:N43" si="14">SUM(F16,F20,F22,F23,F31,F32,F35)*F38</f>
        <v>6822.0530637980974</v>
      </c>
      <c r="G43" s="65">
        <f t="shared" si="14"/>
        <v>6435.572546811718</v>
      </c>
      <c r="H43" s="65">
        <f t="shared" si="14"/>
        <v>4587.9733559323222</v>
      </c>
      <c r="I43" s="65">
        <f t="shared" si="14"/>
        <v>4388.5559582833766</v>
      </c>
      <c r="J43" s="65">
        <f t="shared" si="14"/>
        <v>4105.7095449030776</v>
      </c>
      <c r="K43" s="65">
        <f t="shared" si="14"/>
        <v>3938.0647115439801</v>
      </c>
      <c r="L43" s="65">
        <f t="shared" si="14"/>
        <v>3779.5942376213516</v>
      </c>
      <c r="M43" s="65">
        <f t="shared" si="14"/>
        <v>3629.7233280401206</v>
      </c>
      <c r="N43" s="65">
        <f t="shared" si="14"/>
        <v>3487.9162420424645</v>
      </c>
    </row>
    <row r="44" spans="2:14" ht="13" x14ac:dyDescent="0.3">
      <c r="C44" s="82"/>
      <c r="D44" s="83"/>
    </row>
    <row r="45" spans="2:14" ht="13" x14ac:dyDescent="0.3">
      <c r="C45" s="80" t="str">
        <f>_xlfn.CONCAT("∑",C40)</f>
        <v>∑Discounted Revenue</v>
      </c>
      <c r="D45" s="111">
        <f>SUM(E40:N40)</f>
        <v>65772.849912474339</v>
      </c>
      <c r="G45" s="85"/>
    </row>
    <row r="46" spans="2:14" ht="15.75" customHeight="1" x14ac:dyDescent="0.3">
      <c r="C46" s="80" t="str">
        <f>_xlfn.CONCAT("∑",C41)</f>
        <v>∑Discounted Assets sold</v>
      </c>
      <c r="D46" s="112">
        <f>SUM(E41:N41)</f>
        <v>111.40986015762442</v>
      </c>
    </row>
    <row r="47" spans="2:14" ht="15.75" customHeight="1" x14ac:dyDescent="0.3">
      <c r="C47" s="80" t="s">
        <v>118</v>
      </c>
      <c r="D47" s="113">
        <f>SUM(D11:D12)</f>
        <v>1150</v>
      </c>
    </row>
    <row r="48" spans="2:14" ht="15.75" customHeight="1" x14ac:dyDescent="0.3">
      <c r="C48" s="80" t="str">
        <f t="shared" ref="C48:C49" si="15">_xlfn.CONCAT("∑",C42)</f>
        <v>∑Discounted Working Cap.</v>
      </c>
      <c r="D48" s="112">
        <f>SUM(E42:N42)</f>
        <v>442.19215736337776</v>
      </c>
    </row>
    <row r="49" spans="3:4" ht="15.75" customHeight="1" thickBot="1" x14ac:dyDescent="0.35">
      <c r="C49" s="109" t="str">
        <f t="shared" si="15"/>
        <v>∑Discounted Expenses</v>
      </c>
      <c r="D49" s="114">
        <f>SUM(E43:N43)</f>
        <v>50293.195961998572</v>
      </c>
    </row>
    <row r="50" spans="3:4" ht="15.75" customHeight="1" thickBot="1" x14ac:dyDescent="0.35">
      <c r="C50" s="110" t="s">
        <v>149</v>
      </c>
      <c r="D50" s="114">
        <f>SUM(D45:D46)-SUM(D47:D49)</f>
        <v>13998.871653270013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8"/>
  <sheetViews>
    <sheetView workbookViewId="0">
      <selection activeCell="A17" sqref="A17"/>
    </sheetView>
  </sheetViews>
  <sheetFormatPr defaultColWidth="12.6328125" defaultRowHeight="15.75" customHeight="1" x14ac:dyDescent="0.25"/>
  <sheetData>
    <row r="1" spans="1:1" ht="13" x14ac:dyDescent="0.3">
      <c r="A1" s="56" t="s">
        <v>119</v>
      </c>
    </row>
    <row r="2" spans="1:1" ht="15.75" customHeight="1" x14ac:dyDescent="0.25">
      <c r="A2" s="69" t="s">
        <v>120</v>
      </c>
    </row>
    <row r="3" spans="1:1" ht="15.75" customHeight="1" x14ac:dyDescent="0.25">
      <c r="A3" s="69" t="s">
        <v>121</v>
      </c>
    </row>
    <row r="4" spans="1:1" ht="15.75" customHeight="1" x14ac:dyDescent="0.25">
      <c r="A4" s="69" t="s">
        <v>122</v>
      </c>
    </row>
    <row r="5" spans="1:1" ht="15.75" customHeight="1" x14ac:dyDescent="0.25">
      <c r="A5" s="69" t="s">
        <v>123</v>
      </c>
    </row>
    <row r="6" spans="1:1" ht="15.75" customHeight="1" x14ac:dyDescent="0.25">
      <c r="A6" s="69" t="s">
        <v>124</v>
      </c>
    </row>
    <row r="7" spans="1:1" ht="15.75" customHeight="1" x14ac:dyDescent="0.25">
      <c r="A7" s="69" t="s">
        <v>125</v>
      </c>
    </row>
    <row r="8" spans="1:1" ht="15.75" customHeight="1" x14ac:dyDescent="0.25">
      <c r="A8" s="69" t="s">
        <v>126</v>
      </c>
    </row>
    <row r="9" spans="1:1" ht="15.75" customHeight="1" x14ac:dyDescent="0.25">
      <c r="A9" s="69" t="s">
        <v>127</v>
      </c>
    </row>
    <row r="10" spans="1:1" ht="15.75" customHeight="1" x14ac:dyDescent="0.25">
      <c r="A10" s="100" t="s">
        <v>139</v>
      </c>
    </row>
    <row r="11" spans="1:1" ht="15.75" customHeight="1" x14ac:dyDescent="0.25">
      <c r="A11" s="99" t="s">
        <v>128</v>
      </c>
    </row>
    <row r="12" spans="1:1" ht="15.75" customHeight="1" x14ac:dyDescent="0.25">
      <c r="A12" s="99" t="s">
        <v>140</v>
      </c>
    </row>
    <row r="13" spans="1:1" ht="15.75" customHeight="1" x14ac:dyDescent="0.25">
      <c r="A13" s="69" t="s">
        <v>129</v>
      </c>
    </row>
    <row r="14" spans="1:1" ht="15.75" customHeight="1" x14ac:dyDescent="0.25">
      <c r="A14" s="69" t="s">
        <v>130</v>
      </c>
    </row>
    <row r="15" spans="1:1" ht="15.75" customHeight="1" x14ac:dyDescent="0.25">
      <c r="A15" s="69" t="s">
        <v>131</v>
      </c>
    </row>
    <row r="16" spans="1:1" ht="15.75" customHeight="1" x14ac:dyDescent="0.25">
      <c r="A16" s="69" t="s">
        <v>132</v>
      </c>
    </row>
    <row r="17" spans="1:1" ht="15.75" customHeight="1" x14ac:dyDescent="0.25">
      <c r="A17" s="69" t="s">
        <v>142</v>
      </c>
    </row>
    <row r="18" spans="1:1" ht="15.75" customHeight="1" x14ac:dyDescent="0.25">
      <c r="A18" s="69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52"/>
  <sheetViews>
    <sheetView topLeftCell="B1" workbookViewId="0">
      <pane ySplit="2" topLeftCell="A39" activePane="bottomLeft" state="frozen"/>
      <selection pane="bottomLeft" activeCell="B54" sqref="B54"/>
    </sheetView>
  </sheetViews>
  <sheetFormatPr defaultColWidth="12.6328125" defaultRowHeight="15.75" customHeight="1" x14ac:dyDescent="0.25"/>
  <cols>
    <col min="2" max="2" width="16.1796875" customWidth="1"/>
    <col min="3" max="3" width="25.453125" customWidth="1"/>
  </cols>
  <sheetData>
    <row r="1" spans="1:11" ht="15.75" customHeight="1" x14ac:dyDescent="0.35">
      <c r="A1" s="1"/>
      <c r="B1" s="1"/>
      <c r="C1" s="26" t="s">
        <v>73</v>
      </c>
      <c r="D1" s="52">
        <v>2031</v>
      </c>
      <c r="E1" s="27">
        <f t="shared" ref="E1:K1" si="0">D1+1</f>
        <v>2032</v>
      </c>
      <c r="F1" s="27">
        <f t="shared" si="0"/>
        <v>2033</v>
      </c>
      <c r="G1" s="27">
        <f t="shared" si="0"/>
        <v>2034</v>
      </c>
      <c r="H1" s="27">
        <f t="shared" si="0"/>
        <v>2035</v>
      </c>
      <c r="I1" s="27">
        <f t="shared" si="0"/>
        <v>2036</v>
      </c>
      <c r="J1" s="27">
        <f t="shared" si="0"/>
        <v>2037</v>
      </c>
      <c r="K1" s="27">
        <f t="shared" si="0"/>
        <v>2038</v>
      </c>
    </row>
    <row r="2" spans="1:11" ht="15.75" customHeight="1" x14ac:dyDescent="0.35">
      <c r="A2" s="2"/>
      <c r="C2" s="26" t="s">
        <v>84</v>
      </c>
      <c r="D2" s="5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</row>
    <row r="3" spans="1:11" ht="15.75" customHeight="1" x14ac:dyDescent="0.35">
      <c r="A3" s="2"/>
      <c r="C3" s="3"/>
      <c r="D3" s="54"/>
      <c r="E3" s="55"/>
      <c r="F3" s="55"/>
      <c r="G3" s="55"/>
      <c r="H3" s="55"/>
      <c r="I3" s="55"/>
      <c r="J3" s="55"/>
      <c r="K3" s="55"/>
    </row>
    <row r="4" spans="1:11" ht="15.75" customHeight="1" x14ac:dyDescent="0.35">
      <c r="A4" s="2" t="s">
        <v>85</v>
      </c>
      <c r="C4" s="3" t="s">
        <v>25</v>
      </c>
      <c r="D4" s="54">
        <f>'Subsciption Numbers(10 Years)'!O3*115*(1+Details!$C$3)^(D$2-1)</f>
        <v>7246.8674881562774</v>
      </c>
      <c r="E4" s="55">
        <f>'Subsciption Numbers(10 Years)'!P3*115*(1+Details!$C$3)^(E$2-1)</f>
        <v>7664.5044614987246</v>
      </c>
      <c r="F4" s="55">
        <f>'Subsciption Numbers(10 Years)'!Q3*115*(1+Details!$C$3)^(F$2-1)</f>
        <v>8106.2098536148942</v>
      </c>
      <c r="G4" s="55">
        <f>'Subsciption Numbers(10 Years)'!R3*115*(1+Details!$C$3)^(G$2-1)</f>
        <v>8573.3707274787193</v>
      </c>
      <c r="H4" s="55">
        <f>'Subsciption Numbers(10 Years)'!S3*115*(1+Details!$C$3)^(H$2-1)</f>
        <v>9067.4540825033146</v>
      </c>
      <c r="I4" s="55">
        <f>'Subsciption Numbers(10 Years)'!T3*115*(1+Details!$C$3)^(I$2-1)</f>
        <v>9590.0114612779817</v>
      </c>
      <c r="J4" s="55">
        <f>'Subsciption Numbers(10 Years)'!U3*115*(1+Details!$C$3)^(J$2-1)</f>
        <v>10142.68382179143</v>
      </c>
      <c r="K4" s="55">
        <f>'Subsciption Numbers(10 Years)'!V3*115*(1+Details!$C$3)^(K$2-1)</f>
        <v>10727.20669044127</v>
      </c>
    </row>
    <row r="5" spans="1:11" ht="15.75" customHeight="1" x14ac:dyDescent="0.35">
      <c r="A5" s="2"/>
      <c r="C5" s="3" t="s">
        <v>26</v>
      </c>
      <c r="D5" s="54">
        <f>'Subsciption Numbers(10 Years)'!O4*115*(1+Details!$C$3)^(D$2-1)</f>
        <v>5900.6707855012837</v>
      </c>
      <c r="E5" s="55">
        <f>'Subsciption Numbers(10 Years)'!P4*115*(1+Details!$C$3)^(E$2-1)</f>
        <v>6288.6398896479932</v>
      </c>
      <c r="F5" s="55">
        <f>'Subsciption Numbers(10 Years)'!Q4*115*(1+Details!$C$3)^(F$2-1)</f>
        <v>6702.1179623923472</v>
      </c>
      <c r="G5" s="55">
        <f>'Subsciption Numbers(10 Years)'!R4*115*(1+Details!$C$3)^(G$2-1)</f>
        <v>7142.7822184196439</v>
      </c>
      <c r="H5" s="55">
        <f>'Subsciption Numbers(10 Years)'!S4*115*(1+Details!$C$3)^(H$2-1)</f>
        <v>7612.4201492807342</v>
      </c>
      <c r="I5" s="55">
        <f>'Subsciption Numbers(10 Years)'!T4*115*(1+Details!$C$3)^(I$2-1)</f>
        <v>8112.9367740959424</v>
      </c>
      <c r="J5" s="55">
        <f>'Subsciption Numbers(10 Years)'!U4*115*(1+Details!$C$3)^(J$2-1)</f>
        <v>8646.3623669927492</v>
      </c>
      <c r="K5" s="55">
        <f>'Subsciption Numbers(10 Years)'!V4*115*(1+Details!$C$3)^(K$2-1)</f>
        <v>9214.860692622522</v>
      </c>
    </row>
    <row r="6" spans="1:11" ht="15.75" customHeight="1" x14ac:dyDescent="0.35">
      <c r="A6" s="2"/>
      <c r="C6" s="56" t="s">
        <v>86</v>
      </c>
      <c r="D6" s="54">
        <f>'Subsciption Numbers(10 Years)'!O6*60*(1+Details!$C$3)^(D$2-1)</f>
        <v>665.6685408257764</v>
      </c>
      <c r="E6" s="55">
        <f>'Subsciption Numbers(10 Years)'!P6*60*(1+Details!$C$3)^(E$2-1)</f>
        <v>749.9754615213609</v>
      </c>
      <c r="F6" s="55">
        <f>'Subsciption Numbers(10 Years)'!Q6*60*(1+Details!$C$3)^(F$2-1)</f>
        <v>844.95985372304119</v>
      </c>
      <c r="G6" s="55">
        <f>'Subsciption Numbers(10 Years)'!R6*60*(1+Details!$C$3)^(G$2-1)</f>
        <v>951.97401919706431</v>
      </c>
      <c r="H6" s="55">
        <f>'Subsciption Numbers(10 Years)'!S6*60*(1+Details!$C$3)^(H$2-1)</f>
        <v>1072.5415287283724</v>
      </c>
      <c r="I6" s="55">
        <f>'Subsciption Numbers(10 Years)'!T6*60*(1+Details!$C$3)^(I$2-1)</f>
        <v>1208.3789133418209</v>
      </c>
      <c r="J6" s="55">
        <f>'Subsciption Numbers(10 Years)'!U6*60*(1+Details!$C$3)^(J$2-1)</f>
        <v>1361.4201027165625</v>
      </c>
      <c r="K6" s="55">
        <f>'Subsciption Numbers(10 Years)'!V6*60*(1+Details!$C$3)^(K$2-1)</f>
        <v>1533.8439587256148</v>
      </c>
    </row>
    <row r="7" spans="1:11" ht="15.75" customHeight="1" x14ac:dyDescent="0.35">
      <c r="A7" s="2"/>
      <c r="C7" s="57" t="s">
        <v>87</v>
      </c>
      <c r="D7" s="58">
        <f t="shared" ref="D7:K7" si="1">SUM(D4:D6)</f>
        <v>13813.206814483337</v>
      </c>
      <c r="E7" s="59">
        <f t="shared" si="1"/>
        <v>14703.119812668079</v>
      </c>
      <c r="F7" s="59">
        <f t="shared" si="1"/>
        <v>15653.287669730282</v>
      </c>
      <c r="G7" s="59">
        <f t="shared" si="1"/>
        <v>16668.126965095427</v>
      </c>
      <c r="H7" s="59">
        <f t="shared" si="1"/>
        <v>17752.41576051242</v>
      </c>
      <c r="I7" s="59">
        <f t="shared" si="1"/>
        <v>18911.327148715744</v>
      </c>
      <c r="J7" s="59">
        <f t="shared" si="1"/>
        <v>20150.466291500743</v>
      </c>
      <c r="K7" s="59">
        <f t="shared" si="1"/>
        <v>21475.911341789404</v>
      </c>
    </row>
    <row r="8" spans="1:11" ht="15.75" customHeight="1" x14ac:dyDescent="0.35">
      <c r="A8" s="2"/>
      <c r="C8" s="57" t="s">
        <v>88</v>
      </c>
      <c r="D8" s="60"/>
      <c r="E8" s="61"/>
      <c r="F8" s="61"/>
      <c r="G8" s="61"/>
      <c r="H8" s="61"/>
      <c r="I8" s="61"/>
      <c r="J8" s="61"/>
      <c r="K8" s="61">
        <f>K27</f>
        <v>172.30785653752582</v>
      </c>
    </row>
    <row r="9" spans="1:11" ht="15.75" customHeight="1" x14ac:dyDescent="0.35">
      <c r="A9" s="2"/>
      <c r="C9" s="1"/>
      <c r="D9" s="54"/>
      <c r="E9" s="55"/>
      <c r="F9" s="55"/>
      <c r="G9" s="55"/>
      <c r="H9" s="55"/>
      <c r="I9" s="55"/>
      <c r="J9" s="55"/>
      <c r="K9" s="55"/>
    </row>
    <row r="10" spans="1:11" ht="15.75" customHeight="1" x14ac:dyDescent="0.35">
      <c r="A10" s="2" t="s">
        <v>89</v>
      </c>
      <c r="C10" s="1" t="s">
        <v>79</v>
      </c>
      <c r="D10" s="54"/>
      <c r="E10" s="55"/>
      <c r="F10" s="55"/>
      <c r="G10" s="55"/>
      <c r="H10" s="55"/>
      <c r="I10" s="55"/>
      <c r="J10" s="55"/>
      <c r="K10" s="55"/>
    </row>
    <row r="11" spans="1:11" ht="15.75" customHeight="1" x14ac:dyDescent="0.35">
      <c r="A11" s="1"/>
      <c r="B11" s="1"/>
      <c r="C11" s="1" t="s">
        <v>90</v>
      </c>
      <c r="D11" s="62"/>
      <c r="E11" s="55"/>
      <c r="F11" s="55"/>
      <c r="G11" s="55"/>
      <c r="H11" s="55"/>
      <c r="I11" s="55"/>
      <c r="J11" s="55"/>
      <c r="K11" s="55"/>
    </row>
    <row r="12" spans="1:11" ht="15.75" customHeight="1" x14ac:dyDescent="0.35">
      <c r="A12" s="1"/>
      <c r="B12" s="1"/>
      <c r="C12" s="1" t="s">
        <v>133</v>
      </c>
      <c r="D12" s="62">
        <v>500</v>
      </c>
      <c r="E12" s="55"/>
      <c r="F12" s="55"/>
      <c r="G12" s="55"/>
      <c r="H12" s="55"/>
      <c r="I12" s="55"/>
      <c r="J12" s="55"/>
      <c r="K12" s="55"/>
    </row>
    <row r="13" spans="1:11" ht="15.75" customHeight="1" x14ac:dyDescent="0.35">
      <c r="B13" s="63" t="s">
        <v>92</v>
      </c>
      <c r="C13" s="3" t="s">
        <v>25</v>
      </c>
      <c r="D13" s="64">
        <f>'Subsciption Numbers(10 Years)'!O3*40</f>
        <v>2520.6495610978354</v>
      </c>
      <c r="E13" s="64">
        <f>'Subsciption Numbers(10 Years)'!P3*40</f>
        <v>2626.5168426639452</v>
      </c>
      <c r="F13" s="64">
        <f>'Subsciption Numbers(10 Years)'!Q3*40</f>
        <v>2736.8305500558308</v>
      </c>
      <c r="G13" s="64">
        <f>'Subsciption Numbers(10 Years)'!R3*40</f>
        <v>2851.7774331581759</v>
      </c>
      <c r="H13" s="64">
        <f>'Subsciption Numbers(10 Years)'!S3*40</f>
        <v>2971.5520853508187</v>
      </c>
      <c r="I13" s="64">
        <f>'Subsciption Numbers(10 Years)'!T3*40</f>
        <v>3096.3572729355537</v>
      </c>
      <c r="J13" s="64">
        <f>'Subsciption Numbers(10 Years)'!U3*40</f>
        <v>3226.4042783988471</v>
      </c>
      <c r="K13" s="64">
        <f>'Subsciption Numbers(10 Years)'!V3*40</f>
        <v>3361.9132580915989</v>
      </c>
    </row>
    <row r="14" spans="1:11" ht="15.75" customHeight="1" x14ac:dyDescent="0.35">
      <c r="C14" s="3" t="s">
        <v>26</v>
      </c>
      <c r="D14" s="64">
        <f>'Subsciption Numbers(10 Years)'!O5*50</f>
        <v>3594.6101204591932</v>
      </c>
      <c r="E14" s="64">
        <f>'Subsciption Numbers(10 Years)'!P5*50</f>
        <v>3990.0172337097047</v>
      </c>
      <c r="F14" s="64">
        <f>'Subsciption Numbers(10 Years)'!Q5*50</f>
        <v>4428.9191294177726</v>
      </c>
      <c r="G14" s="64">
        <f>'Subsciption Numbers(10 Years)'!R5*50</f>
        <v>4916.1002336537276</v>
      </c>
      <c r="H14" s="64">
        <f>'Subsciption Numbers(10 Years)'!S5*50</f>
        <v>5456.8712593556384</v>
      </c>
      <c r="I14" s="64">
        <f>'Subsciption Numbers(10 Years)'!T5*50</f>
        <v>6057.1270978847597</v>
      </c>
      <c r="J14" s="64">
        <f>'Subsciption Numbers(10 Years)'!U5*50</f>
        <v>6723.4110786520832</v>
      </c>
      <c r="K14" s="64">
        <f>'Subsciption Numbers(10 Years)'!V5*50</f>
        <v>7462.9862973038125</v>
      </c>
    </row>
    <row r="15" spans="1:11" ht="13" x14ac:dyDescent="0.3">
      <c r="C15" s="56" t="s">
        <v>86</v>
      </c>
      <c r="D15" s="64">
        <f>'Subsciption Numbers(10 Years)'!O6*25</f>
        <v>277.36189201074018</v>
      </c>
      <c r="E15" s="65">
        <f>'Subsciption Numbers(10 Years)'!P6*25</f>
        <v>307.87170013192161</v>
      </c>
      <c r="F15" s="65">
        <f>'Subsciption Numbers(10 Years)'!Q6*25</f>
        <v>341.73758714643299</v>
      </c>
      <c r="G15" s="65">
        <f>'Subsciption Numbers(10 Years)'!R6*25</f>
        <v>379.32872173254066</v>
      </c>
      <c r="H15" s="65">
        <f>'Subsciption Numbers(10 Years)'!S6*25</f>
        <v>421.05488112312014</v>
      </c>
      <c r="I15" s="65">
        <f>'Subsciption Numbers(10 Years)'!T6*25</f>
        <v>467.37091804666341</v>
      </c>
      <c r="J15" s="65">
        <f>'Subsciption Numbers(10 Years)'!U6*25</f>
        <v>518.78171903179646</v>
      </c>
      <c r="K15" s="65">
        <f>'Subsciption Numbers(10 Years)'!V6*25</f>
        <v>575.84770812529416</v>
      </c>
    </row>
    <row r="16" spans="1:11" ht="13" x14ac:dyDescent="0.3">
      <c r="C16" s="66" t="s">
        <v>93</v>
      </c>
      <c r="D16" s="67">
        <f t="shared" ref="D16:K16" si="2">SUM(D13:D15)</f>
        <v>6392.6215735677688</v>
      </c>
      <c r="E16" s="68">
        <f t="shared" si="2"/>
        <v>6924.4057765055713</v>
      </c>
      <c r="F16" s="68">
        <f t="shared" si="2"/>
        <v>7507.4872666200363</v>
      </c>
      <c r="G16" s="68">
        <f t="shared" si="2"/>
        <v>8147.2063885444441</v>
      </c>
      <c r="H16" s="68">
        <f t="shared" si="2"/>
        <v>8849.4782258295782</v>
      </c>
      <c r="I16" s="68">
        <f t="shared" si="2"/>
        <v>9620.8552888669765</v>
      </c>
      <c r="J16" s="68">
        <f t="shared" si="2"/>
        <v>10468.597076082728</v>
      </c>
      <c r="K16" s="68">
        <f t="shared" si="2"/>
        <v>11400.747263520707</v>
      </c>
    </row>
    <row r="17" spans="2:14" ht="13" x14ac:dyDescent="0.3">
      <c r="B17" s="63" t="s">
        <v>94</v>
      </c>
      <c r="C17" s="56" t="s">
        <v>95</v>
      </c>
      <c r="D17" s="64">
        <f>'CF for 10 years'!N17*1.05</f>
        <v>684.13574324652575</v>
      </c>
      <c r="E17" s="65">
        <f t="shared" ref="E17:K17" si="3">D17*(1.05)</f>
        <v>718.3425304088521</v>
      </c>
      <c r="F17" s="65">
        <f t="shared" si="3"/>
        <v>754.25965692929469</v>
      </c>
      <c r="G17" s="65">
        <f t="shared" si="3"/>
        <v>791.97263977575949</v>
      </c>
      <c r="H17" s="65">
        <f t="shared" si="3"/>
        <v>831.57127176454753</v>
      </c>
      <c r="I17" s="65">
        <f t="shared" si="3"/>
        <v>873.14983535277497</v>
      </c>
      <c r="J17" s="65">
        <f t="shared" si="3"/>
        <v>916.80732712041379</v>
      </c>
      <c r="K17" s="65">
        <f t="shared" si="3"/>
        <v>962.64769347643448</v>
      </c>
    </row>
    <row r="18" spans="2:14" ht="13" x14ac:dyDescent="0.3">
      <c r="C18" s="56" t="s">
        <v>96</v>
      </c>
      <c r="D18" s="64">
        <f t="shared" ref="D18:K18" si="4">D17*0.1</f>
        <v>68.413574324652572</v>
      </c>
      <c r="E18" s="65">
        <f t="shared" si="4"/>
        <v>71.834253040885216</v>
      </c>
      <c r="F18" s="65">
        <f t="shared" si="4"/>
        <v>75.425965692929466</v>
      </c>
      <c r="G18" s="65">
        <f t="shared" si="4"/>
        <v>79.197263977575957</v>
      </c>
      <c r="H18" s="65">
        <f t="shared" si="4"/>
        <v>83.157127176454765</v>
      </c>
      <c r="I18" s="65">
        <f t="shared" si="4"/>
        <v>87.314983535277506</v>
      </c>
      <c r="J18" s="65">
        <f t="shared" si="4"/>
        <v>91.68073271204139</v>
      </c>
      <c r="K18" s="65">
        <f t="shared" si="4"/>
        <v>96.264769347643451</v>
      </c>
    </row>
    <row r="19" spans="2:14" ht="13" x14ac:dyDescent="0.3">
      <c r="C19" s="56" t="s">
        <v>97</v>
      </c>
      <c r="D19" s="64">
        <f>'CF for 10 years'!N19*1.1</f>
        <v>103.74969840400007</v>
      </c>
      <c r="E19" s="65">
        <f t="shared" ref="E19:K19" si="5">D19*1.1</f>
        <v>114.12466824440008</v>
      </c>
      <c r="F19" s="65">
        <f t="shared" si="5"/>
        <v>125.5371350688401</v>
      </c>
      <c r="G19" s="65">
        <f t="shared" si="5"/>
        <v>138.09084857572412</v>
      </c>
      <c r="H19" s="65">
        <f t="shared" si="5"/>
        <v>151.89993343329655</v>
      </c>
      <c r="I19" s="65">
        <f t="shared" si="5"/>
        <v>167.08992677662621</v>
      </c>
      <c r="J19" s="65">
        <f t="shared" si="5"/>
        <v>183.79891945428886</v>
      </c>
      <c r="K19" s="65">
        <f t="shared" si="5"/>
        <v>202.17881139971777</v>
      </c>
    </row>
    <row r="20" spans="2:14" ht="13" x14ac:dyDescent="0.3">
      <c r="C20" s="66" t="s">
        <v>98</v>
      </c>
      <c r="D20" s="67">
        <f t="shared" ref="D20:K20" si="6">SUM(D17:D19)</f>
        <v>856.29901597517846</v>
      </c>
      <c r="E20" s="68">
        <f t="shared" si="6"/>
        <v>904.30145169413731</v>
      </c>
      <c r="F20" s="68">
        <f t="shared" si="6"/>
        <v>955.22275769106432</v>
      </c>
      <c r="G20" s="68">
        <f t="shared" si="6"/>
        <v>1009.2607523290596</v>
      </c>
      <c r="H20" s="68">
        <f t="shared" si="6"/>
        <v>1066.6283323742989</v>
      </c>
      <c r="I20" s="68">
        <f t="shared" si="6"/>
        <v>1127.5547456646786</v>
      </c>
      <c r="J20" s="68">
        <f t="shared" si="6"/>
        <v>1192.2869792867441</v>
      </c>
      <c r="K20" s="68">
        <f t="shared" si="6"/>
        <v>1261.0912742237956</v>
      </c>
    </row>
    <row r="21" spans="2:14" ht="13" x14ac:dyDescent="0.3">
      <c r="B21" s="63" t="s">
        <v>99</v>
      </c>
      <c r="C21" s="56" t="s">
        <v>100</v>
      </c>
      <c r="D21" s="64">
        <f>'CF for 10 years'!N21*1.05</f>
        <v>855.16967905815716</v>
      </c>
      <c r="E21" s="65">
        <f t="shared" ref="E21:K21" si="7">D21*(1.05)</f>
        <v>897.92816301106507</v>
      </c>
      <c r="F21" s="65">
        <f t="shared" si="7"/>
        <v>942.82457116161834</v>
      </c>
      <c r="G21" s="65">
        <f t="shared" si="7"/>
        <v>989.96579971969925</v>
      </c>
      <c r="H21" s="65">
        <f t="shared" si="7"/>
        <v>1039.4640897056843</v>
      </c>
      <c r="I21" s="65">
        <f t="shared" si="7"/>
        <v>1091.4372941909685</v>
      </c>
      <c r="J21" s="65">
        <f t="shared" si="7"/>
        <v>1146.0091589005169</v>
      </c>
      <c r="K21" s="65">
        <f t="shared" si="7"/>
        <v>1203.3096168455429</v>
      </c>
    </row>
    <row r="22" spans="2:14" ht="13" x14ac:dyDescent="0.3">
      <c r="C22" s="66" t="s">
        <v>101</v>
      </c>
      <c r="D22" s="68">
        <f t="shared" ref="D22:K22" si="8">D21*1.15</f>
        <v>983.44513091688066</v>
      </c>
      <c r="E22" s="68">
        <f t="shared" si="8"/>
        <v>1032.6173874627248</v>
      </c>
      <c r="F22" s="68">
        <f t="shared" si="8"/>
        <v>1084.248256835861</v>
      </c>
      <c r="G22" s="68">
        <f t="shared" si="8"/>
        <v>1138.4606696776541</v>
      </c>
      <c r="H22" s="68">
        <f t="shared" si="8"/>
        <v>1195.3837031615369</v>
      </c>
      <c r="I22" s="68">
        <f t="shared" si="8"/>
        <v>1255.1528883196136</v>
      </c>
      <c r="J22" s="68">
        <f t="shared" si="8"/>
        <v>1317.9105327355944</v>
      </c>
      <c r="K22" s="68">
        <f t="shared" si="8"/>
        <v>1383.8060593723742</v>
      </c>
    </row>
    <row r="23" spans="2:14" ht="13" x14ac:dyDescent="0.3">
      <c r="B23" s="63" t="s">
        <v>64</v>
      </c>
      <c r="C23" s="66" t="s">
        <v>102</v>
      </c>
      <c r="D23" s="67">
        <f>'CF for 10 years'!N23*1.03</f>
        <v>-40.317491380323666</v>
      </c>
      <c r="E23" s="68">
        <f t="shared" ref="E23:K23" si="9">D23*(1.03)</f>
        <v>-41.527016121733375</v>
      </c>
      <c r="F23" s="68">
        <f t="shared" si="9"/>
        <v>-42.772826605385376</v>
      </c>
      <c r="G23" s="68">
        <f t="shared" si="9"/>
        <v>-44.05601140354694</v>
      </c>
      <c r="H23" s="68">
        <f t="shared" si="9"/>
        <v>-45.377691745653351</v>
      </c>
      <c r="I23" s="68">
        <f t="shared" si="9"/>
        <v>-46.739022498022955</v>
      </c>
      <c r="J23" s="68">
        <f t="shared" si="9"/>
        <v>-48.141193172963646</v>
      </c>
      <c r="K23" s="68">
        <f t="shared" si="9"/>
        <v>-49.585428968152556</v>
      </c>
    </row>
    <row r="24" spans="2:14" ht="14.5" x14ac:dyDescent="0.35">
      <c r="B24" s="63" t="s">
        <v>103</v>
      </c>
      <c r="C24" s="3" t="s">
        <v>58</v>
      </c>
      <c r="D24" s="64">
        <f t="shared" ref="D24:K24" si="10">0.07*D$7</f>
        <v>966.92447701383367</v>
      </c>
      <c r="E24" s="65">
        <f t="shared" si="10"/>
        <v>1029.2183868867658</v>
      </c>
      <c r="F24" s="65">
        <f t="shared" si="10"/>
        <v>1095.7301368811197</v>
      </c>
      <c r="G24" s="65">
        <f t="shared" si="10"/>
        <v>1166.7688875566801</v>
      </c>
      <c r="H24" s="65">
        <f t="shared" si="10"/>
        <v>1242.6691032358694</v>
      </c>
      <c r="I24" s="65">
        <f t="shared" si="10"/>
        <v>1323.7929004101022</v>
      </c>
      <c r="J24" s="65">
        <f t="shared" si="10"/>
        <v>1410.5326404050522</v>
      </c>
      <c r="K24" s="65">
        <f t="shared" si="10"/>
        <v>1503.3137939252583</v>
      </c>
    </row>
    <row r="25" spans="2:14" ht="14.5" x14ac:dyDescent="0.35">
      <c r="C25" s="3" t="s">
        <v>59</v>
      </c>
      <c r="D25" s="64">
        <f t="shared" ref="D25:K25" si="11">0.15*D$7</f>
        <v>2071.9810221725006</v>
      </c>
      <c r="E25" s="65">
        <f t="shared" si="11"/>
        <v>2205.467971900212</v>
      </c>
      <c r="F25" s="65">
        <f t="shared" si="11"/>
        <v>2347.993150459542</v>
      </c>
      <c r="G25" s="65">
        <f t="shared" si="11"/>
        <v>2500.2190447643138</v>
      </c>
      <c r="H25" s="65">
        <f t="shared" si="11"/>
        <v>2662.8623640768628</v>
      </c>
      <c r="I25" s="65">
        <f t="shared" si="11"/>
        <v>2836.6990723073613</v>
      </c>
      <c r="J25" s="65">
        <f t="shared" si="11"/>
        <v>3022.5699437251114</v>
      </c>
      <c r="K25" s="65">
        <f t="shared" si="11"/>
        <v>3221.3867012684104</v>
      </c>
    </row>
    <row r="26" spans="2:14" ht="14.5" x14ac:dyDescent="0.35">
      <c r="C26" s="3" t="s">
        <v>61</v>
      </c>
      <c r="D26" s="64">
        <f t="shared" ref="D26:K26" si="12">0.09*D$7</f>
        <v>1243.1886133035002</v>
      </c>
      <c r="E26" s="65">
        <f t="shared" si="12"/>
        <v>1323.2807831401271</v>
      </c>
      <c r="F26" s="65">
        <f t="shared" si="12"/>
        <v>1408.7958902757252</v>
      </c>
      <c r="G26" s="65">
        <f t="shared" si="12"/>
        <v>1500.1314268585884</v>
      </c>
      <c r="H26" s="65">
        <f t="shared" si="12"/>
        <v>1597.7174184461178</v>
      </c>
      <c r="I26" s="65">
        <f t="shared" si="12"/>
        <v>1702.0194433844169</v>
      </c>
      <c r="J26" s="65">
        <f t="shared" si="12"/>
        <v>1813.5419662350669</v>
      </c>
      <c r="K26" s="65">
        <f t="shared" si="12"/>
        <v>1932.8320207610464</v>
      </c>
    </row>
    <row r="27" spans="2:14" ht="13" x14ac:dyDescent="0.3">
      <c r="B27" s="69" t="s">
        <v>104</v>
      </c>
      <c r="C27" s="66" t="s">
        <v>105</v>
      </c>
      <c r="D27" s="67">
        <f>D24+D25-D26</f>
        <v>1795.7168858828338</v>
      </c>
      <c r="E27" s="67">
        <f>E24+E25-E26-SUM($D$27:D27)</f>
        <v>115.68868976401654</v>
      </c>
      <c r="F27" s="67">
        <f>F24+F25-F26-SUM($D$27:E27)</f>
        <v>123.52182141808635</v>
      </c>
      <c r="G27" s="67">
        <f>G24+G25-G26-SUM($D$27:F27)</f>
        <v>131.92910839746878</v>
      </c>
      <c r="H27" s="67">
        <f>H24+H25-H26-SUM($D$27:G27)</f>
        <v>140.95754340420899</v>
      </c>
      <c r="I27" s="67">
        <f>I24+I25-I26-SUM($D$27:H27)</f>
        <v>150.65848046643214</v>
      </c>
      <c r="J27" s="67">
        <f>J24+J25-J26-SUM($D$27:I27)</f>
        <v>161.08808856204996</v>
      </c>
      <c r="K27" s="67">
        <f>K24+K25-K26-SUM($D$27:J27)</f>
        <v>172.30785653752582</v>
      </c>
      <c r="L27" s="67"/>
      <c r="M27" s="67"/>
      <c r="N27" s="67"/>
    </row>
    <row r="28" spans="2:14" ht="13" x14ac:dyDescent="0.3">
      <c r="B28" s="63" t="s">
        <v>108</v>
      </c>
      <c r="C28" s="56" t="s">
        <v>109</v>
      </c>
      <c r="D28" s="64">
        <f>Details!$I$76</f>
        <v>58.05</v>
      </c>
      <c r="E28" s="65">
        <f>Details!$I$76</f>
        <v>58.05</v>
      </c>
      <c r="F28" s="65">
        <f>Details!$I$76</f>
        <v>58.05</v>
      </c>
      <c r="G28" s="65">
        <f>Details!$I$76</f>
        <v>58.05</v>
      </c>
      <c r="H28" s="65">
        <f>Details!$I$76</f>
        <v>58.05</v>
      </c>
      <c r="I28" s="65">
        <f>Details!$I$76</f>
        <v>58.05</v>
      </c>
      <c r="J28" s="65">
        <f>Details!$I$76</f>
        <v>58.05</v>
      </c>
      <c r="K28" s="65">
        <f>Details!$I$76</f>
        <v>58.05</v>
      </c>
    </row>
    <row r="29" spans="2:14" ht="13" x14ac:dyDescent="0.3">
      <c r="B29" s="63"/>
      <c r="C29" s="56" t="s">
        <v>110</v>
      </c>
      <c r="D29" s="64">
        <f>Details!$I$77</f>
        <v>269.33</v>
      </c>
      <c r="E29" s="65">
        <f>Details!$I$77</f>
        <v>269.33</v>
      </c>
      <c r="F29" s="65">
        <f>Details!$I$77</f>
        <v>269.33</v>
      </c>
      <c r="G29" s="65">
        <f>Details!$I$77</f>
        <v>269.33</v>
      </c>
      <c r="H29" s="65">
        <f>Details!$I$77</f>
        <v>269.33</v>
      </c>
      <c r="I29" s="65">
        <f>Details!$I$77</f>
        <v>269.33</v>
      </c>
      <c r="J29" s="65">
        <f>Details!$I$77</f>
        <v>269.33</v>
      </c>
      <c r="K29" s="65">
        <f>Details!$I$77</f>
        <v>269.33</v>
      </c>
    </row>
    <row r="30" spans="2:14" ht="13" x14ac:dyDescent="0.3">
      <c r="B30" s="63"/>
      <c r="C30" s="66" t="s">
        <v>111</v>
      </c>
      <c r="D30" s="67">
        <f t="shared" ref="D30:K30" si="13">SUM(D28:D29)</f>
        <v>327.38</v>
      </c>
      <c r="E30" s="68">
        <f t="shared" si="13"/>
        <v>327.38</v>
      </c>
      <c r="F30" s="68">
        <f t="shared" si="13"/>
        <v>327.38</v>
      </c>
      <c r="G30" s="68">
        <f t="shared" si="13"/>
        <v>327.38</v>
      </c>
      <c r="H30" s="68">
        <f t="shared" si="13"/>
        <v>327.38</v>
      </c>
      <c r="I30" s="68">
        <f t="shared" si="13"/>
        <v>327.38</v>
      </c>
      <c r="J30" s="68">
        <f t="shared" si="13"/>
        <v>327.38</v>
      </c>
      <c r="K30" s="68">
        <f t="shared" si="13"/>
        <v>327.38</v>
      </c>
    </row>
    <row r="31" spans="2:14" ht="13" x14ac:dyDescent="0.3">
      <c r="B31" s="63" t="s">
        <v>112</v>
      </c>
      <c r="C31" s="70" t="s">
        <v>113</v>
      </c>
      <c r="D31" s="71">
        <f>Details!$B$72*Details!$C$2</f>
        <v>48.64</v>
      </c>
      <c r="E31" s="72">
        <f>Details!$B$72*Details!$C$2</f>
        <v>48.64</v>
      </c>
      <c r="F31" s="72">
        <f>Details!$B$72*Details!$C$2</f>
        <v>48.64</v>
      </c>
      <c r="G31" s="72">
        <f>Details!$B$72*Details!$C$2</f>
        <v>48.64</v>
      </c>
      <c r="H31" s="72">
        <f>Details!$B$72*Details!$C$2</f>
        <v>48.64</v>
      </c>
      <c r="I31" s="72">
        <f>Details!$B$72*Details!$C$2</f>
        <v>48.64</v>
      </c>
      <c r="J31" s="72">
        <f>Details!$B$72*Details!$C$2</f>
        <v>48.64</v>
      </c>
      <c r="K31" s="72">
        <f>Details!$B$72*Details!$C$2</f>
        <v>48.64</v>
      </c>
    </row>
    <row r="32" spans="2:14" ht="12.5" x14ac:dyDescent="0.25">
      <c r="D32" s="34"/>
    </row>
    <row r="33" spans="2:14" ht="13" x14ac:dyDescent="0.3">
      <c r="C33" s="70" t="s">
        <v>114</v>
      </c>
      <c r="D33" s="84">
        <f t="shared" ref="D33:K33" si="14">SUM(D7:D8)-D16-D20-D22-D23-D27-D30-D31-D12</f>
        <v>2949.4216995209995</v>
      </c>
      <c r="E33" s="74">
        <f t="shared" si="14"/>
        <v>5391.6135233633613</v>
      </c>
      <c r="F33" s="74">
        <f t="shared" si="14"/>
        <v>5649.5603937706182</v>
      </c>
      <c r="G33" s="74">
        <f t="shared" si="14"/>
        <v>5909.3060575503468</v>
      </c>
      <c r="H33" s="74">
        <f t="shared" si="14"/>
        <v>6169.3256474884502</v>
      </c>
      <c r="I33" s="74">
        <f t="shared" si="14"/>
        <v>6427.8247678960652</v>
      </c>
      <c r="J33" s="74">
        <f t="shared" si="14"/>
        <v>6682.7048080065897</v>
      </c>
      <c r="K33" s="74">
        <f t="shared" si="14"/>
        <v>7103.8321736406797</v>
      </c>
    </row>
    <row r="34" spans="2:14" ht="13" x14ac:dyDescent="0.3">
      <c r="C34" s="56" t="s">
        <v>115</v>
      </c>
      <c r="D34" s="36">
        <f>Details!$G$3*D7</f>
        <v>1381.3206814483337</v>
      </c>
      <c r="E34" s="37">
        <f>Details!$G$3*E7</f>
        <v>1470.3119812668081</v>
      </c>
      <c r="F34" s="37">
        <f>Details!$G$3*F7</f>
        <v>1565.3287669730282</v>
      </c>
      <c r="G34" s="37">
        <f>Details!$G$3*G7</f>
        <v>1666.8126965095428</v>
      </c>
      <c r="H34" s="37">
        <f>Details!$G$3*H7</f>
        <v>1775.2415760512422</v>
      </c>
      <c r="I34" s="37">
        <f>Details!$G$3*I7</f>
        <v>1891.1327148715745</v>
      </c>
      <c r="J34" s="37">
        <f>Details!$G$3*J7</f>
        <v>2015.0466291500743</v>
      </c>
      <c r="K34" s="37">
        <f>Details!$G$3*K7</f>
        <v>2147.5911341789406</v>
      </c>
    </row>
    <row r="35" spans="2:14" ht="13" x14ac:dyDescent="0.3">
      <c r="C35" s="75" t="s">
        <v>116</v>
      </c>
      <c r="D35" s="79">
        <f t="shared" ref="D35:K35" si="15">D33-D34</f>
        <v>1568.1010180726657</v>
      </c>
      <c r="E35" s="76">
        <f t="shared" si="15"/>
        <v>3921.301542096553</v>
      </c>
      <c r="F35" s="76">
        <f t="shared" si="15"/>
        <v>4084.2316267975903</v>
      </c>
      <c r="G35" s="76">
        <f t="shared" si="15"/>
        <v>4242.4933610408043</v>
      </c>
      <c r="H35" s="76">
        <f t="shared" si="15"/>
        <v>4394.084071437208</v>
      </c>
      <c r="I35" s="76">
        <f t="shared" si="15"/>
        <v>4536.6920530244906</v>
      </c>
      <c r="J35" s="76">
        <f t="shared" si="15"/>
        <v>4667.6581788565154</v>
      </c>
      <c r="K35" s="76">
        <f t="shared" si="15"/>
        <v>4956.2410394617391</v>
      </c>
    </row>
    <row r="36" spans="2:14" ht="12.5" x14ac:dyDescent="0.25">
      <c r="D36" s="34"/>
    </row>
    <row r="37" spans="2:14" ht="13" x14ac:dyDescent="0.3">
      <c r="C37" s="77" t="s">
        <v>117</v>
      </c>
      <c r="D37" s="104">
        <f>(1+Details!$G$4)^-(D2+10)</f>
        <v>0.34735488509765122</v>
      </c>
      <c r="E37" s="104">
        <f>(1+Details!$G$4)^-(E2+10)</f>
        <v>0.31551901634812535</v>
      </c>
      <c r="F37" s="104">
        <f>(1+Details!$G$4)^-(F2+10)</f>
        <v>0.28660097769836074</v>
      </c>
      <c r="G37" s="104">
        <f>(1+Details!$G$4)^-(G2+10)</f>
        <v>0.26033334335394742</v>
      </c>
      <c r="H37" s="104">
        <f>(1+Details!$G$4)^-(H2+10)</f>
        <v>0.2364731977054659</v>
      </c>
      <c r="I37" s="104">
        <f>(1+Details!$G$4)^-(I2+10)</f>
        <v>0.21479988891403934</v>
      </c>
      <c r="J37" s="104">
        <f>(1+Details!$G$4)^-(J2+10)</f>
        <v>0.19511298838590185</v>
      </c>
      <c r="K37" s="104">
        <f>(1+Details!$G$4)^-(K2+10)</f>
        <v>0.17723043726578422</v>
      </c>
      <c r="L37" s="104"/>
      <c r="M37" s="104"/>
      <c r="N37" s="104"/>
    </row>
    <row r="38" spans="2:14" ht="13" x14ac:dyDescent="0.3">
      <c r="B38" s="101" t="s">
        <v>143</v>
      </c>
      <c r="C38" s="77" t="s">
        <v>117</v>
      </c>
      <c r="D38" s="103">
        <f>EXP(-LN(1+Details!$G$4))</f>
        <v>0.90834771550549553</v>
      </c>
      <c r="E38" s="103">
        <f>EXP(-LN(1+Details!$G$4))</f>
        <v>0.90834771550549553</v>
      </c>
      <c r="F38" s="103">
        <f>EXP(-LN(1+Details!$G$4))</f>
        <v>0.90834771550549553</v>
      </c>
      <c r="G38" s="103">
        <f>EXP(-LN(1+Details!$G$4))</f>
        <v>0.90834771550549553</v>
      </c>
      <c r="H38" s="103">
        <f>EXP(-LN(1+Details!$G$4))</f>
        <v>0.90834771550549553</v>
      </c>
      <c r="I38" s="103">
        <f>EXP(-LN(1+Details!$G$4))</f>
        <v>0.90834771550549553</v>
      </c>
      <c r="J38" s="103">
        <f>EXP(-LN(1+Details!$G$4))</f>
        <v>0.90834771550549553</v>
      </c>
      <c r="K38" s="103">
        <f>EXP(-LN(1+Details!$G$4))</f>
        <v>0.90834771550549553</v>
      </c>
      <c r="L38" s="103"/>
      <c r="M38" s="103"/>
      <c r="N38" s="103"/>
    </row>
    <row r="39" spans="2:14" ht="13" x14ac:dyDescent="0.25">
      <c r="C39" s="106" t="s">
        <v>145</v>
      </c>
      <c r="D39" s="116">
        <f>D38*'CF for 10 years'!N38*D7</f>
        <v>4798.0848658749537</v>
      </c>
      <c r="E39" s="105">
        <f>E38*D37*E7</f>
        <v>4639.1139005416662</v>
      </c>
      <c r="F39" s="105">
        <f t="shared" ref="F39:K39" si="16">F38*E37*F7</f>
        <v>4486.2475503383939</v>
      </c>
      <c r="G39" s="105">
        <f t="shared" si="16"/>
        <v>4339.2692202713779</v>
      </c>
      <c r="H39" s="105">
        <f t="shared" si="16"/>
        <v>4197.9705218852832</v>
      </c>
      <c r="I39" s="105">
        <f t="shared" si="16"/>
        <v>4062.1509707611981</v>
      </c>
      <c r="J39" s="105">
        <f t="shared" si="16"/>
        <v>3931.6176955040914</v>
      </c>
      <c r="K39" s="105">
        <f t="shared" si="16"/>
        <v>3806.1851577865509</v>
      </c>
      <c r="L39" s="105"/>
      <c r="M39" s="105"/>
      <c r="N39" s="105"/>
    </row>
    <row r="40" spans="2:14" ht="13" x14ac:dyDescent="0.3">
      <c r="C40" s="107" t="s">
        <v>148</v>
      </c>
      <c r="D40" s="117"/>
      <c r="E40" s="65"/>
      <c r="F40" s="65"/>
      <c r="G40" s="65"/>
      <c r="H40" s="65"/>
      <c r="I40" s="65"/>
      <c r="J40" s="65"/>
      <c r="K40" s="65">
        <f>K37*K8</f>
        <v>30.538196758475717</v>
      </c>
      <c r="L40" s="65"/>
      <c r="M40" s="65"/>
      <c r="N40" s="65"/>
    </row>
    <row r="41" spans="2:14" ht="13" x14ac:dyDescent="0.3">
      <c r="C41" s="108" t="s">
        <v>146</v>
      </c>
      <c r="D41" s="118">
        <f>'CF for 10 years'!N38*D27</f>
        <v>686.68751174942565</v>
      </c>
      <c r="E41" s="65">
        <f>D37*E27</f>
        <v>40.185031540077787</v>
      </c>
      <c r="F41" s="65">
        <f t="shared" ref="F41:K41" si="17">E37*F27</f>
        <v>38.973483591363404</v>
      </c>
      <c r="G41" s="65">
        <f t="shared" si="17"/>
        <v>37.811011453587568</v>
      </c>
      <c r="H41" s="65">
        <f t="shared" si="17"/>
        <v>36.695948545376886</v>
      </c>
      <c r="I41" s="65">
        <f t="shared" si="17"/>
        <v>35.62669263734368</v>
      </c>
      <c r="J41" s="65">
        <f t="shared" si="17"/>
        <v>34.601703528503265</v>
      </c>
      <c r="K41" s="65">
        <f t="shared" si="17"/>
        <v>33.619500811405921</v>
      </c>
      <c r="L41" s="65"/>
      <c r="M41" s="65"/>
      <c r="N41" s="65"/>
    </row>
    <row r="42" spans="2:14" ht="13" x14ac:dyDescent="0.3">
      <c r="C42" s="80" t="s">
        <v>147</v>
      </c>
      <c r="D42" s="118">
        <f>SUM(D16,D20,D22,D23,D30,D31,D34)*D37</f>
        <v>3455.9688418082419</v>
      </c>
      <c r="E42" s="65">
        <f t="shared" ref="E42:K42" si="18">SUM(E16,E20,E22,E23,E30,E31,E34)*E37</f>
        <v>3365.366713578027</v>
      </c>
      <c r="F42" s="65">
        <f t="shared" si="18"/>
        <v>3280.3012981661313</v>
      </c>
      <c r="G42" s="65">
        <f t="shared" si="18"/>
        <v>3200.4611935598805</v>
      </c>
      <c r="H42" s="65">
        <f t="shared" si="18"/>
        <v>3125.5547294963721</v>
      </c>
      <c r="I42" s="65">
        <f t="shared" si="18"/>
        <v>3055.3085968661844</v>
      </c>
      <c r="J42" s="65">
        <f t="shared" si="18"/>
        <v>2989.4665811107852</v>
      </c>
      <c r="K42" s="65">
        <f t="shared" si="18"/>
        <v>2927.7883911681215</v>
      </c>
      <c r="L42" s="65"/>
      <c r="M42" s="65"/>
      <c r="N42" s="65"/>
    </row>
    <row r="43" spans="2:14" ht="13" x14ac:dyDescent="0.3">
      <c r="B43" s="56"/>
      <c r="C43" s="80"/>
      <c r="D43" s="81"/>
    </row>
    <row r="44" spans="2:14" ht="15.75" customHeight="1" x14ac:dyDescent="0.3">
      <c r="C44" s="80" t="str">
        <f>_xlfn.CONCAT("∑",C39)</f>
        <v>∑Discounted Revenue</v>
      </c>
      <c r="D44" s="111">
        <f>SUM(E39:N39)</f>
        <v>29462.555017088562</v>
      </c>
    </row>
    <row r="45" spans="2:14" ht="15.75" customHeight="1" x14ac:dyDescent="0.3">
      <c r="C45" s="80" t="str">
        <f>_xlfn.CONCAT("∑",C40)</f>
        <v>∑Discounted Assets sold</v>
      </c>
      <c r="D45" s="112">
        <f>SUM(E40:N40)</f>
        <v>30.538196758475717</v>
      </c>
    </row>
    <row r="46" spans="2:14" ht="15.75" customHeight="1" x14ac:dyDescent="0.3">
      <c r="C46" s="80" t="s">
        <v>150</v>
      </c>
      <c r="D46" s="113">
        <f>D12*'CF for 10 years'!N38</f>
        <v>191.20149650200213</v>
      </c>
    </row>
    <row r="47" spans="2:14" ht="15.75" customHeight="1" x14ac:dyDescent="0.3">
      <c r="C47" s="80" t="str">
        <f t="shared" ref="C47:C48" si="19">_xlfn.CONCAT("∑",C41)</f>
        <v>∑Discounted Working Cap.</v>
      </c>
      <c r="D47" s="112">
        <f>SUM(E41:N41)</f>
        <v>257.51337210765854</v>
      </c>
    </row>
    <row r="48" spans="2:14" ht="15.75" customHeight="1" thickBot="1" x14ac:dyDescent="0.35">
      <c r="C48" s="109" t="str">
        <f t="shared" si="19"/>
        <v>∑Discounted Expenses</v>
      </c>
      <c r="D48" s="114">
        <f>SUM(E42:N42)</f>
        <v>21944.247503945498</v>
      </c>
    </row>
    <row r="49" spans="2:4" ht="15.75" customHeight="1" thickBot="1" x14ac:dyDescent="0.35">
      <c r="B49" s="101" t="s">
        <v>151</v>
      </c>
      <c r="C49" s="110" t="s">
        <v>149</v>
      </c>
      <c r="D49" s="114">
        <f>SUM(D44:D45)-SUM(D46:D48)</f>
        <v>7100.1308412918806</v>
      </c>
    </row>
    <row r="50" spans="2:4" ht="15.75" customHeight="1" x14ac:dyDescent="0.25">
      <c r="D50" s="115"/>
    </row>
    <row r="51" spans="2:4" ht="15.75" customHeight="1" thickBot="1" x14ac:dyDescent="0.35">
      <c r="C51" s="119" t="s">
        <v>134</v>
      </c>
      <c r="D51" s="114">
        <f>'CF for 10 years'!D50</f>
        <v>13998.871653270013</v>
      </c>
    </row>
    <row r="52" spans="2:4" ht="15.75" customHeight="1" x14ac:dyDescent="0.3">
      <c r="C52" s="110" t="s">
        <v>152</v>
      </c>
      <c r="D52" s="112">
        <f>D49+D51</f>
        <v>21099.002494561893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DDDD-AD44-47A8-9F1F-A8CA7321CD91}">
  <dimension ref="A1:T40"/>
  <sheetViews>
    <sheetView topLeftCell="A23" workbookViewId="0">
      <selection activeCell="B38" sqref="B38"/>
    </sheetView>
  </sheetViews>
  <sheetFormatPr defaultColWidth="8.81640625" defaultRowHeight="12.5" x14ac:dyDescent="0.25"/>
  <cols>
    <col min="1" max="1" width="28.36328125" style="86" bestFit="1" customWidth="1"/>
    <col min="2" max="2" width="11.81640625" style="86" bestFit="1" customWidth="1"/>
    <col min="3" max="15" width="10.81640625" style="86" bestFit="1" customWidth="1"/>
    <col min="16" max="20" width="9.1796875" style="86" bestFit="1" customWidth="1"/>
    <col min="21" max="16384" width="8.81640625" style="86"/>
  </cols>
  <sheetData>
    <row r="1" spans="1:12" x14ac:dyDescent="0.25">
      <c r="A1" s="86" t="s">
        <v>136</v>
      </c>
    </row>
    <row r="2" spans="1:12" x14ac:dyDescent="0.25">
      <c r="C2" s="87" t="s">
        <v>135</v>
      </c>
      <c r="D2" s="88">
        <v>0.19639650381748522</v>
      </c>
    </row>
    <row r="4" spans="1:12" ht="14.5" x14ac:dyDescent="0.35">
      <c r="A4" s="89" t="s">
        <v>84</v>
      </c>
      <c r="B4" s="89">
        <v>0</v>
      </c>
      <c r="C4" s="89">
        <v>1</v>
      </c>
      <c r="D4" s="89">
        <v>2</v>
      </c>
      <c r="E4" s="89">
        <v>3</v>
      </c>
      <c r="F4" s="89">
        <v>4</v>
      </c>
      <c r="G4" s="89">
        <v>5</v>
      </c>
      <c r="H4" s="89">
        <v>6</v>
      </c>
      <c r="I4" s="89">
        <v>7</v>
      </c>
      <c r="J4" s="89">
        <v>8</v>
      </c>
      <c r="K4" s="89">
        <v>9</v>
      </c>
      <c r="L4" s="89">
        <v>10</v>
      </c>
    </row>
    <row r="5" spans="1:12" ht="13" x14ac:dyDescent="0.3">
      <c r="A5" s="121" t="s">
        <v>153</v>
      </c>
      <c r="B5" s="90">
        <f t="shared" ref="B5:L5" si="0">(1+$D$2)^-B4</f>
        <v>1</v>
      </c>
      <c r="C5" s="90">
        <f t="shared" si="0"/>
        <v>0.83584329844594207</v>
      </c>
      <c r="D5" s="90">
        <f t="shared" si="0"/>
        <v>0.69863401955699211</v>
      </c>
      <c r="E5" s="90">
        <f t="shared" si="0"/>
        <v>0.583948563313063</v>
      </c>
      <c r="F5" s="90">
        <f t="shared" si="0"/>
        <v>0.48808949328235962</v>
      </c>
      <c r="G5" s="90">
        <f t="shared" si="0"/>
        <v>0.40796633200193594</v>
      </c>
      <c r="H5" s="90">
        <f t="shared" si="0"/>
        <v>0.34099592459539035</v>
      </c>
      <c r="I5" s="90">
        <f t="shared" si="0"/>
        <v>0.28501915837043484</v>
      </c>
      <c r="J5" s="90">
        <f t="shared" si="0"/>
        <v>0.23823135345263055</v>
      </c>
      <c r="K5" s="90">
        <f t="shared" si="0"/>
        <v>0.19912408026308778</v>
      </c>
      <c r="L5" s="90">
        <f t="shared" si="0"/>
        <v>0.16643652804711381</v>
      </c>
    </row>
    <row r="6" spans="1:12" ht="13" x14ac:dyDescent="0.3">
      <c r="A6" s="121" t="s">
        <v>154</v>
      </c>
      <c r="B6" s="90"/>
      <c r="C6" s="90">
        <f>EXP(-LN(1+$D$2))</f>
        <v>0.83584329844594207</v>
      </c>
      <c r="D6" s="90">
        <f t="shared" ref="D6:L6" si="1">EXP(-LN(1+$D$2))</f>
        <v>0.83584329844594207</v>
      </c>
      <c r="E6" s="90">
        <f t="shared" si="1"/>
        <v>0.83584329844594207</v>
      </c>
      <c r="F6" s="90">
        <f t="shared" si="1"/>
        <v>0.83584329844594207</v>
      </c>
      <c r="G6" s="90">
        <f t="shared" si="1"/>
        <v>0.83584329844594207</v>
      </c>
      <c r="H6" s="90">
        <f t="shared" si="1"/>
        <v>0.83584329844594207</v>
      </c>
      <c r="I6" s="90">
        <f t="shared" si="1"/>
        <v>0.83584329844594207</v>
      </c>
      <c r="J6" s="90">
        <f t="shared" si="1"/>
        <v>0.83584329844594207</v>
      </c>
      <c r="K6" s="90">
        <f t="shared" si="1"/>
        <v>0.83584329844594207</v>
      </c>
      <c r="L6" s="90">
        <f t="shared" si="1"/>
        <v>0.83584329844594207</v>
      </c>
    </row>
    <row r="7" spans="1:12" ht="14.5" x14ac:dyDescent="0.35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1:12" ht="13" x14ac:dyDescent="0.3">
      <c r="A8" s="93" t="str">
        <f>'CF for 10 years'!C40</f>
        <v>Discounted Revenue</v>
      </c>
      <c r="B8" s="90"/>
      <c r="C8" s="128">
        <f>'CF for 10 years'!D$7*IRR!B5*IRR!C6</f>
        <v>6268.824738344566</v>
      </c>
      <c r="D8" s="128">
        <f>'CF for 10 years'!E$7*IRR!C5*IRR!D6</f>
        <v>5758.927552460731</v>
      </c>
      <c r="E8" s="128">
        <f>'CF for 10 years'!F$7*IRR!D5*IRR!E6</f>
        <v>5137.205138050208</v>
      </c>
      <c r="F8" s="128">
        <f>'CF for 10 years'!G$7*IRR!E5*IRR!F6</f>
        <v>4585.1414351568701</v>
      </c>
      <c r="G8" s="128">
        <f>'CF for 10 years'!H$7*IRR!F5*IRR!G6</f>
        <v>4094.6832939046831</v>
      </c>
      <c r="H8" s="128">
        <f>'CF for 10 years'!I$7*IRR!G5*IRR!H6</f>
        <v>3658.7320120939085</v>
      </c>
      <c r="I8" s="128">
        <f>'CF for 10 years'!J$7*IRR!H5*IRR!I6</f>
        <v>3271.0280736433601</v>
      </c>
      <c r="J8" s="128">
        <f>'CF for 10 years'!K$7*IRR!I5*IRR!J6</f>
        <v>2926.0499972641937</v>
      </c>
      <c r="K8" s="128">
        <f>'CF for 10 years'!L$7*IRR!J5*IRR!K6</f>
        <v>2618.925551294044</v>
      </c>
      <c r="L8" s="128">
        <f>'CF for 10 years'!M$7*IRR!K5*IRR!L6</f>
        <v>2345.3538076353316</v>
      </c>
    </row>
    <row r="9" spans="1:12" ht="13" x14ac:dyDescent="0.3">
      <c r="A9" s="93" t="str">
        <f>'CF for 10 years'!C41</f>
        <v>Discounted Assets sold</v>
      </c>
      <c r="B9" s="120"/>
      <c r="C9" s="128">
        <f>C5*'CF for 10 years'!E$41</f>
        <v>0</v>
      </c>
      <c r="D9" s="128">
        <f>D5*'CF for 10 years'!F$41</f>
        <v>0</v>
      </c>
      <c r="E9" s="128">
        <f>E5*'CF for 10 years'!G$41</f>
        <v>0</v>
      </c>
      <c r="F9" s="128">
        <f>F5*'CF for 10 years'!H$41</f>
        <v>0</v>
      </c>
      <c r="G9" s="128">
        <f>G5*'CF for 10 years'!I$41</f>
        <v>0</v>
      </c>
      <c r="H9" s="128">
        <f>H5*'CF for 10 years'!J$41</f>
        <v>0</v>
      </c>
      <c r="I9" s="128">
        <f>I5*'CF for 10 years'!K$41</f>
        <v>0</v>
      </c>
      <c r="J9" s="128">
        <f>J5*'CF for 10 years'!L$41</f>
        <v>0</v>
      </c>
      <c r="K9" s="128">
        <f>K5*'CF for 10 years'!M$41</f>
        <v>0</v>
      </c>
      <c r="L9" s="128">
        <f>L5*'CF for 10 years'!N$41</f>
        <v>18.542670314849484</v>
      </c>
    </row>
    <row r="10" spans="1:12" ht="13" x14ac:dyDescent="0.3">
      <c r="A10" s="93" t="str">
        <f>'CF for 10 years'!C42</f>
        <v>Discounted Working Cap.</v>
      </c>
      <c r="B10" s="120"/>
      <c r="C10" s="128">
        <f>'CF for 10 years'!D$27*IRR!B5</f>
        <v>675</v>
      </c>
      <c r="D10" s="128">
        <f>'CF for 10 years'!E$27*IRR!C5</f>
        <v>55.902244604187679</v>
      </c>
      <c r="E10" s="128">
        <f>'CF for 10 years'!F$27*IRR!D5</f>
        <v>34.848604268618459</v>
      </c>
      <c r="F10" s="128">
        <f>'CF for 10 years'!G$27*IRR!E5</f>
        <v>31.359784003214301</v>
      </c>
      <c r="G10" s="128">
        <f>'CF for 10 years'!H$27*IRR!F5</f>
        <v>28.235100771950147</v>
      </c>
      <c r="H10" s="128">
        <f>'CF for 10 years'!I$27*IRR!G5</f>
        <v>25.434980439262404</v>
      </c>
      <c r="I10" s="128">
        <f>'CF for 10 years'!J$27*IRR!H5</f>
        <v>22.92430851916664</v>
      </c>
      <c r="J10" s="128">
        <f>'CF for 10 years'!K$27*IRR!I5</f>
        <v>20.671912177081552</v>
      </c>
      <c r="K10" s="128">
        <f>'CF for 10 years'!L$27*IRR!J5</f>
        <v>18.650103845605344</v>
      </c>
      <c r="L10" s="128">
        <f>'CF for 10 years'!M$27*IRR!K5</f>
        <v>16.834278993830463</v>
      </c>
    </row>
    <row r="11" spans="1:12" ht="13" x14ac:dyDescent="0.3">
      <c r="A11" s="93" t="str">
        <f>'CF for 10 years'!C43</f>
        <v>Discounted Expenses</v>
      </c>
      <c r="B11" s="122"/>
      <c r="C11" s="128">
        <f>SUM('CF for 10 years'!E$16,'CF for 10 years'!E$20,'CF for 10 years'!E$22,'CF for 10 years'!E$23,'CF for 10 years'!E$31,'CF for 10 years'!E$32,'CF for 10 years'!E$35)*IRR!C5</f>
        <v>8390.2305531405509</v>
      </c>
      <c r="D11" s="128">
        <f>SUM('CF for 10 years'!F$16,'CF for 10 years'!F$20,'CF for 10 years'!F$22,'CF for 10 years'!F$23,'CF for 10 years'!F$31,'CF for 10 years'!F$32,'CF for 10 years'!F$35)*IRR!D5</f>
        <v>5776.4439827427323</v>
      </c>
      <c r="E11" s="128">
        <f>SUM('CF for 10 years'!G$16,'CF for 10 years'!G$20,'CF for 10 years'!G$22,'CF for 10 years'!G$23,'CF for 10 years'!G$31,'CF for 10 years'!G$32,'CF for 10 years'!G$35)*IRR!E5</f>
        <v>5014.2432648674612</v>
      </c>
      <c r="F11" s="128">
        <f>SUM('CF for 10 years'!H$16,'CF for 10 years'!H$20,'CF for 10 years'!H$22,'CF for 10 years'!H$23,'CF for 10 years'!H$31,'CF for 10 years'!H$32,'CF for 10 years'!H$35)*IRR!F5</f>
        <v>3289.3632276579015</v>
      </c>
      <c r="G11" s="128">
        <f>SUM('CF for 10 years'!I$16,'CF for 10 years'!I$20,'CF for 10 years'!I$22,'CF for 10 years'!I$23,'CF for 10 years'!I$31,'CF for 10 years'!I$32,'CF for 10 years'!I$35)*IRR!G5</f>
        <v>2895.245016960424</v>
      </c>
      <c r="H11" s="128">
        <f>SUM('CF for 10 years'!J$16,'CF for 10 years'!J$20,'CF for 10 years'!J$22,'CF for 10 years'!J$23,'CF for 10 years'!J$31,'CF for 10 years'!J$32,'CF for 10 years'!J$35)*IRR!H5</f>
        <v>2492.4395912983296</v>
      </c>
      <c r="I11" s="128">
        <f>SUM('CF for 10 years'!K$16,'CF for 10 years'!K$20,'CF for 10 years'!K$22,'CF for 10 years'!K$23,'CF for 10 years'!K$31,'CF for 10 years'!K$32,'CF for 10 years'!K$35)*IRR!I5</f>
        <v>2199.8446048538431</v>
      </c>
      <c r="J11" s="128">
        <f>SUM('CF for 10 years'!L$16,'CF for 10 years'!L$20,'CF for 10 years'!L$22,'CF for 10 years'!L$23,'CF for 10 years'!L$31,'CF for 10 years'!L$32,'CF for 10 years'!L$35)*IRR!J5</f>
        <v>1942.7954158750636</v>
      </c>
      <c r="K11" s="128">
        <f>SUM('CF for 10 years'!M$16,'CF for 10 years'!M$20,'CF for 10 years'!M$22,'CF for 10 years'!M$23,'CF for 10 years'!M$31,'CF for 10 years'!M$32,'CF for 10 years'!M$35)*IRR!K5</f>
        <v>1716.8333895096966</v>
      </c>
      <c r="L11" s="128">
        <f>SUM('CF for 10 years'!N$16,'CF for 10 years'!N$20,'CF for 10 years'!N$22,'CF for 10 years'!N$23,'CF for 10 years'!N$31,'CF for 10 years'!N$32,'CF for 10 years'!N$35)*IRR!L5</f>
        <v>1518.0756428823393</v>
      </c>
    </row>
    <row r="12" spans="1:12" ht="13" x14ac:dyDescent="0.3">
      <c r="A12" s="121"/>
    </row>
    <row r="15" spans="1:12" ht="13" x14ac:dyDescent="0.3">
      <c r="A15" s="80" t="str">
        <f>_xlfn.CONCAT("∑",A8)</f>
        <v>∑Discounted Revenue</v>
      </c>
      <c r="B15" s="111">
        <f>SUM(C8:L8)</f>
        <v>40664.871599847895</v>
      </c>
    </row>
    <row r="16" spans="1:12" ht="13" x14ac:dyDescent="0.3">
      <c r="A16" s="80" t="str">
        <f>_xlfn.CONCAT("∑",A9)</f>
        <v>∑Discounted Assets sold</v>
      </c>
      <c r="B16" s="112">
        <f>SUM(C9:L9)</f>
        <v>18.542670314849484</v>
      </c>
    </row>
    <row r="17" spans="1:20" ht="13" x14ac:dyDescent="0.3">
      <c r="A17" s="80" t="s">
        <v>118</v>
      </c>
      <c r="B17" s="113">
        <f>'CF for 10 years'!D47</f>
        <v>1150</v>
      </c>
    </row>
    <row r="18" spans="1:20" ht="13" x14ac:dyDescent="0.3">
      <c r="A18" s="80" t="str">
        <f t="shared" ref="A18:A19" si="2">_xlfn.CONCAT("∑",A10)</f>
        <v>∑Discounted Working Cap.</v>
      </c>
      <c r="B18" s="112">
        <f>SUM(C10:L10)</f>
        <v>929.861317622917</v>
      </c>
    </row>
    <row r="19" spans="1:20" ht="13.5" thickBot="1" x14ac:dyDescent="0.35">
      <c r="A19" s="109" t="str">
        <f t="shared" si="2"/>
        <v>∑Discounted Expenses</v>
      </c>
      <c r="B19" s="114">
        <f>SUM(C11:L11)</f>
        <v>35235.514689788339</v>
      </c>
    </row>
    <row r="20" spans="1:20" ht="13.5" thickBot="1" x14ac:dyDescent="0.35">
      <c r="A20" s="110" t="s">
        <v>149</v>
      </c>
      <c r="B20" s="114">
        <f>SUM(B15:B16)-SUM(B17:B19)</f>
        <v>3368.0382627514846</v>
      </c>
    </row>
    <row r="21" spans="1:20" ht="13" x14ac:dyDescent="0.3">
      <c r="A21" s="110"/>
      <c r="B21" s="123"/>
    </row>
    <row r="22" spans="1:20" ht="13" x14ac:dyDescent="0.3">
      <c r="A22" s="92" t="s">
        <v>137</v>
      </c>
      <c r="C22" s="87" t="s">
        <v>135</v>
      </c>
      <c r="D22" s="88">
        <v>0.22505840848705727</v>
      </c>
    </row>
    <row r="24" spans="1:20" ht="14.5" x14ac:dyDescent="0.35">
      <c r="A24" s="89" t="s">
        <v>84</v>
      </c>
      <c r="B24" s="89">
        <v>0</v>
      </c>
      <c r="C24" s="89">
        <v>1</v>
      </c>
      <c r="D24" s="89">
        <f>C24+1</f>
        <v>2</v>
      </c>
      <c r="E24" s="89">
        <f t="shared" ref="E24:T24" si="3">D24+1</f>
        <v>3</v>
      </c>
      <c r="F24" s="89">
        <f t="shared" si="3"/>
        <v>4</v>
      </c>
      <c r="G24" s="89">
        <f t="shared" si="3"/>
        <v>5</v>
      </c>
      <c r="H24" s="89">
        <f t="shared" si="3"/>
        <v>6</v>
      </c>
      <c r="I24" s="89">
        <f t="shared" si="3"/>
        <v>7</v>
      </c>
      <c r="J24" s="89">
        <f t="shared" si="3"/>
        <v>8</v>
      </c>
      <c r="K24" s="89">
        <f t="shared" si="3"/>
        <v>9</v>
      </c>
      <c r="L24" s="89">
        <f t="shared" si="3"/>
        <v>10</v>
      </c>
      <c r="M24" s="89">
        <f t="shared" si="3"/>
        <v>11</v>
      </c>
      <c r="N24" s="89">
        <f t="shared" si="3"/>
        <v>12</v>
      </c>
      <c r="O24" s="89">
        <f t="shared" si="3"/>
        <v>13</v>
      </c>
      <c r="P24" s="89">
        <f t="shared" si="3"/>
        <v>14</v>
      </c>
      <c r="Q24" s="89">
        <f t="shared" si="3"/>
        <v>15</v>
      </c>
      <c r="R24" s="89">
        <f t="shared" si="3"/>
        <v>16</v>
      </c>
      <c r="S24" s="89">
        <f t="shared" si="3"/>
        <v>17</v>
      </c>
      <c r="T24" s="89">
        <f t="shared" si="3"/>
        <v>18</v>
      </c>
    </row>
    <row r="25" spans="1:20" ht="13" x14ac:dyDescent="0.3">
      <c r="A25" s="93" t="s">
        <v>153</v>
      </c>
      <c r="B25" s="90">
        <f>(1+$D$22)^-B24</f>
        <v>1</v>
      </c>
      <c r="C25" s="90">
        <f>(1+$D$22)^-C24</f>
        <v>0.81628760969446057</v>
      </c>
      <c r="D25" s="90">
        <f t="shared" ref="D25:T25" si="4">(1+$D$22)^-D24</f>
        <v>0.66632546174069596</v>
      </c>
      <c r="E25" s="90">
        <f t="shared" si="4"/>
        <v>0.54391321844287044</v>
      </c>
      <c r="F25" s="90">
        <f t="shared" si="4"/>
        <v>0.44398962096395161</v>
      </c>
      <c r="G25" s="90">
        <f t="shared" si="4"/>
        <v>0.36242322642581359</v>
      </c>
      <c r="H25" s="90">
        <f t="shared" si="4"/>
        <v>0.29584158919688164</v>
      </c>
      <c r="I25" s="90">
        <f t="shared" si="4"/>
        <v>0.24149182369373307</v>
      </c>
      <c r="J25" s="90">
        <f t="shared" si="4"/>
        <v>0.19712678352371341</v>
      </c>
      <c r="K25" s="90">
        <f t="shared" si="4"/>
        <v>0.1609121509293294</v>
      </c>
      <c r="L25" s="90">
        <f t="shared" si="4"/>
        <v>0.13135059505289653</v>
      </c>
      <c r="M25" s="90">
        <f t="shared" si="4"/>
        <v>0.10721986326767396</v>
      </c>
      <c r="N25" s="90">
        <f t="shared" si="4"/>
        <v>8.7522245898536466E-2</v>
      </c>
      <c r="O25" s="90">
        <f t="shared" si="4"/>
        <v>7.1443324899607141E-2</v>
      </c>
      <c r="P25" s="90">
        <f t="shared" si="4"/>
        <v>5.831830091092504E-2</v>
      </c>
      <c r="Q25" s="90">
        <f t="shared" si="4"/>
        <v>4.7604506452021286E-2</v>
      </c>
      <c r="R25" s="90">
        <f t="shared" si="4"/>
        <v>3.8858968782404975E-2</v>
      </c>
      <c r="S25" s="90">
        <f t="shared" si="4"/>
        <v>3.1720094742581015E-2</v>
      </c>
      <c r="T25" s="90">
        <f t="shared" si="4"/>
        <v>2.5892720316703279E-2</v>
      </c>
    </row>
    <row r="26" spans="1:20" ht="13" x14ac:dyDescent="0.3">
      <c r="A26" s="93" t="s">
        <v>154</v>
      </c>
      <c r="B26" s="90"/>
      <c r="C26" s="90">
        <f>EXP(-LN(1+$D$22))</f>
        <v>0.81628760969446057</v>
      </c>
      <c r="D26" s="90">
        <f t="shared" ref="D26:T26" si="5">EXP(-LN(1+$D$22))</f>
        <v>0.81628760969446057</v>
      </c>
      <c r="E26" s="90">
        <f t="shared" si="5"/>
        <v>0.81628760969446057</v>
      </c>
      <c r="F26" s="90">
        <f t="shared" si="5"/>
        <v>0.81628760969446057</v>
      </c>
      <c r="G26" s="90">
        <f t="shared" si="5"/>
        <v>0.81628760969446057</v>
      </c>
      <c r="H26" s="90">
        <f t="shared" si="5"/>
        <v>0.81628760969446057</v>
      </c>
      <c r="I26" s="90">
        <f t="shared" si="5"/>
        <v>0.81628760969446057</v>
      </c>
      <c r="J26" s="90">
        <f t="shared" si="5"/>
        <v>0.81628760969446057</v>
      </c>
      <c r="K26" s="90">
        <f t="shared" si="5"/>
        <v>0.81628760969446057</v>
      </c>
      <c r="L26" s="90">
        <f t="shared" si="5"/>
        <v>0.81628760969446057</v>
      </c>
      <c r="M26" s="90">
        <f t="shared" si="5"/>
        <v>0.81628760969446057</v>
      </c>
      <c r="N26" s="90">
        <f t="shared" si="5"/>
        <v>0.81628760969446057</v>
      </c>
      <c r="O26" s="90">
        <f t="shared" si="5"/>
        <v>0.81628760969446057</v>
      </c>
      <c r="P26" s="90">
        <f t="shared" si="5"/>
        <v>0.81628760969446057</v>
      </c>
      <c r="Q26" s="90">
        <f t="shared" si="5"/>
        <v>0.81628760969446057</v>
      </c>
      <c r="R26" s="90">
        <f t="shared" si="5"/>
        <v>0.81628760969446057</v>
      </c>
      <c r="S26" s="90">
        <f t="shared" si="5"/>
        <v>0.81628760969446057</v>
      </c>
      <c r="T26" s="90">
        <f t="shared" si="5"/>
        <v>0.81628760969446057</v>
      </c>
    </row>
    <row r="27" spans="1:20" ht="13" x14ac:dyDescent="0.3">
      <c r="A27" s="93"/>
      <c r="B27" s="90"/>
      <c r="C27" s="90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</row>
    <row r="28" spans="1:20" ht="13" x14ac:dyDescent="0.3">
      <c r="A28" s="93" t="s">
        <v>145</v>
      </c>
      <c r="B28" s="90"/>
      <c r="C28" s="128">
        <f>'CF for 10 years'!D$7*IRR!B25*IRR!C26</f>
        <v>6122.1570727084545</v>
      </c>
      <c r="D28" s="128">
        <f>'CF for 10 years'!E$7*IRR!C25*IRR!D26</f>
        <v>5492.6040718112745</v>
      </c>
      <c r="E28" s="128">
        <f>'CF for 10 years'!F$7*IRR!D25*IRR!E26</f>
        <v>4784.9998372889777</v>
      </c>
      <c r="F28" s="128">
        <f>'CF for 10 years'!G$7*IRR!E25*IRR!F26</f>
        <v>4170.8646383087062</v>
      </c>
      <c r="G28" s="128">
        <f>'CF for 10 years'!H$7*IRR!F25*IRR!G26</f>
        <v>3637.5754913073838</v>
      </c>
      <c r="H28" s="128">
        <f>'CF for 10 years'!I$7*IRR!G25*IRR!H26</f>
        <v>3174.2464200641011</v>
      </c>
      <c r="I28" s="128">
        <f>'CF for 10 years'!J$7*IRR!H25*IRR!I26</f>
        <v>2771.4857463401763</v>
      </c>
      <c r="J28" s="128">
        <f>'CF for 10 years'!K$7*IRR!I25*IRR!J26</f>
        <v>2421.1877069529023</v>
      </c>
      <c r="K28" s="128">
        <f>'CF for 10 years'!L$7*IRR!J25*IRR!K26</f>
        <v>2116.3534969036273</v>
      </c>
      <c r="L28" s="128">
        <f>'CF for 10 years'!M$7*IRR!K25*IRR!L26</f>
        <v>1850.9375427206271</v>
      </c>
      <c r="M28" s="128">
        <f>L25*M26*'CF for +8 years'!D7</f>
        <v>1481.0501459370055</v>
      </c>
      <c r="N28" s="128">
        <f>M25*N26*'CF for +8 years'!E7</f>
        <v>1286.8500677199793</v>
      </c>
      <c r="O28" s="128">
        <f>N25*O26*'CF for +8 years'!F7</f>
        <v>1118.3229167355548</v>
      </c>
      <c r="P28" s="128">
        <f>O25*P26*'CF for +8 years'!G7</f>
        <v>972.05684397193897</v>
      </c>
      <c r="Q28" s="128">
        <f>P25*Q26*'CF for +8 years'!H7</f>
        <v>845.09499061027782</v>
      </c>
      <c r="R28" s="128">
        <f>Q25*R26*'CF for +8 years'!I7</f>
        <v>734.87467130579284</v>
      </c>
      <c r="S28" s="128">
        <f>R25*S26*'CF for +8 years'!J7</f>
        <v>639.17469987358879</v>
      </c>
      <c r="T28" s="128">
        <f>S25*T26*'CF for +8 years'!K7</f>
        <v>556.069765919269</v>
      </c>
    </row>
    <row r="29" spans="1:20" ht="13" x14ac:dyDescent="0.3">
      <c r="A29" s="93" t="s">
        <v>148</v>
      </c>
      <c r="B29" s="124"/>
      <c r="C29" s="128">
        <f>C25*'CF for 10 years'!E$41</f>
        <v>0</v>
      </c>
      <c r="D29" s="128">
        <f>D25*'CF for 10 years'!F$41</f>
        <v>0</v>
      </c>
      <c r="E29" s="128">
        <f>E25*'CF for 10 years'!G$41</f>
        <v>0</v>
      </c>
      <c r="F29" s="128">
        <f>F25*'CF for 10 years'!H$41</f>
        <v>0</v>
      </c>
      <c r="G29" s="128">
        <f>G25*'CF for 10 years'!I$41</f>
        <v>0</v>
      </c>
      <c r="H29" s="128">
        <f>H25*'CF for 10 years'!J$41</f>
        <v>0</v>
      </c>
      <c r="I29" s="128">
        <f>I25*'CF for 10 years'!K$41</f>
        <v>0</v>
      </c>
      <c r="J29" s="128">
        <f>J25*'CF for 10 years'!L$41</f>
        <v>0</v>
      </c>
      <c r="K29" s="128">
        <f>K25*'CF for 10 years'!M$41</f>
        <v>0</v>
      </c>
      <c r="L29" s="128">
        <v>0</v>
      </c>
      <c r="M29" s="128">
        <v>0</v>
      </c>
      <c r="N29" s="128">
        <v>0</v>
      </c>
      <c r="O29" s="128">
        <v>0</v>
      </c>
      <c r="P29" s="128">
        <v>0</v>
      </c>
      <c r="Q29" s="128">
        <v>0</v>
      </c>
      <c r="R29" s="128">
        <v>0</v>
      </c>
      <c r="S29" s="128">
        <v>0</v>
      </c>
      <c r="T29" s="128">
        <f>T25*'CF for +8 years'!K8</f>
        <v>4.4615191376967891</v>
      </c>
    </row>
    <row r="30" spans="1:20" ht="13" x14ac:dyDescent="0.3">
      <c r="A30" s="126" t="s">
        <v>146</v>
      </c>
      <c r="B30" s="124"/>
      <c r="C30" s="128">
        <f>'CF for 10 years'!D$27*IRR!B25</f>
        <v>675</v>
      </c>
      <c r="D30" s="128">
        <f>'CF for 10 years'!E$27*IRR!C25</f>
        <v>54.59433569587766</v>
      </c>
      <c r="E30" s="128">
        <f>'CF for 10 years'!F$27*IRR!D25</f>
        <v>33.237019212191022</v>
      </c>
      <c r="F30" s="128">
        <f>'CF for 10 years'!G$27*IRR!E25</f>
        <v>29.209766267918766</v>
      </c>
      <c r="G30" s="128">
        <f>'CF for 10 years'!H$27*IRR!F25</f>
        <v>25.684002344145931</v>
      </c>
      <c r="H30" s="128">
        <f>'CF for 10 years'!I$27*IRR!G25</f>
        <v>22.595559858187499</v>
      </c>
      <c r="I30" s="128">
        <f>'CF for 10 years'!J$27*IRR!H25</f>
        <v>19.888694774276345</v>
      </c>
      <c r="J30" s="128">
        <f>'CF for 10 years'!K$27*IRR!I25</f>
        <v>17.514955132917635</v>
      </c>
      <c r="K30" s="128">
        <f>'CF for 10 years'!L$27*IRR!J25</f>
        <v>15.43220457838869</v>
      </c>
      <c r="L30" s="128">
        <f>'CF for 10 years'!M$27*IRR!K25</f>
        <v>13.603779305158366</v>
      </c>
      <c r="M30" s="128">
        <f>L25*'CF for +8 years'!D27</f>
        <v>235.86848150724452</v>
      </c>
      <c r="N30" s="128">
        <f>M25*'CF for +8 years'!E27</f>
        <v>12.404125498114206</v>
      </c>
      <c r="O30" s="128">
        <f>N25*'CF for +8 years'!F27</f>
        <v>10.810907227988862</v>
      </c>
      <c r="P30" s="128">
        <f>O25*'CF for +8 years'!G27</f>
        <v>9.425454154955851</v>
      </c>
      <c r="Q30" s="128">
        <f>P25*'CF for +8 years'!H27</f>
        <v>8.2204044319114367</v>
      </c>
      <c r="R30" s="128">
        <f>Q25*'CF for +8 years'!I27</f>
        <v>7.1720226054159912</v>
      </c>
      <c r="S30" s="128">
        <f>R25*'CF for +8 years'!J27</f>
        <v>6.2597170046499873</v>
      </c>
      <c r="T30" s="128">
        <f>S25*'CF for +8 years'!K27</f>
        <v>5.465621534261377</v>
      </c>
    </row>
    <row r="31" spans="1:20" ht="13" x14ac:dyDescent="0.3">
      <c r="A31" s="126" t="s">
        <v>147</v>
      </c>
      <c r="B31" s="125"/>
      <c r="C31" s="128">
        <f>SUM('CF for 10 years'!E$16,'CF for 10 years'!E$20,'CF for 10 years'!E$22,'CF for 10 years'!E$23,'CF for 10 years'!E$31,'CF for 10 years'!E$32,'CF for 10 years'!E$35)*IRR!C25</f>
        <v>8193.9297183364069</v>
      </c>
      <c r="D31" s="128">
        <f>SUM('CF for 10 years'!F$16,'CF for 10 years'!F$20,'CF for 10 years'!F$22,'CF for 10 years'!F$23,'CF for 10 years'!F$31,'CF for 10 years'!F$32,'CF for 10 years'!F$35)*IRR!D25</f>
        <v>5509.3104490688611</v>
      </c>
      <c r="E31" s="128">
        <f>SUM('CF for 10 years'!G$16,'CF for 10 years'!G$20,'CF for 10 years'!G$22,'CF for 10 years'!G$23,'CF for 10 years'!G$31,'CF for 10 years'!G$32,'CF for 10 years'!G$35)*IRR!E25</f>
        <v>4670.4681946231558</v>
      </c>
      <c r="F31" s="128">
        <f>SUM('CF for 10 years'!H$16,'CF for 10 years'!H$20,'CF for 10 years'!H$22,'CF for 10 years'!H$23,'CF for 10 years'!H$31,'CF for 10 years'!H$32,'CF for 10 years'!H$35)*IRR!F25</f>
        <v>2992.1626110802722</v>
      </c>
      <c r="G31" s="128">
        <f>SUM('CF for 10 years'!I$16,'CF for 10 years'!I$20,'CF for 10 years'!I$22,'CF for 10 years'!I$23,'CF for 10 years'!I$31,'CF for 10 years'!I$32,'CF for 10 years'!I$35)*IRR!G25</f>
        <v>2572.0358716637356</v>
      </c>
      <c r="H31" s="128">
        <f>SUM('CF for 10 years'!J$16,'CF for 10 years'!J$20,'CF for 10 years'!J$22,'CF for 10 years'!J$23,'CF for 10 years'!J$31,'CF for 10 years'!J$32,'CF for 10 years'!J$35)*IRR!H25</f>
        <v>2162.3932618603849</v>
      </c>
      <c r="I31" s="128">
        <f>SUM('CF for 10 years'!K$16,'CF for 10 years'!K$20,'CF for 10 years'!K$22,'CF for 10 years'!K$23,'CF for 10 years'!K$31,'CF for 10 years'!K$32,'CF for 10 years'!K$35)*IRR!I25</f>
        <v>1863.8904433874029</v>
      </c>
      <c r="J31" s="128">
        <f>SUM('CF for 10 years'!L$16,'CF for 10 years'!L$20,'CF for 10 years'!L$22,'CF for 10 years'!L$23,'CF for 10 years'!L$31,'CF for 10 years'!L$32,'CF for 10 years'!L$35)*IRR!J25</f>
        <v>1607.5844166843337</v>
      </c>
      <c r="K31" s="128">
        <f>SUM('CF for 10 years'!M$16,'CF for 10 years'!M$20,'CF for 10 years'!M$22,'CF for 10 years'!M$23,'CF for 10 years'!M$31,'CF for 10 years'!M$32,'CF for 10 years'!M$35)*IRR!K25</f>
        <v>1387.3729040118885</v>
      </c>
      <c r="L31" s="128">
        <f>SUM('CF for 10 years'!N$16,'CF for 10 years'!N$20,'CF for 10 years'!N$22,'CF for 10 years'!N$23,'CF for 10 years'!N$31,'CF for 10 years'!N$32,'CF for 10 years'!N$35)*IRR!L25</f>
        <v>1198.0551467130988</v>
      </c>
      <c r="M31" s="128">
        <f>M25*SUM('CF for +8 years'!D16,'CF for +8 years'!D20,'CF for +8 years'!D22,'CF for +8 years'!D23,'CF for +8 years'!D30,'CF for +8 years'!D31,'CF for +8 years'!D34)</f>
        <v>1066.7721185837063</v>
      </c>
      <c r="N31" s="128">
        <f>N25*SUM('CF for +8 years'!E16,'CF for +8 years'!E20,'CF for +8 years'!E22,'CF for +8 years'!E23,'CF for +8 years'!E30,'CF for +8 years'!E31,'CF for +8 years'!E34)</f>
        <v>933.52361595708828</v>
      </c>
      <c r="O31" s="128">
        <f>O25*SUM('CF for +8 years'!F16,'CF for +8 years'!F20,'CF for +8 years'!F22,'CF for +8 years'!F23,'CF for +8 years'!F30,'CF for +8 years'!F31,'CF for +8 years'!F34)</f>
        <v>817.70702003723989</v>
      </c>
      <c r="P31" s="128">
        <f>P25*SUM('CF for +8 years'!G16,'CF for +8 years'!G20,'CF for +8 years'!G22,'CF for +8 years'!G23,'CF for +8 years'!G30,'CF for +8 years'!G31,'CF for +8 years'!G34)</f>
        <v>716.94795808772574</v>
      </c>
      <c r="Q31" s="128">
        <f>Q25*SUM('CF for +8 years'!H16,'CF for +8 years'!H20,'CF for +8 years'!H22,'CF for +8 years'!H23,'CF for +8 years'!H30,'CF for +8 years'!H31,'CF for +8 years'!H34)</f>
        <v>629.20657279637453</v>
      </c>
      <c r="R31" s="128">
        <f>R25*SUM('CF for +8 years'!I16,'CF for +8 years'!I20,'CF for +8 years'!I22,'CF for +8 years'!I23,'CF for +8 years'!I30,'CF for +8 years'!I31,'CF for +8 years'!I34)</f>
        <v>552.72906325267968</v>
      </c>
      <c r="S31" s="128">
        <f>S25*SUM('CF for +8 years'!J16,'CF for +8 years'!J20,'CF for +8 years'!J22,'CF for +8 years'!J23,'CF for +8 years'!J30,'CF for +8 years'!J31,'CF for +8 years'!J34)</f>
        <v>486.00641078318728</v>
      </c>
      <c r="T31" s="128">
        <f>T25*SUM('CF for +8 years'!K16,'CF for +8 years'!K20,'CF for +8 years'!K22,'CF for +8 years'!K23,'CF for +8 years'!K30,'CF for +8 years'!K31,'CF for +8 years'!K34)</f>
        <v>427.7392028623193</v>
      </c>
    </row>
    <row r="35" spans="1:2" ht="13" x14ac:dyDescent="0.3">
      <c r="A35" s="94" t="s">
        <v>155</v>
      </c>
      <c r="B35" s="112">
        <f>SUM(C28:T28)</f>
        <v>44175.906126479626</v>
      </c>
    </row>
    <row r="36" spans="1:2" ht="13" x14ac:dyDescent="0.3">
      <c r="A36" s="94" t="s">
        <v>156</v>
      </c>
      <c r="B36" s="112">
        <f>T29</f>
        <v>4.4615191376967891</v>
      </c>
    </row>
    <row r="37" spans="1:2" ht="13" x14ac:dyDescent="0.3">
      <c r="A37" s="94" t="s">
        <v>118</v>
      </c>
      <c r="B37" s="112">
        <f>'CF for 10 years'!D47+'CF for +8 years'!D12*IRR!L25</f>
        <v>1215.6752975264483</v>
      </c>
    </row>
    <row r="38" spans="1:2" ht="13" x14ac:dyDescent="0.3">
      <c r="A38" s="94" t="s">
        <v>157</v>
      </c>
      <c r="B38" s="112">
        <f>SUM(C30:T30)</f>
        <v>1202.387051133604</v>
      </c>
    </row>
    <row r="39" spans="1:2" ht="13.5" thickBot="1" x14ac:dyDescent="0.35">
      <c r="A39" s="127" t="s">
        <v>158</v>
      </c>
      <c r="B39" s="114">
        <f>SUM(C31:T31)</f>
        <v>37787.834979789855</v>
      </c>
    </row>
    <row r="40" spans="1:2" ht="13" x14ac:dyDescent="0.3">
      <c r="A40" s="94" t="s">
        <v>149</v>
      </c>
      <c r="B40" s="112">
        <f>SUM(B35:B36)-SUM(B37:B39)</f>
        <v>3974.4703171674118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3CB8-64FB-4A21-8AC1-520FDE094A85}">
  <dimension ref="A1:N50"/>
  <sheetViews>
    <sheetView topLeftCell="D11" workbookViewId="0">
      <selection activeCell="O27" sqref="O27"/>
    </sheetView>
  </sheetViews>
  <sheetFormatPr defaultColWidth="12.6328125" defaultRowHeight="12.5" x14ac:dyDescent="0.25"/>
  <cols>
    <col min="2" max="2" width="13.6328125" customWidth="1"/>
    <col min="3" max="3" width="25.453125" customWidth="1"/>
  </cols>
  <sheetData>
    <row r="1" spans="1:14" ht="15.75" customHeight="1" x14ac:dyDescent="0.35">
      <c r="A1" s="1"/>
      <c r="B1" s="1"/>
      <c r="C1" s="26" t="s">
        <v>73</v>
      </c>
      <c r="D1" s="52">
        <v>2020</v>
      </c>
      <c r="E1" s="27">
        <v>2021</v>
      </c>
      <c r="F1" s="27">
        <v>2022</v>
      </c>
      <c r="G1" s="27">
        <v>2023</v>
      </c>
      <c r="H1" s="27">
        <v>2024</v>
      </c>
      <c r="I1" s="27">
        <v>2025</v>
      </c>
      <c r="J1" s="27">
        <v>2026</v>
      </c>
      <c r="K1" s="27">
        <v>2027</v>
      </c>
      <c r="L1" s="27">
        <v>2028</v>
      </c>
      <c r="M1" s="27">
        <v>2029</v>
      </c>
      <c r="N1" s="27">
        <v>2030</v>
      </c>
    </row>
    <row r="2" spans="1:14" ht="15.75" customHeight="1" x14ac:dyDescent="0.35">
      <c r="A2" s="2"/>
      <c r="C2" s="26" t="s">
        <v>84</v>
      </c>
      <c r="D2" s="5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</row>
    <row r="3" spans="1:14" ht="15.75" customHeight="1" x14ac:dyDescent="0.35">
      <c r="A3" s="2"/>
      <c r="C3" s="3"/>
      <c r="D3" s="54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ht="15.75" customHeight="1" x14ac:dyDescent="0.35">
      <c r="A4" s="2" t="s">
        <v>85</v>
      </c>
      <c r="C4" s="3" t="s">
        <v>25</v>
      </c>
      <c r="D4" s="54">
        <f>'Subsciption Numbers(10 Years)'!D3*Details!$B$23*(1+Details!$C$3)^D$2</f>
        <v>4500</v>
      </c>
      <c r="E4" s="55">
        <f>'Subsciption Numbers(10 Years)'!E3*Details!$B$23*(1+Details!$C$3)^E$2</f>
        <v>4704.5249999999996</v>
      </c>
      <c r="F4" s="55">
        <f>'Subsciption Numbers(10 Years)'!F3*Details!$B$23*(1+Details!$C$3)^F$2</f>
        <v>4918.3456612499986</v>
      </c>
      <c r="G4" s="55">
        <f>'Subsciption Numbers(10 Years)'!G3*Details!$B$23*(1+Details!$C$3)^G$2</f>
        <v>5141.8844715538116</v>
      </c>
      <c r="H4" s="55">
        <f>'Subsciption Numbers(10 Years)'!H3*Details!$B$23*(1+Details!$C$3)^H$2</f>
        <v>5375.583120785931</v>
      </c>
      <c r="I4" s="55">
        <f>'Subsciption Numbers(10 Years)'!I3*Details!$B$23*(1+Details!$C$3)^I$2</f>
        <v>5619.9033736256506</v>
      </c>
      <c r="J4" s="55">
        <f>'Subsciption Numbers(10 Years)'!J3*Details!$B$23*(1+Details!$C$3)^J$2</f>
        <v>5875.3279819569352</v>
      </c>
      <c r="K4" s="55">
        <f>'Subsciption Numbers(10 Years)'!K3*Details!$B$23*(1+Details!$C$3)^K$2</f>
        <v>6142.3616387368775</v>
      </c>
      <c r="L4" s="55">
        <f>'Subsciption Numbers(10 Years)'!L3*Details!$B$23*(1+Details!$C$3)^L$2</f>
        <v>6421.5319752174682</v>
      </c>
      <c r="M4" s="55">
        <f>'Subsciption Numbers(10 Years)'!M3*Details!$B$23*(1+Details!$C$3)^M$2</f>
        <v>6713.3906034911015</v>
      </c>
      <c r="N4" s="55">
        <f>'Subsciption Numbers(10 Years)'!N3*Details!$B$23*(1+Details!$C$3)^N$2</f>
        <v>7018.5142064197707</v>
      </c>
    </row>
    <row r="5" spans="1:14" ht="15.75" customHeight="1" x14ac:dyDescent="0.35">
      <c r="A5" s="2"/>
      <c r="C5" s="3" t="s">
        <v>26</v>
      </c>
      <c r="D5" s="54">
        <f>'Subsciption Numbers(10 Years)'!D5*Details!$B$23*(1+Details!$C$3)^D$2</f>
        <v>3000</v>
      </c>
      <c r="E5" s="55">
        <f>'Subsciption Numbers(10 Years)'!E5*Details!$B$23*(1+Details!$C$3)^E$2</f>
        <v>3288.6000000000004</v>
      </c>
      <c r="F5" s="55">
        <f>'Subsciption Numbers(10 Years)'!F5*Details!$B$23*(1+Details!$C$3)^F$2</f>
        <v>3604.9633200000003</v>
      </c>
      <c r="G5" s="55">
        <f>'Subsciption Numbers(10 Years)'!G5*Details!$B$23*(1+Details!$C$3)^G$2</f>
        <v>3951.7607913839997</v>
      </c>
      <c r="H5" s="55">
        <f>'Subsciption Numbers(10 Years)'!H5*Details!$B$23*(1+Details!$C$3)^H$2</f>
        <v>4331.9201795151403</v>
      </c>
      <c r="I5" s="55">
        <f>'Subsciption Numbers(10 Years)'!I5*Details!$B$23*(1+Details!$C$3)^I$2</f>
        <v>4748.6509007844961</v>
      </c>
      <c r="J5" s="55">
        <f>'Subsciption Numbers(10 Years)'!J5*Details!$B$23*(1+Details!$C$3)^J$2</f>
        <v>5205.4711174399636</v>
      </c>
      <c r="K5" s="55">
        <f>'Subsciption Numbers(10 Years)'!K5*Details!$B$23*(1+Details!$C$3)^K$2</f>
        <v>5706.2374389376882</v>
      </c>
      <c r="L5" s="55">
        <f>'Subsciption Numbers(10 Years)'!L5*Details!$B$23*(1+Details!$C$3)^L$2</f>
        <v>6255.1774805634932</v>
      </c>
      <c r="M5" s="55">
        <f>'Subsciption Numbers(10 Years)'!M5*Details!$B$23*(1+Details!$C$3)^M$2</f>
        <v>6856.9255541937018</v>
      </c>
      <c r="N5" s="55">
        <f>'Subsciption Numbers(10 Years)'!N5*Details!$B$23*(1+Details!$C$3)^N$2</f>
        <v>7516.5617925071356</v>
      </c>
    </row>
    <row r="6" spans="1:14" ht="15.75" customHeight="1" x14ac:dyDescent="0.35">
      <c r="A6" s="2"/>
      <c r="C6" s="56" t="s">
        <v>86</v>
      </c>
      <c r="D6" s="54">
        <v>0</v>
      </c>
      <c r="E6" s="55">
        <f>'Subsciption Numbers(10 Years)'!E6*Details!$B$29*(1+Details!$C$3)^(E$2-1)</f>
        <v>250</v>
      </c>
      <c r="F6" s="55">
        <f>'Subsciption Numbers(10 Years)'!F6*Details!$B$29*(1+Details!$C$3)^(F$2-1)</f>
        <v>274.04999999999995</v>
      </c>
      <c r="G6" s="55">
        <f>'Subsciption Numbers(10 Years)'!G6*Details!$B$29*(1+Details!$C$3)^(G$2-1)</f>
        <v>300.41360999999995</v>
      </c>
      <c r="H6" s="55">
        <f>'Subsciption Numbers(10 Years)'!H6*Details!$B$29*(1+Details!$C$3)^(H$2-1)</f>
        <v>329.31339928199992</v>
      </c>
      <c r="I6" s="55">
        <f>'Subsciption Numbers(10 Years)'!I6*Details!$B$29*(1+Details!$C$3)^(I$2-1)</f>
        <v>360.99334829292832</v>
      </c>
      <c r="J6" s="55">
        <f>'Subsciption Numbers(10 Years)'!J6*Details!$B$29*(1+Details!$C$3)^(J$2-1)</f>
        <v>395.72090839870793</v>
      </c>
      <c r="K6" s="55">
        <f>'Subsciption Numbers(10 Years)'!K6*Details!$B$29*(1+Details!$C$3)^(K$2-1)</f>
        <v>433.78925978666365</v>
      </c>
      <c r="L6" s="55">
        <f>'Subsciption Numbers(10 Years)'!L6*Details!$B$29*(1+Details!$C$3)^(L$2-1)</f>
        <v>475.51978657814067</v>
      </c>
      <c r="M6" s="55">
        <f>'Subsciption Numbers(10 Years)'!M6*Details!$B$29*(1+Details!$C$3)^(M$2-1)</f>
        <v>521.26479004695784</v>
      </c>
      <c r="N6" s="55">
        <f>'Subsciption Numbers(10 Years)'!N6*Details!$B$29*(1+Details!$C$3)^(N$2-1)</f>
        <v>571.41046284947504</v>
      </c>
    </row>
    <row r="7" spans="1:14" ht="15.75" customHeight="1" x14ac:dyDescent="0.35">
      <c r="A7" s="2"/>
      <c r="B7" s="101" t="s">
        <v>144</v>
      </c>
      <c r="C7" s="57" t="s">
        <v>87</v>
      </c>
      <c r="D7" s="58">
        <f>SUM(D4:D6)*0.95</f>
        <v>7125</v>
      </c>
      <c r="E7" s="58">
        <f t="shared" ref="E7:N7" si="0">SUM(E4:E6)*0.95</f>
        <v>7830.96875</v>
      </c>
      <c r="F7" s="58">
        <f t="shared" si="0"/>
        <v>8357.4910321874977</v>
      </c>
      <c r="G7" s="58">
        <f t="shared" si="0"/>
        <v>8924.3559292909194</v>
      </c>
      <c r="H7" s="58">
        <f t="shared" si="0"/>
        <v>9534.975864603919</v>
      </c>
      <c r="I7" s="58">
        <f t="shared" si="0"/>
        <v>10193.070241567921</v>
      </c>
      <c r="J7" s="58">
        <f t="shared" si="0"/>
        <v>10902.694007405826</v>
      </c>
      <c r="K7" s="58">
        <f t="shared" si="0"/>
        <v>11668.268920588167</v>
      </c>
      <c r="L7" s="58">
        <f t="shared" si="0"/>
        <v>12494.617780241148</v>
      </c>
      <c r="M7" s="58">
        <f t="shared" si="0"/>
        <v>13387.001900345173</v>
      </c>
      <c r="N7" s="58">
        <f t="shared" si="0"/>
        <v>14351.162138687561</v>
      </c>
    </row>
    <row r="8" spans="1:14" ht="15.75" customHeight="1" x14ac:dyDescent="0.35">
      <c r="A8" s="2"/>
      <c r="C8" s="57" t="s">
        <v>88</v>
      </c>
      <c r="D8" s="60"/>
      <c r="E8" s="61"/>
      <c r="F8" s="61"/>
      <c r="G8" s="61"/>
      <c r="H8" s="61"/>
      <c r="I8" s="61"/>
      <c r="J8" s="61"/>
      <c r="K8" s="61"/>
      <c r="L8" s="61"/>
      <c r="M8" s="61"/>
      <c r="N8" s="59">
        <f>Details!B11+N27</f>
        <v>286.77442145081523</v>
      </c>
    </row>
    <row r="9" spans="1:14" ht="15.75" customHeight="1" x14ac:dyDescent="0.35">
      <c r="A9" s="2"/>
      <c r="C9" s="1"/>
      <c r="D9" s="54"/>
      <c r="E9" s="55"/>
      <c r="F9" s="55"/>
      <c r="G9" s="55"/>
      <c r="H9" s="55"/>
      <c r="I9" s="55"/>
      <c r="J9" s="55"/>
      <c r="K9" s="55"/>
      <c r="L9" s="55"/>
      <c r="M9" s="55"/>
      <c r="N9" s="55"/>
    </row>
    <row r="10" spans="1:14" ht="15.75" customHeight="1" x14ac:dyDescent="0.35">
      <c r="A10" s="2" t="s">
        <v>89</v>
      </c>
      <c r="C10" s="1" t="s">
        <v>79</v>
      </c>
      <c r="D10" s="54"/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4" ht="15.75" customHeight="1" x14ac:dyDescent="0.35">
      <c r="A11" s="1"/>
      <c r="B11" s="1"/>
      <c r="C11" s="1" t="s">
        <v>90</v>
      </c>
      <c r="D11" s="62">
        <f>Details!B7</f>
        <v>150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1:14" ht="15.75" customHeight="1" x14ac:dyDescent="0.35">
      <c r="A12" s="1"/>
      <c r="B12" s="1"/>
      <c r="C12" s="1" t="s">
        <v>91</v>
      </c>
      <c r="D12" s="62">
        <f>Details!B10</f>
        <v>1000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4" ht="15.75" customHeight="1" x14ac:dyDescent="0.35">
      <c r="B13" s="63" t="s">
        <v>92</v>
      </c>
      <c r="C13" s="3" t="s">
        <v>25</v>
      </c>
      <c r="D13" s="64">
        <f>'Subsciption Numbers(10 Years)'!D3*Details!$B$25</f>
        <v>1620</v>
      </c>
      <c r="E13" s="65">
        <f>'Subsciption Numbers(10 Years)'!E3*Details!$B$25</f>
        <v>1668.6000000000001</v>
      </c>
      <c r="F13" s="65">
        <f>'Subsciption Numbers(10 Years)'!F3*Details!$B$25</f>
        <v>1718.6580000000001</v>
      </c>
      <c r="G13" s="65">
        <f>'Subsciption Numbers(10 Years)'!G3*Details!$B$25</f>
        <v>1770.21774</v>
      </c>
      <c r="H13" s="65">
        <f>'Subsciption Numbers(10 Years)'!H3*Details!$B$25</f>
        <v>1823.3242722000002</v>
      </c>
      <c r="I13" s="65">
        <f>'Subsciption Numbers(10 Years)'!I3*Details!$B$25</f>
        <v>1878.0240003660001</v>
      </c>
      <c r="J13" s="65">
        <f>'Subsciption Numbers(10 Years)'!J3*Details!$B$25</f>
        <v>1934.3647203769804</v>
      </c>
      <c r="K13" s="65">
        <f>'Subsciption Numbers(10 Years)'!K3*Details!$B$25</f>
        <v>1992.3956619882897</v>
      </c>
      <c r="L13" s="65">
        <f>'Subsciption Numbers(10 Years)'!L3*Details!$B$25</f>
        <v>2052.1675318479383</v>
      </c>
      <c r="M13" s="65">
        <f>'Subsciption Numbers(10 Years)'!M3*Details!$B$25</f>
        <v>2113.7325578033765</v>
      </c>
      <c r="N13" s="65">
        <f>'Subsciption Numbers(10 Years)'!N3*Details!$B$25</f>
        <v>2177.1445345374777</v>
      </c>
    </row>
    <row r="14" spans="1:14" ht="15.75" customHeight="1" x14ac:dyDescent="0.35">
      <c r="C14" s="3" t="s">
        <v>26</v>
      </c>
      <c r="D14" s="64">
        <f>'Subsciption Numbers(10 Years)'!D5*Details!$B$26</f>
        <v>1440</v>
      </c>
      <c r="E14" s="65">
        <f>'Subsciption Numbers(10 Years)'!E5*Details!$B$26</f>
        <v>1555.2000000000003</v>
      </c>
      <c r="F14" s="65">
        <f>'Subsciption Numbers(10 Years)'!F5*Details!$B$26</f>
        <v>1679.6160000000004</v>
      </c>
      <c r="G14" s="65">
        <f>'Subsciption Numbers(10 Years)'!G5*Details!$B$26</f>
        <v>1813.9852800000006</v>
      </c>
      <c r="H14" s="65">
        <f>'Subsciption Numbers(10 Years)'!H5*Details!$B$26</f>
        <v>1959.1041024000006</v>
      </c>
      <c r="I14" s="65">
        <f>'Subsciption Numbers(10 Years)'!I5*Details!$B$26</f>
        <v>2115.8324305920009</v>
      </c>
      <c r="J14" s="65">
        <f>'Subsciption Numbers(10 Years)'!J5*Details!$B$26</f>
        <v>2285.0990250393611</v>
      </c>
      <c r="K14" s="65">
        <f>'Subsciption Numbers(10 Years)'!K5*Details!$B$26</f>
        <v>2467.9069470425102</v>
      </c>
      <c r="L14" s="65">
        <f>'Subsciption Numbers(10 Years)'!L5*Details!$B$26</f>
        <v>2665.3395028059113</v>
      </c>
      <c r="M14" s="65">
        <f>'Subsciption Numbers(10 Years)'!M5*Details!$B$26</f>
        <v>2878.566663030384</v>
      </c>
      <c r="N14" s="65">
        <f>'Subsciption Numbers(10 Years)'!N5*Details!$B$26</f>
        <v>3108.8519960728154</v>
      </c>
    </row>
    <row r="15" spans="1:14" ht="13" x14ac:dyDescent="0.3">
      <c r="C15" s="56" t="s">
        <v>86</v>
      </c>
      <c r="D15" s="64">
        <v>0</v>
      </c>
      <c r="E15" s="65">
        <f>'Subsciption Numbers(10 Years)'!E6*Details!$B$32</f>
        <v>120</v>
      </c>
      <c r="F15" s="65">
        <f>'Subsciption Numbers(10 Years)'!F6*Details!$B$32</f>
        <v>129.60000000000002</v>
      </c>
      <c r="G15" s="65">
        <f>'Subsciption Numbers(10 Years)'!G6*Details!$B$32</f>
        <v>139.96800000000002</v>
      </c>
      <c r="H15" s="65">
        <f>'Subsciption Numbers(10 Years)'!H6*Details!$B$32</f>
        <v>151.16544000000002</v>
      </c>
      <c r="I15" s="65">
        <f>'Subsciption Numbers(10 Years)'!I6*Details!$B$32</f>
        <v>163.25867520000003</v>
      </c>
      <c r="J15" s="65">
        <f>'Subsciption Numbers(10 Years)'!J6*Details!$B$32</f>
        <v>176.31936921600004</v>
      </c>
      <c r="K15" s="65">
        <f>'Subsciption Numbers(10 Years)'!K6*Details!$B$32</f>
        <v>190.42491875328008</v>
      </c>
      <c r="L15" s="65">
        <f>'Subsciption Numbers(10 Years)'!L6*Details!$B$32</f>
        <v>205.6589122535425</v>
      </c>
      <c r="M15" s="65">
        <f>'Subsciption Numbers(10 Years)'!M6*Details!$B$32</f>
        <v>222.11162523382595</v>
      </c>
      <c r="N15" s="65">
        <f>'Subsciption Numbers(10 Years)'!N6*Details!$B$32</f>
        <v>239.88055525253202</v>
      </c>
    </row>
    <row r="16" spans="1:14" ht="13" x14ac:dyDescent="0.3">
      <c r="C16" s="66" t="s">
        <v>93</v>
      </c>
      <c r="D16" s="67">
        <f>SUM(D13:D15)*1.05</f>
        <v>3213</v>
      </c>
      <c r="E16" s="67">
        <f t="shared" ref="E16:N16" si="1">SUM(E13:E15)*1.05</f>
        <v>3510.9900000000002</v>
      </c>
      <c r="F16" s="67">
        <f t="shared" si="1"/>
        <v>3704.2677000000003</v>
      </c>
      <c r="G16" s="67">
        <f t="shared" si="1"/>
        <v>3910.3795710000009</v>
      </c>
      <c r="H16" s="67">
        <f t="shared" si="1"/>
        <v>4130.2735053300012</v>
      </c>
      <c r="I16" s="67">
        <f t="shared" si="1"/>
        <v>4364.9708614659012</v>
      </c>
      <c r="J16" s="67">
        <f t="shared" si="1"/>
        <v>4615.5722703639585</v>
      </c>
      <c r="K16" s="67">
        <f t="shared" si="1"/>
        <v>4883.2639041732846</v>
      </c>
      <c r="L16" s="67">
        <f t="shared" si="1"/>
        <v>5169.3242442527617</v>
      </c>
      <c r="M16" s="67">
        <f t="shared" si="1"/>
        <v>5475.1313883709654</v>
      </c>
      <c r="N16" s="67">
        <f t="shared" si="1"/>
        <v>5802.1709401559665</v>
      </c>
    </row>
    <row r="17" spans="2:14" ht="13" x14ac:dyDescent="0.3">
      <c r="B17" s="63" t="s">
        <v>94</v>
      </c>
      <c r="C17" s="56" t="s">
        <v>95</v>
      </c>
      <c r="D17" s="64">
        <f>Details!B44</f>
        <v>400</v>
      </c>
      <c r="E17" s="65">
        <f t="shared" ref="E17:N17" si="2">D17*(1.05)</f>
        <v>420</v>
      </c>
      <c r="F17" s="65">
        <f t="shared" si="2"/>
        <v>441</v>
      </c>
      <c r="G17" s="65">
        <f t="shared" si="2"/>
        <v>463.05</v>
      </c>
      <c r="H17" s="65">
        <f t="shared" si="2"/>
        <v>486.20250000000004</v>
      </c>
      <c r="I17" s="65">
        <f t="shared" si="2"/>
        <v>510.51262500000007</v>
      </c>
      <c r="J17" s="65">
        <f t="shared" si="2"/>
        <v>536.03825625000013</v>
      </c>
      <c r="K17" s="65">
        <f t="shared" si="2"/>
        <v>562.84016906250019</v>
      </c>
      <c r="L17" s="65">
        <f t="shared" si="2"/>
        <v>590.98217751562527</v>
      </c>
      <c r="M17" s="65">
        <f t="shared" si="2"/>
        <v>620.53128639140652</v>
      </c>
      <c r="N17" s="65">
        <f t="shared" si="2"/>
        <v>651.55785071097682</v>
      </c>
    </row>
    <row r="18" spans="2:14" ht="13" x14ac:dyDescent="0.3">
      <c r="C18" s="56" t="s">
        <v>96</v>
      </c>
      <c r="D18" s="64">
        <v>0</v>
      </c>
      <c r="E18" s="65">
        <f t="shared" ref="E18:N18" si="3">E17*0.1</f>
        <v>42</v>
      </c>
      <c r="F18" s="65">
        <f t="shared" si="3"/>
        <v>44.1</v>
      </c>
      <c r="G18" s="65">
        <f t="shared" si="3"/>
        <v>46.305000000000007</v>
      </c>
      <c r="H18" s="65">
        <f t="shared" si="3"/>
        <v>48.620250000000006</v>
      </c>
      <c r="I18" s="65">
        <f t="shared" si="3"/>
        <v>51.051262500000007</v>
      </c>
      <c r="J18" s="65">
        <f t="shared" si="3"/>
        <v>53.603825625000013</v>
      </c>
      <c r="K18" s="65">
        <f t="shared" si="3"/>
        <v>56.284016906250024</v>
      </c>
      <c r="L18" s="65">
        <f t="shared" si="3"/>
        <v>59.09821775156253</v>
      </c>
      <c r="M18" s="65">
        <f t="shared" si="3"/>
        <v>62.053128639140652</v>
      </c>
      <c r="N18" s="65">
        <f t="shared" si="3"/>
        <v>65.155785071097682</v>
      </c>
    </row>
    <row r="19" spans="2:14" ht="13" x14ac:dyDescent="0.3">
      <c r="C19" s="56" t="s">
        <v>97</v>
      </c>
      <c r="D19" s="64">
        <v>0</v>
      </c>
      <c r="E19" s="65">
        <f>Details!B46</f>
        <v>40</v>
      </c>
      <c r="F19" s="65">
        <f t="shared" ref="F19:N19" si="4">E19*1.1</f>
        <v>44</v>
      </c>
      <c r="G19" s="65">
        <f t="shared" si="4"/>
        <v>48.400000000000006</v>
      </c>
      <c r="H19" s="65">
        <f t="shared" si="4"/>
        <v>53.240000000000009</v>
      </c>
      <c r="I19" s="65">
        <f t="shared" si="4"/>
        <v>58.564000000000014</v>
      </c>
      <c r="J19" s="65">
        <f t="shared" si="4"/>
        <v>64.420400000000015</v>
      </c>
      <c r="K19" s="65">
        <f t="shared" si="4"/>
        <v>70.862440000000021</v>
      </c>
      <c r="L19" s="65">
        <f t="shared" si="4"/>
        <v>77.948684000000029</v>
      </c>
      <c r="M19" s="65">
        <f t="shared" si="4"/>
        <v>85.743552400000041</v>
      </c>
      <c r="N19" s="65">
        <f t="shared" si="4"/>
        <v>94.317907640000058</v>
      </c>
    </row>
    <row r="20" spans="2:14" ht="13" x14ac:dyDescent="0.3">
      <c r="C20" s="66" t="s">
        <v>98</v>
      </c>
      <c r="D20" s="67">
        <f t="shared" ref="D20" si="5">SUM(D17:D19)</f>
        <v>400</v>
      </c>
      <c r="E20" s="68">
        <f>SUM(E17:E19)*1.05</f>
        <v>527.1</v>
      </c>
      <c r="F20" s="68">
        <f t="shared" ref="F20:N20" si="6">SUM(F17:F19)*1.05</f>
        <v>555.55500000000006</v>
      </c>
      <c r="G20" s="68">
        <f t="shared" si="6"/>
        <v>585.64274999999998</v>
      </c>
      <c r="H20" s="68">
        <f t="shared" si="6"/>
        <v>617.46588750000012</v>
      </c>
      <c r="I20" s="68">
        <f t="shared" si="6"/>
        <v>651.13428187500006</v>
      </c>
      <c r="J20" s="68">
        <f t="shared" si="6"/>
        <v>686.76560596875015</v>
      </c>
      <c r="K20" s="68">
        <f t="shared" si="6"/>
        <v>724.48595726718781</v>
      </c>
      <c r="L20" s="68">
        <f t="shared" si="6"/>
        <v>764.43053323054733</v>
      </c>
      <c r="M20" s="68">
        <f t="shared" si="6"/>
        <v>806.74436580207464</v>
      </c>
      <c r="N20" s="68">
        <f t="shared" si="6"/>
        <v>851.58312059317836</v>
      </c>
    </row>
    <row r="21" spans="2:14" ht="13" x14ac:dyDescent="0.3">
      <c r="B21" s="63" t="s">
        <v>99</v>
      </c>
      <c r="C21" s="56" t="s">
        <v>100</v>
      </c>
      <c r="D21" s="64">
        <f>Details!B50</f>
        <v>500</v>
      </c>
      <c r="E21" s="65">
        <f t="shared" ref="E21:N21" si="7">D21*(1.05)</f>
        <v>525</v>
      </c>
      <c r="F21" s="65">
        <f t="shared" si="7"/>
        <v>551.25</v>
      </c>
      <c r="G21" s="65">
        <f t="shared" si="7"/>
        <v>578.8125</v>
      </c>
      <c r="H21" s="65">
        <f t="shared" si="7"/>
        <v>607.75312500000007</v>
      </c>
      <c r="I21" s="65">
        <f t="shared" si="7"/>
        <v>638.14078125000015</v>
      </c>
      <c r="J21" s="65">
        <f t="shared" si="7"/>
        <v>670.04782031250022</v>
      </c>
      <c r="K21" s="65">
        <f t="shared" si="7"/>
        <v>703.55021132812522</v>
      </c>
      <c r="L21" s="65">
        <f t="shared" si="7"/>
        <v>738.72772189453156</v>
      </c>
      <c r="M21" s="65">
        <f t="shared" si="7"/>
        <v>775.66410798925813</v>
      </c>
      <c r="N21" s="65">
        <f t="shared" si="7"/>
        <v>814.44731338872111</v>
      </c>
    </row>
    <row r="22" spans="2:14" ht="13" x14ac:dyDescent="0.3">
      <c r="C22" s="66" t="s">
        <v>101</v>
      </c>
      <c r="D22" s="67">
        <f>Details!B50</f>
        <v>500</v>
      </c>
      <c r="E22" s="68">
        <f t="shared" ref="E22:N22" si="8">E21*1.15</f>
        <v>603.75</v>
      </c>
      <c r="F22" s="68">
        <f t="shared" si="8"/>
        <v>633.9375</v>
      </c>
      <c r="G22" s="68">
        <f t="shared" si="8"/>
        <v>665.63437499999998</v>
      </c>
      <c r="H22" s="68">
        <f t="shared" si="8"/>
        <v>698.91609375000007</v>
      </c>
      <c r="I22" s="68">
        <f t="shared" si="8"/>
        <v>733.86189843750014</v>
      </c>
      <c r="J22" s="68">
        <f t="shared" si="8"/>
        <v>770.5549933593752</v>
      </c>
      <c r="K22" s="68">
        <f t="shared" si="8"/>
        <v>809.08274302734389</v>
      </c>
      <c r="L22" s="68">
        <f t="shared" si="8"/>
        <v>849.53688017871127</v>
      </c>
      <c r="M22" s="68">
        <f t="shared" si="8"/>
        <v>892.01372418764674</v>
      </c>
      <c r="N22" s="68">
        <f t="shared" si="8"/>
        <v>936.61441039702925</v>
      </c>
    </row>
    <row r="23" spans="2:14" ht="13" x14ac:dyDescent="0.3">
      <c r="B23" s="63" t="s">
        <v>64</v>
      </c>
      <c r="C23" s="66" t="s">
        <v>102</v>
      </c>
      <c r="D23" s="67">
        <v>0</v>
      </c>
      <c r="E23" s="68">
        <f>-Details!B64</f>
        <v>-30</v>
      </c>
      <c r="F23" s="68">
        <f t="shared" ref="F23:N23" si="9">E23*(1.03)</f>
        <v>-30.900000000000002</v>
      </c>
      <c r="G23" s="68">
        <f t="shared" si="9"/>
        <v>-31.827000000000002</v>
      </c>
      <c r="H23" s="68">
        <f t="shared" si="9"/>
        <v>-32.78181</v>
      </c>
      <c r="I23" s="68">
        <f t="shared" si="9"/>
        <v>-33.765264299999998</v>
      </c>
      <c r="J23" s="68">
        <f t="shared" si="9"/>
        <v>-34.778222229000001</v>
      </c>
      <c r="K23" s="68">
        <f t="shared" si="9"/>
        <v>-35.821568895870001</v>
      </c>
      <c r="L23" s="68">
        <f t="shared" si="9"/>
        <v>-36.896215962746105</v>
      </c>
      <c r="M23" s="68">
        <f t="shared" si="9"/>
        <v>-38.003102441628492</v>
      </c>
      <c r="N23" s="68">
        <f t="shared" si="9"/>
        <v>-39.143195514877348</v>
      </c>
    </row>
    <row r="24" spans="2:14" ht="14.5" x14ac:dyDescent="0.35">
      <c r="B24" s="63" t="s">
        <v>103</v>
      </c>
      <c r="C24" s="3" t="s">
        <v>58</v>
      </c>
      <c r="D24" s="64">
        <f>Details!$B57*D$7</f>
        <v>356.25</v>
      </c>
      <c r="E24" s="65">
        <f>Details!$B57*E$7</f>
        <v>391.54843750000003</v>
      </c>
      <c r="F24" s="65">
        <f>Details!$B57*F$7</f>
        <v>417.87455160937492</v>
      </c>
      <c r="G24" s="65">
        <f>Details!$B57*G$7</f>
        <v>446.21779646454598</v>
      </c>
      <c r="H24" s="65">
        <f>Details!$B57*H$7</f>
        <v>476.74879323019599</v>
      </c>
      <c r="I24" s="65">
        <f>Details!$B57*I$7</f>
        <v>509.65351207839603</v>
      </c>
      <c r="J24" s="65">
        <f>Details!$B57*J$7</f>
        <v>545.13470037029128</v>
      </c>
      <c r="K24" s="65">
        <f>Details!$B57*K$7</f>
        <v>583.41344602940842</v>
      </c>
      <c r="L24" s="65">
        <f>Details!$B57*L$7</f>
        <v>624.73088901205745</v>
      </c>
      <c r="M24" s="65">
        <f>Details!$B57*M$7</f>
        <v>669.3500950172587</v>
      </c>
      <c r="N24" s="65">
        <f>Details!$B57*N$7</f>
        <v>717.55810693437809</v>
      </c>
    </row>
    <row r="25" spans="2:14" ht="14.5" x14ac:dyDescent="0.35">
      <c r="C25" s="3" t="s">
        <v>59</v>
      </c>
      <c r="D25" s="64">
        <f>Details!$B58*D$7</f>
        <v>712.5</v>
      </c>
      <c r="E25" s="65">
        <f>Details!$B58*E$7</f>
        <v>783.09687500000007</v>
      </c>
      <c r="F25" s="65">
        <f>Details!$B58*F$7</f>
        <v>835.74910321874984</v>
      </c>
      <c r="G25" s="65">
        <f>Details!$B58*G$7</f>
        <v>892.43559292909197</v>
      </c>
      <c r="H25" s="65">
        <f>Details!$B58*H$7</f>
        <v>953.49758646039197</v>
      </c>
      <c r="I25" s="65">
        <f>Details!$B58*I$7</f>
        <v>1019.3070241567921</v>
      </c>
      <c r="J25" s="65">
        <f>Details!$B58*J$7</f>
        <v>1090.2694007405826</v>
      </c>
      <c r="K25" s="65">
        <f>Details!$B58*K$7</f>
        <v>1166.8268920588168</v>
      </c>
      <c r="L25" s="65">
        <f>Details!$B58*L$7</f>
        <v>1249.4617780241149</v>
      </c>
      <c r="M25" s="65">
        <f>Details!$B58*M$7</f>
        <v>1338.7001900345174</v>
      </c>
      <c r="N25" s="65">
        <f>Details!$B58*N$7</f>
        <v>1435.1162138687562</v>
      </c>
    </row>
    <row r="26" spans="2:14" ht="14.5" x14ac:dyDescent="0.35">
      <c r="C26" s="3" t="s">
        <v>61</v>
      </c>
      <c r="D26" s="64">
        <f>Details!$B59*D$7</f>
        <v>427.5</v>
      </c>
      <c r="E26" s="65">
        <f>Details!$B59*E$7</f>
        <v>469.85812499999997</v>
      </c>
      <c r="F26" s="65">
        <f>Details!$B59*F$7</f>
        <v>501.44946193124986</v>
      </c>
      <c r="G26" s="65">
        <f>Details!$B59*G$7</f>
        <v>535.46135575745518</v>
      </c>
      <c r="H26" s="65">
        <f>Details!$B59*H$7</f>
        <v>572.09855187623509</v>
      </c>
      <c r="I26" s="65">
        <f>Details!$B59*I$7</f>
        <v>611.58421449407524</v>
      </c>
      <c r="J26" s="65">
        <f>Details!$B59*J$7</f>
        <v>654.16164044434947</v>
      </c>
      <c r="K26" s="65">
        <f>Details!$B59*K$7</f>
        <v>700.09613523529003</v>
      </c>
      <c r="L26" s="65">
        <f>Details!$B59*L$7</f>
        <v>749.67706681446884</v>
      </c>
      <c r="M26" s="65">
        <f>Details!$B59*M$7</f>
        <v>803.2201140207103</v>
      </c>
      <c r="N26" s="65">
        <f>Details!$B59*N$7</f>
        <v>861.06972832125359</v>
      </c>
    </row>
    <row r="27" spans="2:14" ht="13" x14ac:dyDescent="0.3">
      <c r="B27" s="102" t="s">
        <v>104</v>
      </c>
      <c r="C27" s="66" t="s">
        <v>105</v>
      </c>
      <c r="D27" s="67">
        <f>D24+D25-D26</f>
        <v>641.25</v>
      </c>
      <c r="E27" s="67">
        <f>E24+E25-E26-SUM($D$27:D27)</f>
        <v>63.537187500000073</v>
      </c>
      <c r="F27" s="67">
        <f>F24+F25-F26-SUM($D$27:E27)</f>
        <v>47.38700539687477</v>
      </c>
      <c r="G27" s="67">
        <f>G24+G25-G26-SUM($D$27:F27)</f>
        <v>51.017840739307985</v>
      </c>
      <c r="H27" s="67">
        <f>H24+H25-H26-SUM($D$27:G27)</f>
        <v>54.955794178169981</v>
      </c>
      <c r="I27" s="67">
        <f>I24+I25-I26-SUM($D$27:H27)</f>
        <v>59.228493926760052</v>
      </c>
      <c r="J27" s="67">
        <f>J24+J25-J26-SUM($D$27:I27)</f>
        <v>63.866138925411519</v>
      </c>
      <c r="K27" s="67">
        <f>K24+K25-K26-SUM($D$27:J27)</f>
        <v>68.901742186410615</v>
      </c>
      <c r="L27" s="67">
        <f>L24+L25-L26-SUM($D$27:K27)</f>
        <v>74.371397368768385</v>
      </c>
      <c r="M27" s="67">
        <f>M24+M25-M26-SUM($D$27:L27)</f>
        <v>80.314570809362294</v>
      </c>
      <c r="N27" s="67">
        <f>N24+N25-N26-SUM($D$27:M27)</f>
        <v>86.774421450815225</v>
      </c>
    </row>
    <row r="28" spans="2:14" ht="13" x14ac:dyDescent="0.3">
      <c r="B28" s="63" t="s">
        <v>106</v>
      </c>
      <c r="C28" s="66" t="s">
        <v>107</v>
      </c>
      <c r="D28" s="67">
        <f>IF('Subsciption Numbers(10 Years)'!D5&gt;Details!$B$37,Details!$B$39*(1+Details!$C$3)^D2,0)</f>
        <v>0</v>
      </c>
      <c r="E28" s="68">
        <f>IF('Subsciption Numbers(10 Years)'!E5&gt;Details!$B$37,Details!$B$39*(1+Details!$C$3)^E2,0)</f>
        <v>0</v>
      </c>
      <c r="F28" s="68">
        <f>IF('Subsciption Numbers(10 Years)'!F5&gt;Details!$B$37,Details!$B$39*(1+Details!$C$3)^F2,0)</f>
        <v>0</v>
      </c>
      <c r="G28" s="68">
        <f>IF('Subsciption Numbers(10 Years)'!G5&gt;Details!$B$37,Details!$B$39*(1+Details!$C$3)^G2,0)</f>
        <v>0</v>
      </c>
      <c r="H28" s="68">
        <f>IF('Subsciption Numbers(10 Years)'!H5&gt;Details!$B$37,Details!$B$39*(1+Details!$C$3)^H2,0)</f>
        <v>0</v>
      </c>
      <c r="I28" s="68">
        <f>IF('Subsciption Numbers(10 Years)'!I5&gt;Details!$B$37,Details!$B$39*(1+Details!$C$3)^I2,0)</f>
        <v>0</v>
      </c>
      <c r="J28" s="68">
        <f>IF('Subsciption Numbers(10 Years)'!J5&gt;Details!$B$37,Details!$B$39*(1+Details!$C$3)^J2,0)</f>
        <v>656.06595836558381</v>
      </c>
      <c r="K28" s="68">
        <v>0</v>
      </c>
      <c r="L28" s="68">
        <v>0</v>
      </c>
      <c r="M28" s="68">
        <v>0</v>
      </c>
      <c r="N28" s="68">
        <v>0</v>
      </c>
    </row>
    <row r="29" spans="2:14" ht="13" x14ac:dyDescent="0.3">
      <c r="B29" s="63" t="s">
        <v>108</v>
      </c>
      <c r="C29" s="56" t="s">
        <v>109</v>
      </c>
      <c r="D29" s="64">
        <f>Details!C76</f>
        <v>35</v>
      </c>
      <c r="E29" s="65">
        <f>Details!D76</f>
        <v>42.37</v>
      </c>
      <c r="F29" s="65">
        <f>Details!E76</f>
        <v>55.24</v>
      </c>
      <c r="G29" s="65">
        <f>Details!F76</f>
        <v>58.44</v>
      </c>
      <c r="H29" s="65">
        <f>Details!G76</f>
        <v>53.22</v>
      </c>
      <c r="I29" s="65">
        <f>Details!H76</f>
        <v>51.91</v>
      </c>
      <c r="J29" s="65">
        <f>Details!$I$76</f>
        <v>58.05</v>
      </c>
      <c r="K29" s="65">
        <f>Details!$I$76</f>
        <v>58.05</v>
      </c>
      <c r="L29" s="65">
        <f>Details!$I$76</f>
        <v>58.05</v>
      </c>
      <c r="M29" s="65">
        <f>Details!$I$76</f>
        <v>58.05</v>
      </c>
      <c r="N29" s="65">
        <f>Details!$I$76</f>
        <v>58.05</v>
      </c>
    </row>
    <row r="30" spans="2:14" ht="13" x14ac:dyDescent="0.3">
      <c r="B30" s="63"/>
      <c r="C30" s="56" t="s">
        <v>110</v>
      </c>
      <c r="D30" s="64">
        <f>Details!C77</f>
        <v>3405</v>
      </c>
      <c r="E30" s="65">
        <f>Details!D77</f>
        <v>4703.17</v>
      </c>
      <c r="F30" s="65">
        <f>Details!E77</f>
        <v>2624.57</v>
      </c>
      <c r="G30" s="65">
        <f>Details!F77</f>
        <v>2624.57</v>
      </c>
      <c r="H30" s="65">
        <f>Details!G77</f>
        <v>445.93</v>
      </c>
      <c r="I30" s="65">
        <f>Details!H77</f>
        <v>445.93</v>
      </c>
      <c r="J30" s="65">
        <f>Details!$I$77</f>
        <v>269.33</v>
      </c>
      <c r="K30" s="65">
        <f>Details!$I$77</f>
        <v>269.33</v>
      </c>
      <c r="L30" s="65">
        <f>Details!$I$77</f>
        <v>269.33</v>
      </c>
      <c r="M30" s="65">
        <f>Details!$I$77</f>
        <v>269.33</v>
      </c>
      <c r="N30" s="65">
        <f>Details!$I$77</f>
        <v>269.33</v>
      </c>
    </row>
    <row r="31" spans="2:14" ht="13" x14ac:dyDescent="0.3">
      <c r="B31" s="63"/>
      <c r="C31" s="66" t="s">
        <v>111</v>
      </c>
      <c r="D31" s="67">
        <f>SUM(D29:D30)*1.05</f>
        <v>3612</v>
      </c>
      <c r="E31" s="67">
        <f t="shared" ref="E31:N31" si="10">SUM(E29:E30)*1.05</f>
        <v>4982.817</v>
      </c>
      <c r="F31" s="67">
        <f t="shared" si="10"/>
        <v>2813.8005000000003</v>
      </c>
      <c r="G31" s="67">
        <f t="shared" si="10"/>
        <v>2817.1605000000004</v>
      </c>
      <c r="H31" s="67">
        <f t="shared" si="10"/>
        <v>524.10749999999996</v>
      </c>
      <c r="I31" s="67">
        <f t="shared" si="10"/>
        <v>522.73200000000008</v>
      </c>
      <c r="J31" s="67">
        <f t="shared" si="10"/>
        <v>343.74900000000002</v>
      </c>
      <c r="K31" s="67">
        <f t="shared" si="10"/>
        <v>343.74900000000002</v>
      </c>
      <c r="L31" s="67">
        <f t="shared" si="10"/>
        <v>343.74900000000002</v>
      </c>
      <c r="M31" s="67">
        <f t="shared" si="10"/>
        <v>343.74900000000002</v>
      </c>
      <c r="N31" s="67">
        <f t="shared" si="10"/>
        <v>343.74900000000002</v>
      </c>
    </row>
    <row r="32" spans="2:14" ht="13" x14ac:dyDescent="0.3">
      <c r="B32" s="63" t="s">
        <v>112</v>
      </c>
      <c r="C32" s="70" t="s">
        <v>113</v>
      </c>
      <c r="D32" s="71">
        <f>Details!$B$72*Details!$C$2</f>
        <v>48.64</v>
      </c>
      <c r="E32" s="72">
        <f>Details!$B$72*Details!$C$2</f>
        <v>48.64</v>
      </c>
      <c r="F32" s="72">
        <f>Details!$B$72*Details!$C$2</f>
        <v>48.64</v>
      </c>
      <c r="G32" s="72">
        <f>Details!$B$72*Details!$C$2</f>
        <v>48.64</v>
      </c>
      <c r="H32" s="72">
        <f>Details!$B$72*Details!$C$2</f>
        <v>48.64</v>
      </c>
      <c r="I32" s="72">
        <f>Details!$B$72*Details!$C$2</f>
        <v>48.64</v>
      </c>
      <c r="J32" s="72">
        <f>Details!$B$72*Details!$C$2</f>
        <v>48.64</v>
      </c>
      <c r="K32" s="72">
        <f>Details!$B$72*Details!$C$2</f>
        <v>48.64</v>
      </c>
      <c r="L32" s="72">
        <f>Details!$B$72*Details!$C$2</f>
        <v>48.64</v>
      </c>
      <c r="M32" s="72">
        <f>Details!$B$72*Details!$C$2</f>
        <v>48.64</v>
      </c>
      <c r="N32" s="72">
        <f>Details!$B$72*Details!$C$2</f>
        <v>48.64</v>
      </c>
    </row>
    <row r="33" spans="2:14" x14ac:dyDescent="0.25">
      <c r="D33" s="34"/>
    </row>
    <row r="34" spans="2:14" ht="13" x14ac:dyDescent="0.3">
      <c r="C34" s="70" t="s">
        <v>114</v>
      </c>
      <c r="D34" s="73"/>
      <c r="E34" s="74">
        <f>SUM(E7:E8)-E16-E20-E22-E23-E27-E31-E32-E28</f>
        <v>-1875.8654374999999</v>
      </c>
      <c r="F34" s="74">
        <f t="shared" ref="F34:N34" si="11">SUM(F7:F8)-F16-F20-F22-F23-F27-F31-F32-F28</f>
        <v>584.80332679062201</v>
      </c>
      <c r="G34" s="74">
        <f t="shared" si="11"/>
        <v>877.70789255160969</v>
      </c>
      <c r="H34" s="74">
        <f t="shared" si="11"/>
        <v>3493.3988938457478</v>
      </c>
      <c r="I34" s="74">
        <f t="shared" si="11"/>
        <v>3846.2679701627599</v>
      </c>
      <c r="J34" s="74">
        <f t="shared" si="11"/>
        <v>3752.2582626517456</v>
      </c>
      <c r="K34" s="74">
        <f t="shared" si="11"/>
        <v>4825.9671428298097</v>
      </c>
      <c r="L34" s="74">
        <f t="shared" si="11"/>
        <v>5281.4619411731046</v>
      </c>
      <c r="M34" s="74">
        <f t="shared" si="11"/>
        <v>5778.4119536167518</v>
      </c>
      <c r="N34" s="74">
        <f t="shared" si="11"/>
        <v>6607.5478630562639</v>
      </c>
    </row>
    <row r="35" spans="2:14" ht="13" x14ac:dyDescent="0.3">
      <c r="C35" s="56" t="s">
        <v>115</v>
      </c>
      <c r="D35" s="34"/>
      <c r="E35" s="37">
        <f>Details!$G$3*E7</f>
        <v>783.09687500000007</v>
      </c>
      <c r="F35" s="37">
        <f>Details!$G$3*F7</f>
        <v>835.74910321874984</v>
      </c>
      <c r="G35" s="37">
        <f>Details!$G$3*G7</f>
        <v>892.43559292909197</v>
      </c>
      <c r="H35" s="37">
        <f>Details!$G$3*H7</f>
        <v>953.49758646039197</v>
      </c>
      <c r="I35" s="37">
        <f>Details!$G$3*I7</f>
        <v>1019.3070241567921</v>
      </c>
      <c r="J35" s="37">
        <f>Details!$G$3*J7</f>
        <v>1090.2694007405826</v>
      </c>
      <c r="K35" s="37">
        <f>Details!$G$3*K7</f>
        <v>1166.8268920588168</v>
      </c>
      <c r="L35" s="37">
        <f>Details!$G$3*L7</f>
        <v>1249.4617780241149</v>
      </c>
      <c r="M35" s="37">
        <f>Details!$G$3*M7</f>
        <v>1338.7001900345174</v>
      </c>
      <c r="N35" s="37">
        <f>Details!$G$3*N7</f>
        <v>1435.1162138687562</v>
      </c>
    </row>
    <row r="36" spans="2:14" ht="13" x14ac:dyDescent="0.3">
      <c r="C36" s="75" t="s">
        <v>116</v>
      </c>
      <c r="D36" s="29"/>
      <c r="E36" s="76">
        <f t="shared" ref="E36:N36" si="12">E34-E35</f>
        <v>-2658.9623124999998</v>
      </c>
      <c r="F36" s="76">
        <f t="shared" si="12"/>
        <v>-250.94577642812783</v>
      </c>
      <c r="G36" s="76">
        <f t="shared" si="12"/>
        <v>-14.727700377482279</v>
      </c>
      <c r="H36" s="76">
        <f t="shared" si="12"/>
        <v>2539.9013073853557</v>
      </c>
      <c r="I36" s="76">
        <f t="shared" si="12"/>
        <v>2826.9609460059678</v>
      </c>
      <c r="J36" s="76">
        <f t="shared" si="12"/>
        <v>2661.988861911163</v>
      </c>
      <c r="K36" s="76">
        <f t="shared" si="12"/>
        <v>3659.1402507709927</v>
      </c>
      <c r="L36" s="76">
        <f t="shared" si="12"/>
        <v>4032.0001631489895</v>
      </c>
      <c r="M36" s="76">
        <f t="shared" si="12"/>
        <v>4439.7117635822342</v>
      </c>
      <c r="N36" s="76">
        <f t="shared" si="12"/>
        <v>5172.4316491875079</v>
      </c>
    </row>
    <row r="37" spans="2:14" x14ac:dyDescent="0.25">
      <c r="D37" s="34"/>
    </row>
    <row r="38" spans="2:14" ht="13" x14ac:dyDescent="0.3">
      <c r="C38" s="77" t="s">
        <v>117</v>
      </c>
      <c r="D38" s="104">
        <f>(1+Details!$G$4)^-D2</f>
        <v>1</v>
      </c>
      <c r="E38" s="78">
        <f>(1+Details!$G$4)^-E2</f>
        <v>0.90834771550549553</v>
      </c>
      <c r="F38" s="78">
        <f>(1+Details!$G$4)^-F2</f>
        <v>0.82509557226405261</v>
      </c>
      <c r="G38" s="78">
        <f>(1+Details!$G$4)^-G2</f>
        <v>0.74947367813975163</v>
      </c>
      <c r="H38" s="78">
        <f>(1+Details!$G$4)^-H2</f>
        <v>0.68078270336974434</v>
      </c>
      <c r="I38" s="78">
        <f>(1+Details!$G$4)^-I2</f>
        <v>0.61838741336156267</v>
      </c>
      <c r="J38" s="78">
        <f>(1+Details!$G$4)^-J2</f>
        <v>0.56171079422432801</v>
      </c>
      <c r="K38" s="78">
        <f>(1+Details!$G$4)^-K2</f>
        <v>0.51022871670844583</v>
      </c>
      <c r="L38" s="78">
        <f>(1+Details!$G$4)^-L2</f>
        <v>0.46346508920741741</v>
      </c>
      <c r="M38" s="78">
        <f>(1+Details!$G$4)^-M2</f>
        <v>0.42098745499810825</v>
      </c>
      <c r="N38" s="78">
        <f>(1+Details!$G$4)^-N2</f>
        <v>0.38240299300400427</v>
      </c>
    </row>
    <row r="39" spans="2:14" ht="13" x14ac:dyDescent="0.3">
      <c r="B39" s="101" t="s">
        <v>143</v>
      </c>
      <c r="C39" s="77" t="s">
        <v>117</v>
      </c>
      <c r="D39" s="34"/>
      <c r="E39" s="103">
        <f>EXP(-LN(1+Details!$G$4))</f>
        <v>0.90834771550549553</v>
      </c>
      <c r="F39" s="103">
        <f>EXP(-LN(1+Details!$G$4))</f>
        <v>0.90834771550549553</v>
      </c>
      <c r="G39" s="103">
        <f>EXP(-LN(1+Details!$G$4))</f>
        <v>0.90834771550549553</v>
      </c>
      <c r="H39" s="103">
        <f>EXP(-LN(1+Details!$G$4))</f>
        <v>0.90834771550549553</v>
      </c>
      <c r="I39" s="103">
        <f>EXP(-LN(1+Details!$G$4))</f>
        <v>0.90834771550549553</v>
      </c>
      <c r="J39" s="103">
        <f>EXP(-LN(1+Details!$G$4))</f>
        <v>0.90834771550549553</v>
      </c>
      <c r="K39" s="103">
        <f>EXP(-LN(1+Details!$G$4))</f>
        <v>0.90834771550549553</v>
      </c>
      <c r="L39" s="103">
        <f>EXP(-LN(1+Details!$G$4))</f>
        <v>0.90834771550549553</v>
      </c>
      <c r="M39" s="103">
        <f>EXP(-LN(1+Details!$G$4))</f>
        <v>0.90834771550549553</v>
      </c>
      <c r="N39" s="103">
        <f>EXP(-LN(1+Details!$G$4))</f>
        <v>0.90834771550549553</v>
      </c>
    </row>
    <row r="40" spans="2:14" ht="13" x14ac:dyDescent="0.3">
      <c r="C40" s="106" t="s">
        <v>145</v>
      </c>
      <c r="D40" s="79"/>
      <c r="E40" s="105">
        <f>E39*D38*E7</f>
        <v>7113.242574257426</v>
      </c>
      <c r="F40" s="105">
        <f t="shared" ref="F40:N40" si="13">F39*E38*F7</f>
        <v>6895.7288458944313</v>
      </c>
      <c r="G40" s="105">
        <f t="shared" si="13"/>
        <v>6688.5698633539678</v>
      </c>
      <c r="H40" s="105">
        <f t="shared" si="13"/>
        <v>6491.2466456703223</v>
      </c>
      <c r="I40" s="105">
        <f t="shared" si="13"/>
        <v>6303.2663408959052</v>
      </c>
      <c r="J40" s="105">
        <f t="shared" si="13"/>
        <v>6124.1609100847481</v>
      </c>
      <c r="K40" s="105">
        <f t="shared" si="13"/>
        <v>5953.4858775607427</v>
      </c>
      <c r="L40" s="105">
        <f t="shared" si="13"/>
        <v>5790.8191441320469</v>
      </c>
      <c r="M40" s="105">
        <f t="shared" si="13"/>
        <v>5635.7598600811534</v>
      </c>
      <c r="N40" s="105">
        <f t="shared" si="13"/>
        <v>5487.9273549198697</v>
      </c>
    </row>
    <row r="41" spans="2:14" ht="13" x14ac:dyDescent="0.3">
      <c r="C41" s="107" t="s">
        <v>148</v>
      </c>
      <c r="D41" s="84"/>
      <c r="E41" s="65"/>
      <c r="F41" s="65"/>
      <c r="G41" s="65"/>
      <c r="H41" s="65"/>
      <c r="I41" s="65"/>
      <c r="J41" s="65"/>
      <c r="K41" s="65"/>
      <c r="L41" s="65"/>
      <c r="M41" s="65"/>
      <c r="N41" s="65">
        <f>N8*N38</f>
        <v>109.66339707978346</v>
      </c>
    </row>
    <row r="42" spans="2:14" ht="13" x14ac:dyDescent="0.3">
      <c r="C42" s="108" t="s">
        <v>146</v>
      </c>
      <c r="D42" s="34"/>
      <c r="E42" s="65">
        <f>D38*E27</f>
        <v>63.537187500000073</v>
      </c>
      <c r="F42" s="65">
        <f t="shared" ref="F42:N42" si="14">E38*F27</f>
        <v>43.043878096897785</v>
      </c>
      <c r="G42" s="65">
        <f t="shared" si="14"/>
        <v>42.094594500475615</v>
      </c>
      <c r="H42" s="65">
        <f t="shared" si="14"/>
        <v>41.187921197804208</v>
      </c>
      <c r="I42" s="65">
        <f t="shared" si="14"/>
        <v>40.321734211978189</v>
      </c>
      <c r="J42" s="65">
        <f t="shared" si="14"/>
        <v>39.494016451475439</v>
      </c>
      <c r="K42" s="65">
        <f t="shared" si="14"/>
        <v>38.702852326968596</v>
      </c>
      <c r="L42" s="65">
        <f t="shared" si="14"/>
        <v>37.946422639280577</v>
      </c>
      <c r="M42" s="65">
        <f t="shared" si="14"/>
        <v>37.222999724816539</v>
      </c>
      <c r="N42" s="65">
        <f t="shared" si="14"/>
        <v>36.530942845511952</v>
      </c>
    </row>
    <row r="43" spans="2:14" ht="13" x14ac:dyDescent="0.3">
      <c r="C43" s="80" t="s">
        <v>147</v>
      </c>
      <c r="D43" s="81"/>
      <c r="E43" s="65">
        <f>SUM(E16,E20,E22,E23,E31,E32,E35)*E38</f>
        <v>9470.7910573167392</v>
      </c>
      <c r="F43" s="65">
        <f t="shared" ref="F43:N43" si="15">SUM(F16,F20,F22,F23,F31,F32,F35)*F38</f>
        <v>7063.6842865678309</v>
      </c>
      <c r="G43" s="65">
        <f t="shared" si="15"/>
        <v>6661.3713583767803</v>
      </c>
      <c r="H43" s="65">
        <f t="shared" si="15"/>
        <v>4724.712813209725</v>
      </c>
      <c r="I43" s="65">
        <f t="shared" si="15"/>
        <v>4518.4831186644487</v>
      </c>
      <c r="J43" s="65">
        <f t="shared" si="15"/>
        <v>4224.4994020874028</v>
      </c>
      <c r="K43" s="65">
        <f t="shared" si="15"/>
        <v>4051.3317956588899</v>
      </c>
      <c r="L43" s="65">
        <f t="shared" si="15"/>
        <v>3887.6592825178823</v>
      </c>
      <c r="M43" s="65">
        <f t="shared" si="15"/>
        <v>3732.8854770412058</v>
      </c>
      <c r="N43" s="65">
        <f t="shared" si="15"/>
        <v>3586.4546097627299</v>
      </c>
    </row>
    <row r="44" spans="2:14" ht="13" x14ac:dyDescent="0.3">
      <c r="C44" s="82"/>
      <c r="D44" s="83"/>
    </row>
    <row r="45" spans="2:14" ht="13" x14ac:dyDescent="0.3">
      <c r="C45" s="80" t="str">
        <f>_xlfn.CONCAT("∑",C40)</f>
        <v>∑Discounted Revenue</v>
      </c>
      <c r="D45" s="111">
        <f>SUM(E40:N40)</f>
        <v>62484.207416850615</v>
      </c>
      <c r="G45" s="85"/>
    </row>
    <row r="46" spans="2:14" ht="15.75" customHeight="1" x14ac:dyDescent="0.3">
      <c r="C46" s="80" t="str">
        <f>_xlfn.CONCAT("∑",C41)</f>
        <v>∑Discounted Assets sold</v>
      </c>
      <c r="D46" s="112">
        <f>SUM(E41:N41)</f>
        <v>109.66339707978346</v>
      </c>
    </row>
    <row r="47" spans="2:14" ht="15.75" customHeight="1" x14ac:dyDescent="0.3">
      <c r="C47" s="80" t="s">
        <v>118</v>
      </c>
      <c r="D47" s="113">
        <f>SUM(D11:D12)</f>
        <v>1150</v>
      </c>
    </row>
    <row r="48" spans="2:14" ht="15.75" customHeight="1" x14ac:dyDescent="0.3">
      <c r="C48" s="80" t="str">
        <f t="shared" ref="C48:C49" si="16">_xlfn.CONCAT("∑",C42)</f>
        <v>∑Discounted Working Cap.</v>
      </c>
      <c r="D48" s="112">
        <f>SUM(E42:N42)</f>
        <v>420.08254949520898</v>
      </c>
    </row>
    <row r="49" spans="3:4" ht="15.75" customHeight="1" thickBot="1" x14ac:dyDescent="0.35">
      <c r="C49" s="109" t="str">
        <f t="shared" si="16"/>
        <v>∑Discounted Expenses</v>
      </c>
      <c r="D49" s="114">
        <f>SUM(E43:N43)</f>
        <v>51921.873201203627</v>
      </c>
    </row>
    <row r="50" spans="3:4" ht="15.75" customHeight="1" thickBot="1" x14ac:dyDescent="0.35">
      <c r="C50" s="110" t="s">
        <v>149</v>
      </c>
      <c r="D50" s="114">
        <f>SUM(D45:D46)-SUM(D47:D49)</f>
        <v>9101.915063231565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21C6-DBAF-40CC-B914-C6253BB4EE26}">
  <dimension ref="A1:L21"/>
  <sheetViews>
    <sheetView workbookViewId="0">
      <selection activeCell="D3" sqref="D3"/>
    </sheetView>
  </sheetViews>
  <sheetFormatPr defaultColWidth="8.81640625" defaultRowHeight="12.5" x14ac:dyDescent="0.25"/>
  <cols>
    <col min="1" max="1" width="28.36328125" style="86" bestFit="1" customWidth="1"/>
    <col min="2" max="2" width="11.81640625" style="86" bestFit="1" customWidth="1"/>
    <col min="3" max="3" width="11" style="86" bestFit="1" customWidth="1"/>
    <col min="4" max="15" width="10.81640625" style="86" bestFit="1" customWidth="1"/>
    <col min="16" max="20" width="9.1796875" style="86" bestFit="1" customWidth="1"/>
    <col min="21" max="16384" width="8.81640625" style="86"/>
  </cols>
  <sheetData>
    <row r="1" spans="1:12" x14ac:dyDescent="0.25">
      <c r="A1" s="86" t="s">
        <v>136</v>
      </c>
    </row>
    <row r="2" spans="1:12" x14ac:dyDescent="0.25">
      <c r="C2" s="87" t="s">
        <v>135</v>
      </c>
      <c r="D2" s="88">
        <v>9.2025488507204808E-2</v>
      </c>
    </row>
    <row r="4" spans="1:12" ht="14.5" x14ac:dyDescent="0.35">
      <c r="A4" s="89" t="s">
        <v>84</v>
      </c>
      <c r="B4" s="89">
        <v>0</v>
      </c>
      <c r="C4" s="89">
        <v>1</v>
      </c>
      <c r="D4" s="89">
        <v>2</v>
      </c>
      <c r="E4" s="89">
        <v>3</v>
      </c>
      <c r="F4" s="89">
        <v>4</v>
      </c>
      <c r="G4" s="89">
        <v>5</v>
      </c>
      <c r="H4" s="89">
        <v>6</v>
      </c>
      <c r="I4" s="89">
        <v>7</v>
      </c>
      <c r="J4" s="89">
        <v>8</v>
      </c>
      <c r="K4" s="89">
        <v>9</v>
      </c>
      <c r="L4" s="89">
        <v>10</v>
      </c>
    </row>
    <row r="5" spans="1:12" ht="13" x14ac:dyDescent="0.3">
      <c r="A5" s="121" t="s">
        <v>153</v>
      </c>
      <c r="B5" s="90">
        <f t="shared" ref="B5:L5" si="0">(1+$D$2)^-B4</f>
        <v>1</v>
      </c>
      <c r="C5" s="90">
        <f t="shared" si="0"/>
        <v>0.91572954159430542</v>
      </c>
      <c r="D5" s="90">
        <f t="shared" si="0"/>
        <v>0.83856059334851663</v>
      </c>
      <c r="E5" s="90">
        <f t="shared" si="0"/>
        <v>0.76789470774608581</v>
      </c>
      <c r="F5" s="90">
        <f t="shared" si="0"/>
        <v>0.70318386871701621</v>
      </c>
      <c r="G5" s="90">
        <f t="shared" si="0"/>
        <v>0.64392624175674351</v>
      </c>
      <c r="H5" s="90">
        <f t="shared" si="0"/>
        <v>0.58966228218444661</v>
      </c>
      <c r="I5" s="90">
        <f t="shared" si="0"/>
        <v>0.53997117136021522</v>
      </c>
      <c r="J5" s="90">
        <f t="shared" si="0"/>
        <v>0.4944675532238299</v>
      </c>
      <c r="K5" s="90">
        <f t="shared" si="0"/>
        <v>0.45279854584691559</v>
      </c>
      <c r="L5" s="90">
        <f t="shared" si="0"/>
        <v>0.41464100482296407</v>
      </c>
    </row>
    <row r="6" spans="1:12" ht="13" x14ac:dyDescent="0.3">
      <c r="A6" s="121" t="s">
        <v>154</v>
      </c>
      <c r="B6" s="90"/>
      <c r="C6" s="90">
        <f>EXP(-LN(1+$D$2))</f>
        <v>0.91572954159430542</v>
      </c>
      <c r="D6" s="90">
        <f t="shared" ref="D6:L6" si="1">EXP(-LN(1+$D$2))</f>
        <v>0.91572954159430542</v>
      </c>
      <c r="E6" s="90">
        <f t="shared" si="1"/>
        <v>0.91572954159430542</v>
      </c>
      <c r="F6" s="90">
        <f t="shared" si="1"/>
        <v>0.91572954159430542</v>
      </c>
      <c r="G6" s="90">
        <f t="shared" si="1"/>
        <v>0.91572954159430542</v>
      </c>
      <c r="H6" s="90">
        <f t="shared" si="1"/>
        <v>0.91572954159430542</v>
      </c>
      <c r="I6" s="90">
        <f t="shared" si="1"/>
        <v>0.91572954159430542</v>
      </c>
      <c r="J6" s="90">
        <f t="shared" si="1"/>
        <v>0.91572954159430542</v>
      </c>
      <c r="K6" s="90">
        <f t="shared" si="1"/>
        <v>0.91572954159430542</v>
      </c>
      <c r="L6" s="90">
        <f t="shared" si="1"/>
        <v>0.91572954159430542</v>
      </c>
    </row>
    <row r="7" spans="1:12" ht="14.5" x14ac:dyDescent="0.35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1:12" ht="13" x14ac:dyDescent="0.3">
      <c r="A8" s="93" t="str">
        <f>'CF for 10 years'!C40</f>
        <v>Discounted Revenue</v>
      </c>
      <c r="B8" s="90"/>
      <c r="C8" s="128">
        <f>'Sensivity Analysis 1'!D$7*'IRR (SensAnal 1)'!B5*'IRR (SensAnal 1)'!C6</f>
        <v>6524.5729838594261</v>
      </c>
      <c r="D8" s="128">
        <f>'Sensivity Analysis 1'!E$7*'IRR (SensAnal 1)'!C5*'IRR (SensAnal 1)'!D6</f>
        <v>6566.741801493692</v>
      </c>
      <c r="E8" s="128">
        <f>'Sensivity Analysis 1'!F$7*'IRR (SensAnal 1)'!D5*'IRR (SensAnal 1)'!E6</f>
        <v>6417.6731336521525</v>
      </c>
      <c r="F8" s="128">
        <f>'Sensivity Analysis 1'!G$7*'IRR (SensAnal 1)'!E5*'IRR (SensAnal 1)'!F6</f>
        <v>6275.4631281664324</v>
      </c>
      <c r="G8" s="128">
        <f>'Sensivity Analysis 1'!H$7*'IRR (SensAnal 1)'!F5*'IRR (SensAnal 1)'!G6</f>
        <v>6139.8211737356578</v>
      </c>
      <c r="H8" s="128">
        <f>'Sensivity Analysis 1'!I$7*'IRR (SensAnal 1)'!G5*'IRR (SensAnal 1)'!H6</f>
        <v>6010.4690611093083</v>
      </c>
      <c r="I8" s="128">
        <f>'Sensivity Analysis 1'!J$7*'IRR (SensAnal 1)'!H5*'IRR (SensAnal 1)'!I6</f>
        <v>5887.1404541609227</v>
      </c>
      <c r="J8" s="128">
        <f>'Sensivity Analysis 1'!K$7*'IRR (SensAnal 1)'!I5*'IRR (SensAnal 1)'!J6</f>
        <v>5769.5803835208908</v>
      </c>
      <c r="K8" s="128">
        <f>'Sensivity Analysis 1'!L$7*'IRR (SensAnal 1)'!J5*'IRR (SensAnal 1)'!K6</f>
        <v>5657.5447618062071</v>
      </c>
      <c r="L8" s="128">
        <f>'Sensivity Analysis 1'!M$7*'IRR (SensAnal 1)'!K5*'IRR (SensAnal 1)'!L6</f>
        <v>5550.7999195260527</v>
      </c>
    </row>
    <row r="9" spans="1:12" ht="13" x14ac:dyDescent="0.3">
      <c r="A9" s="93" t="str">
        <f>'CF for 10 years'!C41</f>
        <v>Discounted Assets sold</v>
      </c>
      <c r="B9" s="120"/>
      <c r="C9" s="128">
        <f>C5*'Sensivity Analysis 1'!E$41</f>
        <v>0</v>
      </c>
      <c r="D9" s="128">
        <f>D5*'Sensivity Analysis 1'!F$41</f>
        <v>0</v>
      </c>
      <c r="E9" s="128">
        <f>E5*'Sensivity Analysis 1'!G$41</f>
        <v>0</v>
      </c>
      <c r="F9" s="128">
        <f>F5*'Sensivity Analysis 1'!H$41</f>
        <v>0</v>
      </c>
      <c r="G9" s="128">
        <f>G5*'Sensivity Analysis 1'!I$41</f>
        <v>0</v>
      </c>
      <c r="H9" s="128">
        <f>H5*'Sensivity Analysis 1'!J$41</f>
        <v>0</v>
      </c>
      <c r="I9" s="128">
        <f>I5*'Sensivity Analysis 1'!K$41</f>
        <v>0</v>
      </c>
      <c r="J9" s="128">
        <f>J5*'Sensivity Analysis 1'!L$41</f>
        <v>0</v>
      </c>
      <c r="K9" s="128">
        <f>K5*'Sensivity Analysis 1'!M$41</f>
        <v>0</v>
      </c>
      <c r="L9" s="128">
        <f>L5*'Sensivity Analysis 1'!N$41</f>
        <v>45.47094115746112</v>
      </c>
    </row>
    <row r="10" spans="1:12" ht="13" x14ac:dyDescent="0.3">
      <c r="A10" s="93" t="str">
        <f>'CF for 10 years'!C42</f>
        <v>Discounted Working Cap.</v>
      </c>
      <c r="B10" s="120"/>
      <c r="C10" s="128">
        <f>'Sensivity Analysis 1'!D$27*'IRR (SensAnal 1)'!B5</f>
        <v>641.25</v>
      </c>
      <c r="D10" s="128">
        <f>'Sensivity Analysis 1'!E$27*'IRR (SensAnal 1)'!C5</f>
        <v>58.182879583566496</v>
      </c>
      <c r="E10" s="128">
        <f>'Sensivity Analysis 1'!F$27*'IRR (SensAnal 1)'!D5</f>
        <v>39.736875362612665</v>
      </c>
      <c r="F10" s="128">
        <f>'Sensivity Analysis 1'!G$27*'IRR (SensAnal 1)'!E5</f>
        <v>39.176329904347256</v>
      </c>
      <c r="G10" s="128">
        <f>'Sensivity Analysis 1'!H$27*'IRR (SensAnal 1)'!F5</f>
        <v>38.644027958621642</v>
      </c>
      <c r="H10" s="128">
        <f>'Sensivity Analysis 1'!I$27*'IRR (SensAnal 1)'!G5</f>
        <v>38.138781499170705</v>
      </c>
      <c r="I10" s="128">
        <f>'Sensivity Analysis 1'!J$27*'IRR (SensAnal 1)'!H5</f>
        <v>37.659453233067076</v>
      </c>
      <c r="J10" s="128">
        <f>'Sensivity Analysis 1'!K$27*'IRR (SensAnal 1)'!I5</f>
        <v>37.204954437155699</v>
      </c>
      <c r="K10" s="128">
        <f>'Sensivity Analysis 1'!L$27*'IRR (SensAnal 1)'!J5</f>
        <v>36.774242886772086</v>
      </c>
      <c r="L10" s="128">
        <f>'Sensivity Analysis 1'!M$27*'IRR (SensAnal 1)'!K5</f>
        <v>36.366320872798383</v>
      </c>
    </row>
    <row r="11" spans="1:12" ht="13" x14ac:dyDescent="0.3">
      <c r="A11" s="93" t="str">
        <f>'CF for 10 years'!C43</f>
        <v>Discounted Expenses</v>
      </c>
      <c r="B11" s="122"/>
      <c r="C11" s="128">
        <f>SUM('Sensivity Analysis 1'!E$16,'Sensivity Analysis 1'!E$20,'Sensivity Analysis 1'!E$22,'Sensivity Analysis 1'!E$23,'Sensivity Analysis 1'!E$31,'Sensivity Analysis 1'!E$32,'Sensivity Analysis 1'!E$35)*'IRR (SensAnal 1)'!C5</f>
        <v>9547.7568836354221</v>
      </c>
      <c r="D11" s="128">
        <f>SUM('Sensivity Analysis 1'!F$16,'Sensivity Analysis 1'!F$20,'Sensivity Analysis 1'!F$22,'Sensivity Analysis 1'!F$23,'Sensivity Analysis 1'!F$31,'Sensivity Analysis 1'!F$32,'Sensivity Analysis 1'!F$35)*'IRR (SensAnal 1)'!D5</f>
        <v>7178.9590026733176</v>
      </c>
      <c r="E11" s="128">
        <f>SUM('Sensivity Analysis 1'!G$16,'Sensivity Analysis 1'!G$20,'Sensivity Analysis 1'!G$22,'Sensivity Analysis 1'!G$23,'Sensivity Analysis 1'!G$31,'Sensivity Analysis 1'!G$32,'Sensivity Analysis 1'!G$35)*'IRR (SensAnal 1)'!E5</f>
        <v>6825.0986814176895</v>
      </c>
      <c r="F11" s="128">
        <f>SUM('Sensivity Analysis 1'!H$16,'Sensivity Analysis 1'!H$20,'Sensivity Analysis 1'!H$22,'Sensivity Analysis 1'!H$23,'Sensivity Analysis 1'!H$31,'Sensivity Analysis 1'!H$32,'Sensivity Analysis 1'!H$35)*'IRR (SensAnal 1)'!F5</f>
        <v>4880.1795611502976</v>
      </c>
      <c r="G11" s="128">
        <f>SUM('Sensivity Analysis 1'!I$16,'Sensivity Analysis 1'!I$20,'Sensivity Analysis 1'!I$22,'Sensivity Analysis 1'!I$23,'Sensivity Analysis 1'!I$31,'Sensivity Analysis 1'!I$32,'Sensivity Analysis 1'!I$35)*'IRR (SensAnal 1)'!G5</f>
        <v>4705.0922935614508</v>
      </c>
      <c r="H11" s="128">
        <f>SUM('Sensivity Analysis 1'!J$16,'Sensivity Analysis 1'!J$20,'Sensivity Analysis 1'!J$22,'Sensivity Analysis 1'!J$23,'Sensivity Analysis 1'!J$31,'Sensivity Analysis 1'!J$32,'Sensivity Analysis 1'!J$35)*'IRR (SensAnal 1)'!H5</f>
        <v>4434.7161993950522</v>
      </c>
      <c r="I11" s="128">
        <f>SUM('Sensivity Analysis 1'!K$16,'Sensivity Analysis 1'!K$20,'Sensivity Analysis 1'!K$22,'Sensivity Analysis 1'!K$23,'Sensivity Analysis 1'!K$31,'Sensivity Analysis 1'!K$32,'Sensivity Analysis 1'!K$35)*'IRR (SensAnal 1)'!I5</f>
        <v>4287.4936349787058</v>
      </c>
      <c r="J11" s="128">
        <f>SUM('Sensivity Analysis 1'!L$16,'Sensivity Analysis 1'!L$20,'Sensivity Analysis 1'!L$22,'Sensivity Analysis 1'!L$23,'Sensivity Analysis 1'!L$31,'Sensivity Analysis 1'!L$32,'Sensivity Analysis 1'!L$35)*'IRR (SensAnal 1)'!J5</f>
        <v>4147.7155841056647</v>
      </c>
      <c r="K11" s="128">
        <f>SUM('Sensivity Analysis 1'!M$16,'Sensivity Analysis 1'!M$20,'Sensivity Analysis 1'!M$22,'Sensivity Analysis 1'!M$23,'Sensivity Analysis 1'!M$31,'Sensivity Analysis 1'!M$32,'Sensivity Analysis 1'!M$35)*'IRR (SensAnal 1)'!K5</f>
        <v>4014.9536423239101</v>
      </c>
      <c r="L11" s="128">
        <f>SUM('Sensivity Analysis 1'!N$16,'Sensivity Analysis 1'!N$20,'Sensivity Analysis 1'!N$22,'Sensivity Analysis 1'!N$23,'Sensivity Analysis 1'!N$31,'Sensivity Analysis 1'!N$32,'Sensivity Analysis 1'!N$35)*'IRR (SensAnal 1)'!L5</f>
        <v>3888.8062341300715</v>
      </c>
    </row>
    <row r="12" spans="1:12" ht="13" x14ac:dyDescent="0.3">
      <c r="A12" s="121"/>
    </row>
    <row r="15" spans="1:12" ht="13" x14ac:dyDescent="0.3">
      <c r="A15" s="80" t="str">
        <f>_xlfn.CONCAT("∑",A8)</f>
        <v>∑Discounted Revenue</v>
      </c>
      <c r="B15" s="111">
        <f>SUM(C8:L8)</f>
        <v>60799.806801030747</v>
      </c>
    </row>
    <row r="16" spans="1:12" ht="13" x14ac:dyDescent="0.3">
      <c r="A16" s="80" t="str">
        <f>_xlfn.CONCAT("∑",A9)</f>
        <v>∑Discounted Assets sold</v>
      </c>
      <c r="B16" s="112">
        <f>SUM(C9:L9)</f>
        <v>45.47094115746112</v>
      </c>
    </row>
    <row r="17" spans="1:2" ht="13" x14ac:dyDescent="0.3">
      <c r="A17" s="80" t="s">
        <v>118</v>
      </c>
      <c r="B17" s="113">
        <f>'CF for 10 years'!D47</f>
        <v>1150</v>
      </c>
    </row>
    <row r="18" spans="1:2" ht="13" x14ac:dyDescent="0.3">
      <c r="A18" s="80" t="str">
        <f t="shared" ref="A18:A19" si="2">_xlfn.CONCAT("∑",A10)</f>
        <v>∑Discounted Working Cap.</v>
      </c>
      <c r="B18" s="112">
        <f>SUM(C10:L10)</f>
        <v>1003.1338657381121</v>
      </c>
    </row>
    <row r="19" spans="1:2" ht="13.5" thickBot="1" x14ac:dyDescent="0.35">
      <c r="A19" s="109" t="str">
        <f t="shared" si="2"/>
        <v>∑Discounted Expenses</v>
      </c>
      <c r="B19" s="114">
        <f>SUM(C11:L11)</f>
        <v>53910.771717371586</v>
      </c>
    </row>
    <row r="20" spans="1:2" ht="13.5" thickBot="1" x14ac:dyDescent="0.35">
      <c r="A20" s="110" t="s">
        <v>149</v>
      </c>
      <c r="B20" s="114">
        <f>SUM(B15:B16)-SUM(B17:B19)</f>
        <v>4781.3721590785062</v>
      </c>
    </row>
    <row r="21" spans="1:2" ht="13" x14ac:dyDescent="0.3">
      <c r="A21" s="110"/>
      <c r="B21" s="1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1C8B-A3B9-4094-B2FA-475A5EFA89E0}">
  <dimension ref="A1:N50"/>
  <sheetViews>
    <sheetView topLeftCell="C10" workbookViewId="0">
      <selection activeCell="N28" sqref="N28"/>
    </sheetView>
  </sheetViews>
  <sheetFormatPr defaultColWidth="12.6328125" defaultRowHeight="12.5" x14ac:dyDescent="0.25"/>
  <cols>
    <col min="2" max="2" width="13.6328125" customWidth="1"/>
    <col min="3" max="3" width="25.453125" customWidth="1"/>
  </cols>
  <sheetData>
    <row r="1" spans="1:14" ht="15.75" customHeight="1" x14ac:dyDescent="0.35">
      <c r="A1" s="1"/>
      <c r="B1" s="1"/>
      <c r="C1" s="26" t="s">
        <v>73</v>
      </c>
      <c r="D1" s="52">
        <v>2020</v>
      </c>
      <c r="E1" s="27">
        <v>2021</v>
      </c>
      <c r="F1" s="27">
        <v>2022</v>
      </c>
      <c r="G1" s="27">
        <v>2023</v>
      </c>
      <c r="H1" s="27">
        <v>2024</v>
      </c>
      <c r="I1" s="27">
        <v>2025</v>
      </c>
      <c r="J1" s="27">
        <v>2026</v>
      </c>
      <c r="K1" s="27">
        <v>2027</v>
      </c>
      <c r="L1" s="27">
        <v>2028</v>
      </c>
      <c r="M1" s="27">
        <v>2029</v>
      </c>
      <c r="N1" s="27">
        <v>2030</v>
      </c>
    </row>
    <row r="2" spans="1:14" ht="15.75" customHeight="1" x14ac:dyDescent="0.35">
      <c r="A2" s="2"/>
      <c r="C2" s="26" t="s">
        <v>84</v>
      </c>
      <c r="D2" s="5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</row>
    <row r="3" spans="1:14" ht="15.75" customHeight="1" x14ac:dyDescent="0.35">
      <c r="A3" s="2"/>
      <c r="C3" s="3"/>
      <c r="D3" s="54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ht="15.75" customHeight="1" x14ac:dyDescent="0.35">
      <c r="A4" s="2" t="s">
        <v>85</v>
      </c>
      <c r="C4" s="3" t="s">
        <v>25</v>
      </c>
      <c r="D4" s="54">
        <f>'Subsciption Numbers(10 Years)'!D3*Details!$B$23*(1+Details!$C$3)^D$2</f>
        <v>4500</v>
      </c>
      <c r="E4" s="55">
        <f>'Subsciption Numbers(10 Years)'!E3*Details!$B$23*(1+Details!$C$3)^E$2</f>
        <v>4704.5249999999996</v>
      </c>
      <c r="F4" s="55">
        <f>'Subsciption Numbers(10 Years)'!F3*Details!$B$23*(1+Details!$C$3)^F$2</f>
        <v>4918.3456612499986</v>
      </c>
      <c r="G4" s="55">
        <f>'Subsciption Numbers(10 Years)'!G3*Details!$B$23*(1+Details!$C$3)^G$2</f>
        <v>5141.8844715538116</v>
      </c>
      <c r="H4" s="55">
        <f>'Subsciption Numbers(10 Years)'!H3*Details!$B$23*(1+Details!$C$3)^H$2</f>
        <v>5375.583120785931</v>
      </c>
      <c r="I4" s="55">
        <f>'Subsciption Numbers(10 Years)'!I3*Details!$B$23*(1+Details!$C$3)^I$2</f>
        <v>5619.9033736256506</v>
      </c>
      <c r="J4" s="55">
        <f>'Subsciption Numbers(10 Years)'!J3*Details!$B$23*(1+Details!$C$3)^J$2</f>
        <v>5875.3279819569352</v>
      </c>
      <c r="K4" s="55">
        <f>'Subsciption Numbers(10 Years)'!K3*Details!$B$23*(1+Details!$C$3)^K$2</f>
        <v>6142.3616387368775</v>
      </c>
      <c r="L4" s="55">
        <f>'Subsciption Numbers(10 Years)'!L3*Details!$B$23*(1+Details!$C$3)^L$2</f>
        <v>6421.5319752174682</v>
      </c>
      <c r="M4" s="55">
        <f>'Subsciption Numbers(10 Years)'!M3*Details!$B$23*(1+Details!$C$3)^M$2</f>
        <v>6713.3906034911015</v>
      </c>
      <c r="N4" s="55">
        <f>'Subsciption Numbers(10 Years)'!N3*Details!$B$23*(1+Details!$C$3)^N$2</f>
        <v>7018.5142064197707</v>
      </c>
    </row>
    <row r="5" spans="1:14" ht="15.75" customHeight="1" x14ac:dyDescent="0.35">
      <c r="A5" s="2"/>
      <c r="C5" s="3" t="s">
        <v>26</v>
      </c>
      <c r="D5" s="54">
        <f>'Subsciption Numbers(10 Years)'!D5*Details!$B$23*(1+Details!$C$3)^D$2</f>
        <v>3000</v>
      </c>
      <c r="E5" s="55">
        <f>'Subsciption Numbers(10 Years)'!E5*Details!$B$23*(1+Details!$C$3)^E$2</f>
        <v>3288.6000000000004</v>
      </c>
      <c r="F5" s="55">
        <f>'Subsciption Numbers(10 Years)'!F5*Details!$B$23*(1+Details!$C$3)^F$2</f>
        <v>3604.9633200000003</v>
      </c>
      <c r="G5" s="55">
        <f>'Subsciption Numbers(10 Years)'!G5*Details!$B$23*(1+Details!$C$3)^G$2</f>
        <v>3951.7607913839997</v>
      </c>
      <c r="H5" s="55">
        <f>'Subsciption Numbers(10 Years)'!H5*Details!$B$23*(1+Details!$C$3)^H$2</f>
        <v>4331.9201795151403</v>
      </c>
      <c r="I5" s="55">
        <f>'Subsciption Numbers(10 Years)'!I5*Details!$B$23*(1+Details!$C$3)^I$2</f>
        <v>4748.6509007844961</v>
      </c>
      <c r="J5" s="55">
        <f>'Subsciption Numbers(10 Years)'!J5*Details!$B$23*(1+Details!$C$3)^J$2</f>
        <v>5205.4711174399636</v>
      </c>
      <c r="K5" s="55">
        <f>'Subsciption Numbers(10 Years)'!K5*Details!$B$23*(1+Details!$C$3)^K$2</f>
        <v>5706.2374389376882</v>
      </c>
      <c r="L5" s="55">
        <f>'Subsciption Numbers(10 Years)'!L5*Details!$B$23*(1+Details!$C$3)^L$2</f>
        <v>6255.1774805634932</v>
      </c>
      <c r="M5" s="55">
        <f>'Subsciption Numbers(10 Years)'!M5*Details!$B$23*(1+Details!$C$3)^M$2</f>
        <v>6856.9255541937018</v>
      </c>
      <c r="N5" s="55">
        <f>'Subsciption Numbers(10 Years)'!N5*Details!$B$23*(1+Details!$C$3)^N$2</f>
        <v>7516.5617925071356</v>
      </c>
    </row>
    <row r="6" spans="1:14" ht="15.75" customHeight="1" x14ac:dyDescent="0.35">
      <c r="A6" s="2"/>
      <c r="C6" s="56" t="s">
        <v>86</v>
      </c>
      <c r="D6" s="54">
        <v>0</v>
      </c>
      <c r="E6" s="55">
        <f>'Subsciption Numbers(10 Years)'!E6*Details!$B$29*(1+Details!$C$3)^(E$2-1)</f>
        <v>250</v>
      </c>
      <c r="F6" s="55">
        <f>'Subsciption Numbers(10 Years)'!F6*Details!$B$29*(1+Details!$C$3)^(F$2-1)</f>
        <v>274.04999999999995</v>
      </c>
      <c r="G6" s="55">
        <f>'Subsciption Numbers(10 Years)'!G6*Details!$B$29*(1+Details!$C$3)^(G$2-1)</f>
        <v>300.41360999999995</v>
      </c>
      <c r="H6" s="55">
        <f>'Subsciption Numbers(10 Years)'!H6*Details!$B$29*(1+Details!$C$3)^(H$2-1)</f>
        <v>329.31339928199992</v>
      </c>
      <c r="I6" s="55">
        <f>'Subsciption Numbers(10 Years)'!I6*Details!$B$29*(1+Details!$C$3)^(I$2-1)</f>
        <v>360.99334829292832</v>
      </c>
      <c r="J6" s="55">
        <f>'Subsciption Numbers(10 Years)'!J6*Details!$B$29*(1+Details!$C$3)^(J$2-1)</f>
        <v>395.72090839870793</v>
      </c>
      <c r="K6" s="55">
        <f>'Subsciption Numbers(10 Years)'!K6*Details!$B$29*(1+Details!$C$3)^(K$2-1)</f>
        <v>433.78925978666365</v>
      </c>
      <c r="L6" s="55">
        <f>'Subsciption Numbers(10 Years)'!L6*Details!$B$29*(1+Details!$C$3)^(L$2-1)</f>
        <v>475.51978657814067</v>
      </c>
      <c r="M6" s="55">
        <f>'Subsciption Numbers(10 Years)'!M6*Details!$B$29*(1+Details!$C$3)^(M$2-1)</f>
        <v>521.26479004695784</v>
      </c>
      <c r="N6" s="55">
        <f>'Subsciption Numbers(10 Years)'!N6*Details!$B$29*(1+Details!$C$3)^(N$2-1)</f>
        <v>571.41046284947504</v>
      </c>
    </row>
    <row r="7" spans="1:14" ht="15.75" customHeight="1" x14ac:dyDescent="0.35">
      <c r="A7" s="2"/>
      <c r="B7" s="101" t="s">
        <v>144</v>
      </c>
      <c r="C7" s="57" t="s">
        <v>87</v>
      </c>
      <c r="D7" s="58">
        <f>SUM(D4:D6)*0.9</f>
        <v>6750</v>
      </c>
      <c r="E7" s="58">
        <f t="shared" ref="E7:N7" si="0">SUM(E4:E6)*0.9</f>
        <v>7418.8125</v>
      </c>
      <c r="F7" s="58">
        <f t="shared" si="0"/>
        <v>7917.6230831249977</v>
      </c>
      <c r="G7" s="58">
        <f t="shared" si="0"/>
        <v>8454.6529856440302</v>
      </c>
      <c r="H7" s="58">
        <f t="shared" si="0"/>
        <v>9033.1350296247656</v>
      </c>
      <c r="I7" s="58">
        <f t="shared" si="0"/>
        <v>9656.5928604327692</v>
      </c>
      <c r="J7" s="58">
        <f t="shared" si="0"/>
        <v>10328.868007016046</v>
      </c>
      <c r="K7" s="58">
        <f t="shared" si="0"/>
        <v>11054.149503715105</v>
      </c>
      <c r="L7" s="58">
        <f t="shared" si="0"/>
        <v>11837.006318123193</v>
      </c>
      <c r="M7" s="58">
        <f t="shared" si="0"/>
        <v>12682.422852958585</v>
      </c>
      <c r="N7" s="58">
        <f t="shared" si="0"/>
        <v>13595.837815598743</v>
      </c>
    </row>
    <row r="8" spans="1:14" ht="15.75" customHeight="1" x14ac:dyDescent="0.35">
      <c r="A8" s="2"/>
      <c r="C8" s="57" t="s">
        <v>88</v>
      </c>
      <c r="D8" s="60"/>
      <c r="E8" s="61"/>
      <c r="F8" s="61"/>
      <c r="G8" s="61"/>
      <c r="H8" s="61"/>
      <c r="I8" s="61"/>
      <c r="J8" s="61"/>
      <c r="K8" s="61"/>
      <c r="L8" s="61"/>
      <c r="M8" s="61"/>
      <c r="N8" s="59">
        <f>Details!B11+N27</f>
        <v>282.20734663761414</v>
      </c>
    </row>
    <row r="9" spans="1:14" ht="15.75" customHeight="1" x14ac:dyDescent="0.35">
      <c r="A9" s="2"/>
      <c r="C9" s="1"/>
      <c r="D9" s="54"/>
      <c r="E9" s="55"/>
      <c r="F9" s="55"/>
      <c r="G9" s="55"/>
      <c r="H9" s="55"/>
      <c r="I9" s="55"/>
      <c r="J9" s="55"/>
      <c r="K9" s="55"/>
      <c r="L9" s="55"/>
      <c r="M9" s="55"/>
      <c r="N9" s="55"/>
    </row>
    <row r="10" spans="1:14" ht="15.75" customHeight="1" x14ac:dyDescent="0.35">
      <c r="A10" s="2" t="s">
        <v>89</v>
      </c>
      <c r="C10" s="1" t="s">
        <v>79</v>
      </c>
      <c r="D10" s="54"/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4" ht="15.75" customHeight="1" x14ac:dyDescent="0.35">
      <c r="A11" s="1"/>
      <c r="B11" s="1"/>
      <c r="C11" s="1" t="s">
        <v>90</v>
      </c>
      <c r="D11" s="62">
        <f>Details!B7</f>
        <v>150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1:14" ht="15.75" customHeight="1" x14ac:dyDescent="0.35">
      <c r="A12" s="1"/>
      <c r="B12" s="1"/>
      <c r="C12" s="1" t="s">
        <v>91</v>
      </c>
      <c r="D12" s="62">
        <f>Details!B10</f>
        <v>1000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4" ht="15.75" customHeight="1" x14ac:dyDescent="0.35">
      <c r="B13" s="63" t="s">
        <v>92</v>
      </c>
      <c r="C13" s="3" t="s">
        <v>25</v>
      </c>
      <c r="D13" s="64">
        <f>'Subsciption Numbers(10 Years)'!D3*Details!$B$25</f>
        <v>1620</v>
      </c>
      <c r="E13" s="65">
        <f>'Subsciption Numbers(10 Years)'!E3*Details!$B$25</f>
        <v>1668.6000000000001</v>
      </c>
      <c r="F13" s="65">
        <f>'Subsciption Numbers(10 Years)'!F3*Details!$B$25</f>
        <v>1718.6580000000001</v>
      </c>
      <c r="G13" s="65">
        <f>'Subsciption Numbers(10 Years)'!G3*Details!$B$25</f>
        <v>1770.21774</v>
      </c>
      <c r="H13" s="65">
        <f>'Subsciption Numbers(10 Years)'!H3*Details!$B$25</f>
        <v>1823.3242722000002</v>
      </c>
      <c r="I13" s="65">
        <f>'Subsciption Numbers(10 Years)'!I3*Details!$B$25</f>
        <v>1878.0240003660001</v>
      </c>
      <c r="J13" s="65">
        <f>'Subsciption Numbers(10 Years)'!J3*Details!$B$25</f>
        <v>1934.3647203769804</v>
      </c>
      <c r="K13" s="65">
        <f>'Subsciption Numbers(10 Years)'!K3*Details!$B$25</f>
        <v>1992.3956619882897</v>
      </c>
      <c r="L13" s="65">
        <f>'Subsciption Numbers(10 Years)'!L3*Details!$B$25</f>
        <v>2052.1675318479383</v>
      </c>
      <c r="M13" s="65">
        <f>'Subsciption Numbers(10 Years)'!M3*Details!$B$25</f>
        <v>2113.7325578033765</v>
      </c>
      <c r="N13" s="65">
        <f>'Subsciption Numbers(10 Years)'!N3*Details!$B$25</f>
        <v>2177.1445345374777</v>
      </c>
    </row>
    <row r="14" spans="1:14" ht="15.75" customHeight="1" x14ac:dyDescent="0.35">
      <c r="C14" s="3" t="s">
        <v>26</v>
      </c>
      <c r="D14" s="64">
        <f>'Subsciption Numbers(10 Years)'!D5*Details!$B$26</f>
        <v>1440</v>
      </c>
      <c r="E14" s="65">
        <f>'Subsciption Numbers(10 Years)'!E5*Details!$B$26</f>
        <v>1555.2000000000003</v>
      </c>
      <c r="F14" s="65">
        <f>'Subsciption Numbers(10 Years)'!F5*Details!$B$26</f>
        <v>1679.6160000000004</v>
      </c>
      <c r="G14" s="65">
        <f>'Subsciption Numbers(10 Years)'!G5*Details!$B$26</f>
        <v>1813.9852800000006</v>
      </c>
      <c r="H14" s="65">
        <f>'Subsciption Numbers(10 Years)'!H5*Details!$B$26</f>
        <v>1959.1041024000006</v>
      </c>
      <c r="I14" s="65">
        <f>'Subsciption Numbers(10 Years)'!I5*Details!$B$26</f>
        <v>2115.8324305920009</v>
      </c>
      <c r="J14" s="65">
        <f>'Subsciption Numbers(10 Years)'!J5*Details!$B$26</f>
        <v>2285.0990250393611</v>
      </c>
      <c r="K14" s="65">
        <f>'Subsciption Numbers(10 Years)'!K5*Details!$B$26</f>
        <v>2467.9069470425102</v>
      </c>
      <c r="L14" s="65">
        <f>'Subsciption Numbers(10 Years)'!L5*Details!$B$26</f>
        <v>2665.3395028059113</v>
      </c>
      <c r="M14" s="65">
        <f>'Subsciption Numbers(10 Years)'!M5*Details!$B$26</f>
        <v>2878.566663030384</v>
      </c>
      <c r="N14" s="65">
        <f>'Subsciption Numbers(10 Years)'!N5*Details!$B$26</f>
        <v>3108.8519960728154</v>
      </c>
    </row>
    <row r="15" spans="1:14" ht="13" x14ac:dyDescent="0.3">
      <c r="C15" s="56" t="s">
        <v>86</v>
      </c>
      <c r="D15" s="64">
        <v>0</v>
      </c>
      <c r="E15" s="65">
        <f>'Subsciption Numbers(10 Years)'!E6*Details!$B$32</f>
        <v>120</v>
      </c>
      <c r="F15" s="65">
        <f>'Subsciption Numbers(10 Years)'!F6*Details!$B$32</f>
        <v>129.60000000000002</v>
      </c>
      <c r="G15" s="65">
        <f>'Subsciption Numbers(10 Years)'!G6*Details!$B$32</f>
        <v>139.96800000000002</v>
      </c>
      <c r="H15" s="65">
        <f>'Subsciption Numbers(10 Years)'!H6*Details!$B$32</f>
        <v>151.16544000000002</v>
      </c>
      <c r="I15" s="65">
        <f>'Subsciption Numbers(10 Years)'!I6*Details!$B$32</f>
        <v>163.25867520000003</v>
      </c>
      <c r="J15" s="65">
        <f>'Subsciption Numbers(10 Years)'!J6*Details!$B$32</f>
        <v>176.31936921600004</v>
      </c>
      <c r="K15" s="65">
        <f>'Subsciption Numbers(10 Years)'!K6*Details!$B$32</f>
        <v>190.42491875328008</v>
      </c>
      <c r="L15" s="65">
        <f>'Subsciption Numbers(10 Years)'!L6*Details!$B$32</f>
        <v>205.6589122535425</v>
      </c>
      <c r="M15" s="65">
        <f>'Subsciption Numbers(10 Years)'!M6*Details!$B$32</f>
        <v>222.11162523382595</v>
      </c>
      <c r="N15" s="65">
        <f>'Subsciption Numbers(10 Years)'!N6*Details!$B$32</f>
        <v>239.88055525253202</v>
      </c>
    </row>
    <row r="16" spans="1:14" ht="13" x14ac:dyDescent="0.3">
      <c r="C16" s="66" t="s">
        <v>93</v>
      </c>
      <c r="D16" s="67">
        <f>SUM(D13:D15)*1.1</f>
        <v>3366.0000000000005</v>
      </c>
      <c r="E16" s="67">
        <f t="shared" ref="E16:N16" si="1">SUM(E13:E15)*1.1</f>
        <v>3678.1800000000003</v>
      </c>
      <c r="F16" s="67">
        <f t="shared" si="1"/>
        <v>3880.6614000000004</v>
      </c>
      <c r="G16" s="67">
        <f t="shared" si="1"/>
        <v>4096.588122000001</v>
      </c>
      <c r="H16" s="67">
        <f t="shared" si="1"/>
        <v>4326.9531960600016</v>
      </c>
      <c r="I16" s="67">
        <f t="shared" si="1"/>
        <v>4572.826616773802</v>
      </c>
      <c r="J16" s="67">
        <f t="shared" si="1"/>
        <v>4835.3614260955765</v>
      </c>
      <c r="K16" s="67">
        <f t="shared" si="1"/>
        <v>5115.8002805624883</v>
      </c>
      <c r="L16" s="67">
        <f t="shared" si="1"/>
        <v>5415.4825415981313</v>
      </c>
      <c r="M16" s="67">
        <f t="shared" si="1"/>
        <v>5735.8519306743456</v>
      </c>
      <c r="N16" s="67">
        <f t="shared" si="1"/>
        <v>6078.464794449108</v>
      </c>
    </row>
    <row r="17" spans="2:14" ht="13" x14ac:dyDescent="0.3">
      <c r="B17" s="63" t="s">
        <v>94</v>
      </c>
      <c r="C17" s="56" t="s">
        <v>95</v>
      </c>
      <c r="D17" s="64">
        <f>Details!B44</f>
        <v>400</v>
      </c>
      <c r="E17" s="65">
        <f t="shared" ref="E17:N17" si="2">D17*(1.05)</f>
        <v>420</v>
      </c>
      <c r="F17" s="65">
        <f t="shared" si="2"/>
        <v>441</v>
      </c>
      <c r="G17" s="65">
        <f t="shared" si="2"/>
        <v>463.05</v>
      </c>
      <c r="H17" s="65">
        <f t="shared" si="2"/>
        <v>486.20250000000004</v>
      </c>
      <c r="I17" s="65">
        <f t="shared" si="2"/>
        <v>510.51262500000007</v>
      </c>
      <c r="J17" s="65">
        <f t="shared" si="2"/>
        <v>536.03825625000013</v>
      </c>
      <c r="K17" s="65">
        <f t="shared" si="2"/>
        <v>562.84016906250019</v>
      </c>
      <c r="L17" s="65">
        <f t="shared" si="2"/>
        <v>590.98217751562527</v>
      </c>
      <c r="M17" s="65">
        <f t="shared" si="2"/>
        <v>620.53128639140652</v>
      </c>
      <c r="N17" s="65">
        <f t="shared" si="2"/>
        <v>651.55785071097682</v>
      </c>
    </row>
    <row r="18" spans="2:14" ht="13" x14ac:dyDescent="0.3">
      <c r="C18" s="56" t="s">
        <v>96</v>
      </c>
      <c r="D18" s="64">
        <v>0</v>
      </c>
      <c r="E18" s="65">
        <f t="shared" ref="E18:N18" si="3">E17*0.1</f>
        <v>42</v>
      </c>
      <c r="F18" s="65">
        <f t="shared" si="3"/>
        <v>44.1</v>
      </c>
      <c r="G18" s="65">
        <f t="shared" si="3"/>
        <v>46.305000000000007</v>
      </c>
      <c r="H18" s="65">
        <f t="shared" si="3"/>
        <v>48.620250000000006</v>
      </c>
      <c r="I18" s="65">
        <f t="shared" si="3"/>
        <v>51.051262500000007</v>
      </c>
      <c r="J18" s="65">
        <f t="shared" si="3"/>
        <v>53.603825625000013</v>
      </c>
      <c r="K18" s="65">
        <f t="shared" si="3"/>
        <v>56.284016906250024</v>
      </c>
      <c r="L18" s="65">
        <f t="shared" si="3"/>
        <v>59.09821775156253</v>
      </c>
      <c r="M18" s="65">
        <f t="shared" si="3"/>
        <v>62.053128639140652</v>
      </c>
      <c r="N18" s="65">
        <f t="shared" si="3"/>
        <v>65.155785071097682</v>
      </c>
    </row>
    <row r="19" spans="2:14" ht="13" x14ac:dyDescent="0.3">
      <c r="C19" s="56" t="s">
        <v>97</v>
      </c>
      <c r="D19" s="64">
        <v>0</v>
      </c>
      <c r="E19" s="65">
        <f>Details!B46</f>
        <v>40</v>
      </c>
      <c r="F19" s="65">
        <f t="shared" ref="F19:N19" si="4">E19*1.1</f>
        <v>44</v>
      </c>
      <c r="G19" s="65">
        <f t="shared" si="4"/>
        <v>48.400000000000006</v>
      </c>
      <c r="H19" s="65">
        <f t="shared" si="4"/>
        <v>53.240000000000009</v>
      </c>
      <c r="I19" s="65">
        <f t="shared" si="4"/>
        <v>58.564000000000014</v>
      </c>
      <c r="J19" s="65">
        <f t="shared" si="4"/>
        <v>64.420400000000015</v>
      </c>
      <c r="K19" s="65">
        <f t="shared" si="4"/>
        <v>70.862440000000021</v>
      </c>
      <c r="L19" s="65">
        <f t="shared" si="4"/>
        <v>77.948684000000029</v>
      </c>
      <c r="M19" s="65">
        <f t="shared" si="4"/>
        <v>85.743552400000041</v>
      </c>
      <c r="N19" s="65">
        <f t="shared" si="4"/>
        <v>94.317907640000058</v>
      </c>
    </row>
    <row r="20" spans="2:14" ht="13" x14ac:dyDescent="0.3">
      <c r="C20" s="66" t="s">
        <v>98</v>
      </c>
      <c r="D20" s="67">
        <f t="shared" ref="D20" si="5">SUM(D17:D19)</f>
        <v>400</v>
      </c>
      <c r="E20" s="68">
        <f>SUM(E17:E19)*1.1</f>
        <v>552.20000000000005</v>
      </c>
      <c r="F20" s="68">
        <f t="shared" ref="F20:N20" si="6">SUM(F17:F19)*1.1</f>
        <v>582.0100000000001</v>
      </c>
      <c r="G20" s="68">
        <f t="shared" si="6"/>
        <v>613.53050000000007</v>
      </c>
      <c r="H20" s="68">
        <f t="shared" si="6"/>
        <v>646.86902500000008</v>
      </c>
      <c r="I20" s="68">
        <f t="shared" si="6"/>
        <v>682.14067625000007</v>
      </c>
      <c r="J20" s="68">
        <f t="shared" si="6"/>
        <v>719.46873006250019</v>
      </c>
      <c r="K20" s="68">
        <f t="shared" si="6"/>
        <v>758.9852885656253</v>
      </c>
      <c r="L20" s="68">
        <f t="shared" si="6"/>
        <v>800.83198719390668</v>
      </c>
      <c r="M20" s="68">
        <f t="shared" si="6"/>
        <v>845.16076417360205</v>
      </c>
      <c r="N20" s="68">
        <f t="shared" si="6"/>
        <v>892.13469776428212</v>
      </c>
    </row>
    <row r="21" spans="2:14" ht="13" x14ac:dyDescent="0.3">
      <c r="B21" s="63" t="s">
        <v>99</v>
      </c>
      <c r="C21" s="56" t="s">
        <v>100</v>
      </c>
      <c r="D21" s="64">
        <f>Details!B50</f>
        <v>500</v>
      </c>
      <c r="E21" s="65">
        <f t="shared" ref="E21:N21" si="7">D21*(1.05)</f>
        <v>525</v>
      </c>
      <c r="F21" s="65">
        <f t="shared" si="7"/>
        <v>551.25</v>
      </c>
      <c r="G21" s="65">
        <f t="shared" si="7"/>
        <v>578.8125</v>
      </c>
      <c r="H21" s="65">
        <f t="shared" si="7"/>
        <v>607.75312500000007</v>
      </c>
      <c r="I21" s="65">
        <f t="shared" si="7"/>
        <v>638.14078125000015</v>
      </c>
      <c r="J21" s="65">
        <f t="shared" si="7"/>
        <v>670.04782031250022</v>
      </c>
      <c r="K21" s="65">
        <f t="shared" si="7"/>
        <v>703.55021132812522</v>
      </c>
      <c r="L21" s="65">
        <f t="shared" si="7"/>
        <v>738.72772189453156</v>
      </c>
      <c r="M21" s="65">
        <f t="shared" si="7"/>
        <v>775.66410798925813</v>
      </c>
      <c r="N21" s="65">
        <f t="shared" si="7"/>
        <v>814.44731338872111</v>
      </c>
    </row>
    <row r="22" spans="2:14" ht="13" x14ac:dyDescent="0.3">
      <c r="C22" s="66" t="s">
        <v>101</v>
      </c>
      <c r="D22" s="67">
        <f>Details!B50</f>
        <v>500</v>
      </c>
      <c r="E22" s="68">
        <f t="shared" ref="E22:N22" si="8">E21*1.15</f>
        <v>603.75</v>
      </c>
      <c r="F22" s="68">
        <f t="shared" si="8"/>
        <v>633.9375</v>
      </c>
      <c r="G22" s="68">
        <f t="shared" si="8"/>
        <v>665.63437499999998</v>
      </c>
      <c r="H22" s="68">
        <f t="shared" si="8"/>
        <v>698.91609375000007</v>
      </c>
      <c r="I22" s="68">
        <f t="shared" si="8"/>
        <v>733.86189843750014</v>
      </c>
      <c r="J22" s="68">
        <f t="shared" si="8"/>
        <v>770.5549933593752</v>
      </c>
      <c r="K22" s="68">
        <f t="shared" si="8"/>
        <v>809.08274302734389</v>
      </c>
      <c r="L22" s="68">
        <f t="shared" si="8"/>
        <v>849.53688017871127</v>
      </c>
      <c r="M22" s="68">
        <f t="shared" si="8"/>
        <v>892.01372418764674</v>
      </c>
      <c r="N22" s="68">
        <f t="shared" si="8"/>
        <v>936.61441039702925</v>
      </c>
    </row>
    <row r="23" spans="2:14" ht="13" x14ac:dyDescent="0.3">
      <c r="B23" s="63" t="s">
        <v>64</v>
      </c>
      <c r="C23" s="66" t="s">
        <v>102</v>
      </c>
      <c r="D23" s="67">
        <v>0</v>
      </c>
      <c r="E23" s="68">
        <f>-Details!B64</f>
        <v>-30</v>
      </c>
      <c r="F23" s="68">
        <f t="shared" ref="F23:N23" si="9">E23*(1.03)</f>
        <v>-30.900000000000002</v>
      </c>
      <c r="G23" s="68">
        <f t="shared" si="9"/>
        <v>-31.827000000000002</v>
      </c>
      <c r="H23" s="68">
        <f t="shared" si="9"/>
        <v>-32.78181</v>
      </c>
      <c r="I23" s="68">
        <f t="shared" si="9"/>
        <v>-33.765264299999998</v>
      </c>
      <c r="J23" s="68">
        <f t="shared" si="9"/>
        <v>-34.778222229000001</v>
      </c>
      <c r="K23" s="68">
        <f t="shared" si="9"/>
        <v>-35.821568895870001</v>
      </c>
      <c r="L23" s="68">
        <f t="shared" si="9"/>
        <v>-36.896215962746105</v>
      </c>
      <c r="M23" s="68">
        <f t="shared" si="9"/>
        <v>-38.003102441628492</v>
      </c>
      <c r="N23" s="68">
        <f t="shared" si="9"/>
        <v>-39.143195514877348</v>
      </c>
    </row>
    <row r="24" spans="2:14" ht="14.5" x14ac:dyDescent="0.35">
      <c r="B24" s="63" t="s">
        <v>103</v>
      </c>
      <c r="C24" s="3" t="s">
        <v>58</v>
      </c>
      <c r="D24" s="64">
        <f>Details!$B57*D$7</f>
        <v>337.5</v>
      </c>
      <c r="E24" s="65">
        <f>Details!$B57*E$7</f>
        <v>370.94062500000001</v>
      </c>
      <c r="F24" s="65">
        <f>Details!$B57*F$7</f>
        <v>395.88115415624992</v>
      </c>
      <c r="G24" s="65">
        <f>Details!$B57*G$7</f>
        <v>422.73264928220152</v>
      </c>
      <c r="H24" s="65">
        <f>Details!$B57*H$7</f>
        <v>451.6567514812383</v>
      </c>
      <c r="I24" s="65">
        <f>Details!$B57*I$7</f>
        <v>482.8296430216385</v>
      </c>
      <c r="J24" s="65">
        <f>Details!$B57*J$7</f>
        <v>516.44340035080234</v>
      </c>
      <c r="K24" s="65">
        <f>Details!$B57*K$7</f>
        <v>552.70747518575524</v>
      </c>
      <c r="L24" s="65">
        <f>Details!$B57*L$7</f>
        <v>591.85031590615961</v>
      </c>
      <c r="M24" s="65">
        <f>Details!$B57*M$7</f>
        <v>634.12114264792933</v>
      </c>
      <c r="N24" s="65">
        <f>Details!$B57*N$7</f>
        <v>679.79189077993715</v>
      </c>
    </row>
    <row r="25" spans="2:14" ht="14.5" x14ac:dyDescent="0.35">
      <c r="C25" s="3" t="s">
        <v>59</v>
      </c>
      <c r="D25" s="64">
        <f>Details!$B58*D$7</f>
        <v>675</v>
      </c>
      <c r="E25" s="65">
        <f>Details!$B58*E$7</f>
        <v>741.88125000000002</v>
      </c>
      <c r="F25" s="65">
        <f>Details!$B58*F$7</f>
        <v>791.76230831249984</v>
      </c>
      <c r="G25" s="65">
        <f>Details!$B58*G$7</f>
        <v>845.46529856440304</v>
      </c>
      <c r="H25" s="65">
        <f>Details!$B58*H$7</f>
        <v>903.3135029624766</v>
      </c>
      <c r="I25" s="65">
        <f>Details!$B58*I$7</f>
        <v>965.65928604327701</v>
      </c>
      <c r="J25" s="65">
        <f>Details!$B58*J$7</f>
        <v>1032.8868007016047</v>
      </c>
      <c r="K25" s="65">
        <f>Details!$B58*K$7</f>
        <v>1105.4149503715105</v>
      </c>
      <c r="L25" s="65">
        <f>Details!$B58*L$7</f>
        <v>1183.7006318123192</v>
      </c>
      <c r="M25" s="65">
        <f>Details!$B58*M$7</f>
        <v>1268.2422852958587</v>
      </c>
      <c r="N25" s="65">
        <f>Details!$B58*N$7</f>
        <v>1359.5837815598743</v>
      </c>
    </row>
    <row r="26" spans="2:14" ht="14.5" x14ac:dyDescent="0.35">
      <c r="C26" s="3" t="s">
        <v>61</v>
      </c>
      <c r="D26" s="64">
        <f>Details!$B59*D$7</f>
        <v>405</v>
      </c>
      <c r="E26" s="65">
        <f>Details!$B59*E$7</f>
        <v>445.12874999999997</v>
      </c>
      <c r="F26" s="65">
        <f>Details!$B59*F$7</f>
        <v>475.05738498749986</v>
      </c>
      <c r="G26" s="65">
        <f>Details!$B59*G$7</f>
        <v>507.27917913864178</v>
      </c>
      <c r="H26" s="65">
        <f>Details!$B59*H$7</f>
        <v>541.98810177748589</v>
      </c>
      <c r="I26" s="65">
        <f>Details!$B59*I$7</f>
        <v>579.39557162596611</v>
      </c>
      <c r="J26" s="65">
        <f>Details!$B59*J$7</f>
        <v>619.7320804209628</v>
      </c>
      <c r="K26" s="65">
        <f>Details!$B59*K$7</f>
        <v>663.24897022290634</v>
      </c>
      <c r="L26" s="65">
        <f>Details!$B59*L$7</f>
        <v>710.22037908739151</v>
      </c>
      <c r="M26" s="65">
        <f>Details!$B59*M$7</f>
        <v>760.94537117751509</v>
      </c>
      <c r="N26" s="65">
        <f>Details!$B59*N$7</f>
        <v>815.75026893592451</v>
      </c>
    </row>
    <row r="27" spans="2:14" ht="13" x14ac:dyDescent="0.3">
      <c r="B27" s="102" t="s">
        <v>104</v>
      </c>
      <c r="C27" s="66" t="s">
        <v>105</v>
      </c>
      <c r="D27" s="67">
        <f>D24+D25-D26</f>
        <v>607.5</v>
      </c>
      <c r="E27" s="67">
        <f>E24+E25-E26-SUM($D$27:D27)</f>
        <v>60.193125000000123</v>
      </c>
      <c r="F27" s="67">
        <f>F24+F25-F26-SUM($D$27:E27)</f>
        <v>44.892952481249722</v>
      </c>
      <c r="G27" s="67">
        <f>G24+G25-G26-SUM($D$27:F27)</f>
        <v>48.332691226712996</v>
      </c>
      <c r="H27" s="67">
        <f>H24+H25-H26-SUM($D$27:G27)</f>
        <v>52.063383958266286</v>
      </c>
      <c r="I27" s="67">
        <f>I24+I25-I26-SUM($D$27:H27)</f>
        <v>56.111204772720271</v>
      </c>
      <c r="J27" s="67">
        <f>J24+J25-J26-SUM($D$27:I27)</f>
        <v>60.50476319249492</v>
      </c>
      <c r="K27" s="67">
        <f>K24+K25-K26-SUM($D$27:J27)</f>
        <v>65.275334702914961</v>
      </c>
      <c r="L27" s="67">
        <f>L24+L25-L26-SUM($D$27:K27)</f>
        <v>70.457113296728039</v>
      </c>
      <c r="M27" s="67">
        <f>M24+M25-M26-SUM($D$27:L27)</f>
        <v>76.087488135185595</v>
      </c>
      <c r="N27" s="67">
        <f>N24+N25-N26-SUM($D$27:M27)</f>
        <v>82.207346637614137</v>
      </c>
    </row>
    <row r="28" spans="2:14" ht="13" x14ac:dyDescent="0.3">
      <c r="B28" s="63" t="s">
        <v>106</v>
      </c>
      <c r="C28" s="66" t="s">
        <v>107</v>
      </c>
      <c r="D28" s="67">
        <f>IF('Subsciption Numbers(10 Years)'!D5&gt;Details!$B$37,Details!$B$39*(1+Details!$C$3)^D2,0)</f>
        <v>0</v>
      </c>
      <c r="E28" s="68">
        <f>IF('Subsciption Numbers(10 Years)'!E5&gt;Details!$B$37,Details!$B$39*(1+Details!$C$3)^E2,0)</f>
        <v>0</v>
      </c>
      <c r="F28" s="68">
        <f>IF('Subsciption Numbers(10 Years)'!F5&gt;Details!$B$37,Details!$B$39*(1+Details!$C$3)^F2,0)</f>
        <v>0</v>
      </c>
      <c r="G28" s="68">
        <f>IF('Subsciption Numbers(10 Years)'!G5&gt;Details!$B$37,Details!$B$39*(1+Details!$C$3)^G2,0)</f>
        <v>0</v>
      </c>
      <c r="H28" s="68">
        <f>IF('Subsciption Numbers(10 Years)'!H5&gt;Details!$B$37,Details!$B$39*(1+Details!$C$3)^H2,0)</f>
        <v>0</v>
      </c>
      <c r="I28" s="68">
        <f>IF('Subsciption Numbers(10 Years)'!I5&gt;Details!$B$37,Details!$B$39*(1+Details!$C$3)^I2,0)</f>
        <v>0</v>
      </c>
      <c r="J28" s="68">
        <f>IF('Subsciption Numbers(10 Years)'!J5&gt;Details!$B$37,Details!$B$39*(1+Details!$C$3)^J2,0)</f>
        <v>656.06595836558381</v>
      </c>
      <c r="K28" s="68">
        <v>0</v>
      </c>
      <c r="L28" s="68">
        <v>0</v>
      </c>
      <c r="M28" s="68">
        <v>0</v>
      </c>
      <c r="N28" s="68">
        <v>0</v>
      </c>
    </row>
    <row r="29" spans="2:14" ht="13" x14ac:dyDescent="0.3">
      <c r="B29" s="63" t="s">
        <v>108</v>
      </c>
      <c r="C29" s="56" t="s">
        <v>109</v>
      </c>
      <c r="D29" s="64">
        <f>Details!C76</f>
        <v>35</v>
      </c>
      <c r="E29" s="65">
        <f>Details!D76</f>
        <v>42.37</v>
      </c>
      <c r="F29" s="65">
        <f>Details!E76</f>
        <v>55.24</v>
      </c>
      <c r="G29" s="65">
        <f>Details!F76</f>
        <v>58.44</v>
      </c>
      <c r="H29" s="65">
        <f>Details!G76</f>
        <v>53.22</v>
      </c>
      <c r="I29" s="65">
        <f>Details!H76</f>
        <v>51.91</v>
      </c>
      <c r="J29" s="65">
        <f>Details!$I$76</f>
        <v>58.05</v>
      </c>
      <c r="K29" s="65">
        <f>Details!$I$76</f>
        <v>58.05</v>
      </c>
      <c r="L29" s="65">
        <f>Details!$I$76</f>
        <v>58.05</v>
      </c>
      <c r="M29" s="65">
        <f>Details!$I$76</f>
        <v>58.05</v>
      </c>
      <c r="N29" s="65">
        <f>Details!$I$76</f>
        <v>58.05</v>
      </c>
    </row>
    <row r="30" spans="2:14" ht="13" x14ac:dyDescent="0.3">
      <c r="B30" s="63"/>
      <c r="C30" s="56" t="s">
        <v>110</v>
      </c>
      <c r="D30" s="64">
        <f>Details!C77</f>
        <v>3405</v>
      </c>
      <c r="E30" s="65">
        <f>Details!D77</f>
        <v>4703.17</v>
      </c>
      <c r="F30" s="65">
        <f>Details!E77</f>
        <v>2624.57</v>
      </c>
      <c r="G30" s="65">
        <f>Details!F77</f>
        <v>2624.57</v>
      </c>
      <c r="H30" s="65">
        <f>Details!G77</f>
        <v>445.93</v>
      </c>
      <c r="I30" s="65">
        <f>Details!H77</f>
        <v>445.93</v>
      </c>
      <c r="J30" s="65">
        <f>Details!$I$77</f>
        <v>269.33</v>
      </c>
      <c r="K30" s="65">
        <f>Details!$I$77</f>
        <v>269.33</v>
      </c>
      <c r="L30" s="65">
        <f>Details!$I$77</f>
        <v>269.33</v>
      </c>
      <c r="M30" s="65">
        <f>Details!$I$77</f>
        <v>269.33</v>
      </c>
      <c r="N30" s="65">
        <f>Details!$I$77</f>
        <v>269.33</v>
      </c>
    </row>
    <row r="31" spans="2:14" ht="13" x14ac:dyDescent="0.3">
      <c r="B31" s="63"/>
      <c r="C31" s="66" t="s">
        <v>111</v>
      </c>
      <c r="D31" s="67">
        <f>SUM(D29:D30)*1.1</f>
        <v>3784.0000000000005</v>
      </c>
      <c r="E31" s="67">
        <f t="shared" ref="E31:N31" si="10">SUM(E29:E30)*1.1</f>
        <v>5220.0940000000001</v>
      </c>
      <c r="F31" s="67">
        <f t="shared" si="10"/>
        <v>2947.7910000000002</v>
      </c>
      <c r="G31" s="67">
        <f t="shared" si="10"/>
        <v>2951.3110000000006</v>
      </c>
      <c r="H31" s="67">
        <f t="shared" si="10"/>
        <v>549.06500000000005</v>
      </c>
      <c r="I31" s="67">
        <f t="shared" si="10"/>
        <v>547.62400000000002</v>
      </c>
      <c r="J31" s="67">
        <f t="shared" si="10"/>
        <v>360.11800000000005</v>
      </c>
      <c r="K31" s="67">
        <f t="shared" si="10"/>
        <v>360.11800000000005</v>
      </c>
      <c r="L31" s="67">
        <f t="shared" si="10"/>
        <v>360.11800000000005</v>
      </c>
      <c r="M31" s="67">
        <f t="shared" si="10"/>
        <v>360.11800000000005</v>
      </c>
      <c r="N31" s="67">
        <f t="shared" si="10"/>
        <v>360.11800000000005</v>
      </c>
    </row>
    <row r="32" spans="2:14" ht="13" x14ac:dyDescent="0.3">
      <c r="B32" s="63" t="s">
        <v>112</v>
      </c>
      <c r="C32" s="70" t="s">
        <v>113</v>
      </c>
      <c r="D32" s="71">
        <f>Details!$B$72*Details!$C$2</f>
        <v>48.64</v>
      </c>
      <c r="E32" s="72">
        <f>Details!$B$72*Details!$C$2</f>
        <v>48.64</v>
      </c>
      <c r="F32" s="72">
        <f>Details!$B$72*Details!$C$2</f>
        <v>48.64</v>
      </c>
      <c r="G32" s="72">
        <f>Details!$B$72*Details!$C$2</f>
        <v>48.64</v>
      </c>
      <c r="H32" s="72">
        <f>Details!$B$72*Details!$C$2</f>
        <v>48.64</v>
      </c>
      <c r="I32" s="72">
        <f>Details!$B$72*Details!$C$2</f>
        <v>48.64</v>
      </c>
      <c r="J32" s="72">
        <f>Details!$B$72*Details!$C$2</f>
        <v>48.64</v>
      </c>
      <c r="K32" s="72">
        <f>Details!$B$72*Details!$C$2</f>
        <v>48.64</v>
      </c>
      <c r="L32" s="72">
        <f>Details!$B$72*Details!$C$2</f>
        <v>48.64</v>
      </c>
      <c r="M32" s="72">
        <f>Details!$B$72*Details!$C$2</f>
        <v>48.64</v>
      </c>
      <c r="N32" s="72">
        <f>Details!$B$72*Details!$C$2</f>
        <v>48.64</v>
      </c>
    </row>
    <row r="33" spans="2:14" x14ac:dyDescent="0.25">
      <c r="D33" s="34"/>
    </row>
    <row r="34" spans="2:14" ht="13" x14ac:dyDescent="0.3">
      <c r="C34" s="70" t="s">
        <v>114</v>
      </c>
      <c r="D34" s="73"/>
      <c r="E34" s="74">
        <f>SUM(E7:E8)-E16-E20-E22-E23-E27-E31-E32-E28</f>
        <v>-2714.2446250000003</v>
      </c>
      <c r="F34" s="74">
        <f t="shared" ref="F34:N34" si="11">SUM(F7:F8)-F16-F20-F22-F23-F27-F31-F32-F28</f>
        <v>-189.4097693562527</v>
      </c>
      <c r="G34" s="74">
        <f t="shared" si="11"/>
        <v>62.443297417315861</v>
      </c>
      <c r="H34" s="74">
        <f t="shared" si="11"/>
        <v>2743.4101408564975</v>
      </c>
      <c r="I34" s="74">
        <f t="shared" si="11"/>
        <v>3049.1537284987467</v>
      </c>
      <c r="J34" s="74">
        <f t="shared" si="11"/>
        <v>2912.9323581695162</v>
      </c>
      <c r="K34" s="74">
        <f t="shared" si="11"/>
        <v>3932.0694257526029</v>
      </c>
      <c r="L34" s="74">
        <f t="shared" si="11"/>
        <v>4328.8360118184601</v>
      </c>
      <c r="M34" s="74">
        <f t="shared" si="11"/>
        <v>4762.5540482294336</v>
      </c>
      <c r="N34" s="74">
        <f t="shared" si="11"/>
        <v>5519.0091085032009</v>
      </c>
    </row>
    <row r="35" spans="2:14" ht="13" x14ac:dyDescent="0.3">
      <c r="C35" s="56" t="s">
        <v>115</v>
      </c>
      <c r="D35" s="34"/>
      <c r="E35" s="37">
        <f>Details!$G$3*E7</f>
        <v>741.88125000000002</v>
      </c>
      <c r="F35" s="37">
        <f>Details!$G$3*F7</f>
        <v>791.76230831249984</v>
      </c>
      <c r="G35" s="37">
        <f>Details!$G$3*G7</f>
        <v>845.46529856440304</v>
      </c>
      <c r="H35" s="37">
        <f>Details!$G$3*H7</f>
        <v>903.3135029624766</v>
      </c>
      <c r="I35" s="37">
        <f>Details!$G$3*I7</f>
        <v>965.65928604327701</v>
      </c>
      <c r="J35" s="37">
        <f>Details!$G$3*J7</f>
        <v>1032.8868007016047</v>
      </c>
      <c r="K35" s="37">
        <f>Details!$G$3*K7</f>
        <v>1105.4149503715105</v>
      </c>
      <c r="L35" s="37">
        <f>Details!$G$3*L7</f>
        <v>1183.7006318123192</v>
      </c>
      <c r="M35" s="37">
        <f>Details!$G$3*M7</f>
        <v>1268.2422852958587</v>
      </c>
      <c r="N35" s="37">
        <f>Details!$G$3*N7</f>
        <v>1359.5837815598743</v>
      </c>
    </row>
    <row r="36" spans="2:14" ht="13" x14ac:dyDescent="0.3">
      <c r="C36" s="75" t="s">
        <v>116</v>
      </c>
      <c r="D36" s="29"/>
      <c r="E36" s="76">
        <f t="shared" ref="E36:N36" si="12">E34-E35</f>
        <v>-3456.1258750000002</v>
      </c>
      <c r="F36" s="76">
        <f t="shared" si="12"/>
        <v>-981.17207766875254</v>
      </c>
      <c r="G36" s="76">
        <f t="shared" si="12"/>
        <v>-783.02200114708717</v>
      </c>
      <c r="H36" s="76">
        <f t="shared" si="12"/>
        <v>1840.0966378940209</v>
      </c>
      <c r="I36" s="76">
        <f t="shared" si="12"/>
        <v>2083.4944424554697</v>
      </c>
      <c r="J36" s="76">
        <f t="shared" si="12"/>
        <v>1880.0455574679115</v>
      </c>
      <c r="K36" s="76">
        <f t="shared" si="12"/>
        <v>2826.6544753810922</v>
      </c>
      <c r="L36" s="76">
        <f t="shared" si="12"/>
        <v>3145.1353800061406</v>
      </c>
      <c r="M36" s="76">
        <f t="shared" si="12"/>
        <v>3494.3117629335748</v>
      </c>
      <c r="N36" s="76">
        <f t="shared" si="12"/>
        <v>4159.4253269433266</v>
      </c>
    </row>
    <row r="37" spans="2:14" x14ac:dyDescent="0.25">
      <c r="D37" s="34"/>
    </row>
    <row r="38" spans="2:14" ht="13" x14ac:dyDescent="0.3">
      <c r="C38" s="77" t="s">
        <v>117</v>
      </c>
      <c r="D38" s="104">
        <f>(1+Details!$G$4)^-D2</f>
        <v>1</v>
      </c>
      <c r="E38" s="78">
        <f>(1+Details!$G$4)^-E2</f>
        <v>0.90834771550549553</v>
      </c>
      <c r="F38" s="78">
        <f>(1+Details!$G$4)^-F2</f>
        <v>0.82509557226405261</v>
      </c>
      <c r="G38" s="78">
        <f>(1+Details!$G$4)^-G2</f>
        <v>0.74947367813975163</v>
      </c>
      <c r="H38" s="78">
        <f>(1+Details!$G$4)^-H2</f>
        <v>0.68078270336974434</v>
      </c>
      <c r="I38" s="78">
        <f>(1+Details!$G$4)^-I2</f>
        <v>0.61838741336156267</v>
      </c>
      <c r="J38" s="78">
        <f>(1+Details!$G$4)^-J2</f>
        <v>0.56171079422432801</v>
      </c>
      <c r="K38" s="78">
        <f>(1+Details!$G$4)^-K2</f>
        <v>0.51022871670844583</v>
      </c>
      <c r="L38" s="78">
        <f>(1+Details!$G$4)^-L2</f>
        <v>0.46346508920741741</v>
      </c>
      <c r="M38" s="78">
        <f>(1+Details!$G$4)^-M2</f>
        <v>0.42098745499810825</v>
      </c>
      <c r="N38" s="78">
        <f>(1+Details!$G$4)^-N2</f>
        <v>0.38240299300400427</v>
      </c>
    </row>
    <row r="39" spans="2:14" ht="13" x14ac:dyDescent="0.3">
      <c r="B39" s="101" t="s">
        <v>143</v>
      </c>
      <c r="C39" s="77" t="s">
        <v>117</v>
      </c>
      <c r="D39" s="34"/>
      <c r="E39" s="103">
        <f>EXP(-LN(1+Details!$G$4))</f>
        <v>0.90834771550549553</v>
      </c>
      <c r="F39" s="103">
        <f>EXP(-LN(1+Details!$G$4))</f>
        <v>0.90834771550549553</v>
      </c>
      <c r="G39" s="103">
        <f>EXP(-LN(1+Details!$G$4))</f>
        <v>0.90834771550549553</v>
      </c>
      <c r="H39" s="103">
        <f>EXP(-LN(1+Details!$G$4))</f>
        <v>0.90834771550549553</v>
      </c>
      <c r="I39" s="103">
        <f>EXP(-LN(1+Details!$G$4))</f>
        <v>0.90834771550549553</v>
      </c>
      <c r="J39" s="103">
        <f>EXP(-LN(1+Details!$G$4))</f>
        <v>0.90834771550549553</v>
      </c>
      <c r="K39" s="103">
        <f>EXP(-LN(1+Details!$G$4))</f>
        <v>0.90834771550549553</v>
      </c>
      <c r="L39" s="103">
        <f>EXP(-LN(1+Details!$G$4))</f>
        <v>0.90834771550549553</v>
      </c>
      <c r="M39" s="103">
        <f>EXP(-LN(1+Details!$G$4))</f>
        <v>0.90834771550549553</v>
      </c>
      <c r="N39" s="103">
        <f>EXP(-LN(1+Details!$G$4))</f>
        <v>0.90834771550549553</v>
      </c>
    </row>
    <row r="40" spans="2:14" ht="13" x14ac:dyDescent="0.3">
      <c r="C40" s="106" t="s">
        <v>145</v>
      </c>
      <c r="D40" s="79"/>
      <c r="E40" s="105">
        <f>E39*D38*E7</f>
        <v>6738.8613861386139</v>
      </c>
      <c r="F40" s="105">
        <f t="shared" ref="F40:N40" si="13">F39*E38*F7</f>
        <v>6532.7957487420927</v>
      </c>
      <c r="G40" s="105">
        <f t="shared" si="13"/>
        <v>6336.5398705458647</v>
      </c>
      <c r="H40" s="105">
        <f t="shared" si="13"/>
        <v>6149.6020853718846</v>
      </c>
      <c r="I40" s="105">
        <f t="shared" si="13"/>
        <v>5971.5154808487532</v>
      </c>
      <c r="J40" s="105">
        <f t="shared" si="13"/>
        <v>5801.836651659235</v>
      </c>
      <c r="K40" s="105">
        <f t="shared" si="13"/>
        <v>5640.1445155838619</v>
      </c>
      <c r="L40" s="105">
        <f t="shared" si="13"/>
        <v>5486.039189177729</v>
      </c>
      <c r="M40" s="105">
        <f t="shared" si="13"/>
        <v>5339.140920076883</v>
      </c>
      <c r="N40" s="105">
        <f t="shared" si="13"/>
        <v>5199.089073081982</v>
      </c>
    </row>
    <row r="41" spans="2:14" ht="13" x14ac:dyDescent="0.3">
      <c r="C41" s="107" t="s">
        <v>148</v>
      </c>
      <c r="D41" s="84"/>
      <c r="E41" s="65"/>
      <c r="F41" s="65"/>
      <c r="G41" s="65"/>
      <c r="H41" s="65"/>
      <c r="I41" s="65"/>
      <c r="J41" s="65"/>
      <c r="K41" s="65"/>
      <c r="L41" s="65"/>
      <c r="M41" s="65"/>
      <c r="N41" s="65">
        <f>N8*N38</f>
        <v>107.91693400194217</v>
      </c>
    </row>
    <row r="42" spans="2:14" ht="13" x14ac:dyDescent="0.3">
      <c r="C42" s="108" t="s">
        <v>146</v>
      </c>
      <c r="D42" s="34"/>
      <c r="E42" s="65">
        <f>D38*E27</f>
        <v>60.193125000000123</v>
      </c>
      <c r="F42" s="65">
        <f t="shared" ref="F42:N42" si="14">E38*F27</f>
        <v>40.778410828639956</v>
      </c>
      <c r="G42" s="65">
        <f t="shared" si="14"/>
        <v>39.879089526766514</v>
      </c>
      <c r="H42" s="65">
        <f t="shared" si="14"/>
        <v>39.020135871603976</v>
      </c>
      <c r="I42" s="65">
        <f t="shared" si="14"/>
        <v>38.199537674505805</v>
      </c>
      <c r="J42" s="65">
        <f t="shared" si="14"/>
        <v>37.415384006660815</v>
      </c>
      <c r="K42" s="65">
        <f t="shared" si="14"/>
        <v>36.6658600992332</v>
      </c>
      <c r="L42" s="65">
        <f t="shared" si="14"/>
        <v>35.94924250037112</v>
      </c>
      <c r="M42" s="65">
        <f t="shared" si="14"/>
        <v>35.263894476142106</v>
      </c>
      <c r="N42" s="65">
        <f t="shared" si="14"/>
        <v>34.608261643116464</v>
      </c>
    </row>
    <row r="43" spans="2:14" ht="13" x14ac:dyDescent="0.3">
      <c r="C43" s="80" t="s">
        <v>147</v>
      </c>
      <c r="D43" s="81"/>
      <c r="E43" s="65">
        <f>SUM(E16,E20,E22,E23,E31,E32,E35)*E38</f>
        <v>9823.5491416114091</v>
      </c>
      <c r="F43" s="65">
        <f t="shared" ref="F43:N43" si="15">SUM(F16,F20,F22,F23,F31,F32,F35)*F38</f>
        <v>7305.3155093375617</v>
      </c>
      <c r="G43" s="65">
        <f t="shared" si="15"/>
        <v>6887.1701699418409</v>
      </c>
      <c r="H43" s="65">
        <f t="shared" si="15"/>
        <v>4861.4522704871288</v>
      </c>
      <c r="I43" s="65">
        <f t="shared" si="15"/>
        <v>4648.4102790455208</v>
      </c>
      <c r="J43" s="65">
        <f t="shared" si="15"/>
        <v>4343.2892592717271</v>
      </c>
      <c r="K43" s="65">
        <f t="shared" si="15"/>
        <v>4164.5988797738</v>
      </c>
      <c r="L43" s="65">
        <f t="shared" si="15"/>
        <v>3995.724327414413</v>
      </c>
      <c r="M43" s="65">
        <f t="shared" si="15"/>
        <v>3836.0476260422929</v>
      </c>
      <c r="N43" s="65">
        <f t="shared" si="15"/>
        <v>3684.9929774829966</v>
      </c>
    </row>
    <row r="44" spans="2:14" ht="13" x14ac:dyDescent="0.3">
      <c r="C44" s="82"/>
      <c r="D44" s="83"/>
    </row>
    <row r="45" spans="2:14" ht="13" x14ac:dyDescent="0.3">
      <c r="C45" s="80" t="str">
        <f>_xlfn.CONCAT("∑",C40)</f>
        <v>∑Discounted Revenue</v>
      </c>
      <c r="D45" s="111">
        <f>SUM(E40:N40)</f>
        <v>59195.564921226891</v>
      </c>
      <c r="G45" s="85"/>
    </row>
    <row r="46" spans="2:14" ht="15.75" customHeight="1" x14ac:dyDescent="0.3">
      <c r="C46" s="80" t="str">
        <f>_xlfn.CONCAT("∑",C41)</f>
        <v>∑Discounted Assets sold</v>
      </c>
      <c r="D46" s="112">
        <f>SUM(E41:N41)</f>
        <v>107.91693400194217</v>
      </c>
    </row>
    <row r="47" spans="2:14" ht="15.75" customHeight="1" x14ac:dyDescent="0.3">
      <c r="C47" s="80" t="s">
        <v>118</v>
      </c>
      <c r="D47" s="113">
        <f>SUM(D11:D12)</f>
        <v>1150</v>
      </c>
    </row>
    <row r="48" spans="2:14" ht="15.75" customHeight="1" x14ac:dyDescent="0.3">
      <c r="C48" s="80" t="str">
        <f t="shared" ref="C48:C49" si="16">_xlfn.CONCAT("∑",C42)</f>
        <v>∑Discounted Working Cap.</v>
      </c>
      <c r="D48" s="112">
        <f>SUM(E42:N42)</f>
        <v>397.97294162704009</v>
      </c>
    </row>
    <row r="49" spans="3:4" ht="15.75" customHeight="1" thickBot="1" x14ac:dyDescent="0.35">
      <c r="C49" s="109" t="str">
        <f t="shared" si="16"/>
        <v>∑Discounted Expenses</v>
      </c>
      <c r="D49" s="114">
        <f>SUM(E43:N43)</f>
        <v>53550.55044040869</v>
      </c>
    </row>
    <row r="50" spans="3:4" ht="15.75" customHeight="1" thickBot="1" x14ac:dyDescent="0.35">
      <c r="C50" s="110" t="s">
        <v>149</v>
      </c>
      <c r="D50" s="114">
        <f>SUM(D45:D46)-SUM(D47:D49)</f>
        <v>4204.9584731931027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Details</vt:lpstr>
      <vt:lpstr>Subsciption Numbers(10 Years)</vt:lpstr>
      <vt:lpstr>CF for 10 years</vt:lpstr>
      <vt:lpstr>Assumptions</vt:lpstr>
      <vt:lpstr>CF for +8 years</vt:lpstr>
      <vt:lpstr>IRR</vt:lpstr>
      <vt:lpstr>Sensivity Analysis 1</vt:lpstr>
      <vt:lpstr>IRR (SensAnal 1)</vt:lpstr>
      <vt:lpstr>Sensivity Analysis 2</vt:lpstr>
      <vt:lpstr>IRR (SensAnal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sood</dc:creator>
  <cp:lastModifiedBy>Pranay Solanki</cp:lastModifiedBy>
  <dcterms:created xsi:type="dcterms:W3CDTF">2024-11-28T08:23:20Z</dcterms:created>
  <dcterms:modified xsi:type="dcterms:W3CDTF">2025-04-24T15:34:00Z</dcterms:modified>
</cp:coreProperties>
</file>