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 Details" sheetId="1" r:id="rId4"/>
    <sheet state="visible" name="Sales_Data_Format" sheetId="2" r:id="rId5"/>
    <sheet state="visible" name="Sales_Data" sheetId="3" r:id="rId6"/>
    <sheet state="visible" name="Region-wise Sales" sheetId="4" r:id="rId7"/>
    <sheet state="visible" name="City-wise Monthly Sales" sheetId="5" r:id="rId8"/>
    <sheet state="visible" name="Assumption" sheetId="6" r:id="rId9"/>
    <sheet state="visible" name="Sales Quantity" sheetId="7" r:id="rId10"/>
    <sheet state="visible" name="RM Consumed" sheetId="8" r:id="rId11"/>
    <sheet state="visible" name="Cost-RM" sheetId="9" r:id="rId12"/>
    <sheet state="visible" name="Contribution_Old" sheetId="10" r:id="rId13"/>
    <sheet state="visible" name="Contribution_New" sheetId="11" r:id="rId14"/>
    <sheet state="visible" name="Cost-Benefit Analysis" sheetId="12" r:id="rId15"/>
    <sheet state="visible" name="Dashboard 1" sheetId="13" r:id="rId16"/>
    <sheet state="visible" name="Dashboard 2" sheetId="14" r:id="rId17"/>
    <sheet state="visible" name="Insights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2">
      <text>
        <t xml:space="preserve">This is total variable cost right.
for contribution you need to subtract this from sales
	-Deleted user</t>
      </text>
    </comment>
  </commentList>
</comments>
</file>

<file path=xl/sharedStrings.xml><?xml version="1.0" encoding="utf-8"?>
<sst xmlns="http://schemas.openxmlformats.org/spreadsheetml/2006/main" count="710" uniqueCount="353">
  <si>
    <t>Region</t>
  </si>
  <si>
    <t>North</t>
  </si>
  <si>
    <t>East</t>
  </si>
  <si>
    <t>West</t>
  </si>
  <si>
    <t>South</t>
  </si>
  <si>
    <t>Regional Manager</t>
  </si>
  <si>
    <t>Ajay Kumar</t>
  </si>
  <si>
    <t>Tanvi Sharma</t>
  </si>
  <si>
    <t>Ajay Ghosh</t>
  </si>
  <si>
    <t>Anjali Krishna Murthy</t>
  </si>
  <si>
    <t>City</t>
  </si>
  <si>
    <t>Discount</t>
  </si>
  <si>
    <t>Delhi</t>
  </si>
  <si>
    <t>Kolkata</t>
  </si>
  <si>
    <t>Pune</t>
  </si>
  <si>
    <t>Bengaluru</t>
  </si>
  <si>
    <t>Chandigarh</t>
  </si>
  <si>
    <t>Bhubaneswar</t>
  </si>
  <si>
    <t>Ahmedabad</t>
  </si>
  <si>
    <t>Chennai</t>
  </si>
  <si>
    <t>Lucknow</t>
  </si>
  <si>
    <t>Ranchi</t>
  </si>
  <si>
    <t>Surat</t>
  </si>
  <si>
    <t>Hyderabad</t>
  </si>
  <si>
    <t>Dehradun</t>
  </si>
  <si>
    <t>Patna</t>
  </si>
  <si>
    <t>Jaipur</t>
  </si>
  <si>
    <t>Kochi</t>
  </si>
  <si>
    <t>Data Format</t>
  </si>
  <si>
    <t>//Month1 //City_City Name//PRD-ProductName//OPQ  Quantity/NPQ[IPLMARKETTING]Quantity</t>
  </si>
  <si>
    <t>Example</t>
  </si>
  <si>
    <t>//Month1 //City_Delhi//PRD-PowerSip//OPQ  21497/NPQ[IPLMARKETTING]26871</t>
  </si>
  <si>
    <t>Month1</t>
  </si>
  <si>
    <t>Month</t>
  </si>
  <si>
    <t>PowerSip</t>
  </si>
  <si>
    <t>Product Name</t>
  </si>
  <si>
    <t>Sale quantity as per Old Plan</t>
  </si>
  <si>
    <t>Sale quantity as per New Plan</t>
  </si>
  <si>
    <t>Other Abbreviations used in Data</t>
  </si>
  <si>
    <t>Abbreviation</t>
  </si>
  <si>
    <t>Meaning</t>
  </si>
  <si>
    <t>PRD</t>
  </si>
  <si>
    <t>Product</t>
  </si>
  <si>
    <t>OPQ</t>
  </si>
  <si>
    <t>Old plan Quantity</t>
  </si>
  <si>
    <t>NPQ</t>
  </si>
  <si>
    <t>New plan Quantity</t>
  </si>
  <si>
    <t>A.Month</t>
  </si>
  <si>
    <t>A.City</t>
  </si>
  <si>
    <t>A.Product</t>
  </si>
  <si>
    <t>A.OPQ</t>
  </si>
  <si>
    <t>A.NPQ</t>
  </si>
  <si>
    <t>MonthName</t>
  </si>
  <si>
    <t>Sales (OPQ)</t>
  </si>
  <si>
    <t>Sales (NPQ-IPL)</t>
  </si>
  <si>
    <t>Price By Product</t>
  </si>
  <si>
    <t>OPQ Sales (without Discount)</t>
  </si>
  <si>
    <t xml:space="preserve">OPQ Revenue (Discount) </t>
  </si>
  <si>
    <t>NPQ Revenue (IPL)</t>
  </si>
  <si>
    <t>Contribution per product (Old)</t>
  </si>
  <si>
    <t>Contribution per product (New)</t>
  </si>
  <si>
    <t>Total Variable Cost (old)</t>
  </si>
  <si>
    <t>Total Contribution (Old)</t>
  </si>
  <si>
    <t>Total Contribution (New)</t>
  </si>
  <si>
    <t>//Month1 //City_Delhi//PRD-ZestVita//OPQ  21497/NPQ[IPLMARKETTING]26871</t>
  </si>
  <si>
    <t>//Month1 //City_Delhi//PRD-NutriKid//OPQ  16650/NPQ[IPLMARKETTING]20147</t>
  </si>
  <si>
    <t>//Month1 //City_Kolkata//PRD-ZestVita//OPQ  11470/NPQ[IPLMARKETTING]12617</t>
  </si>
  <si>
    <t>//Month1 //City_Kolkata//PRD-NutriKid//OPQ  22348/NPQ[IPLMARKETTING]27488</t>
  </si>
  <si>
    <t>//Month1 //City_Pune//PRD-ZestVita//OPQ  13727/NPQ[IPLMARKETTING]15649</t>
  </si>
  <si>
    <t>//Month1 //City_Pune//PRD-NutriKid//OPQ  15799/NPQ[IPLMARKETTING]19275</t>
  </si>
  <si>
    <t>//Month1 //City_Bengaluru//PRD-ZestVita//OPQ  24827/NPQ[IPLMARKETTING]30537</t>
  </si>
  <si>
    <t>//Month1 //City_Bengaluru//PRD-NutriKid//OPQ  13468/NPQ[IPLMARKETTING]14949</t>
  </si>
  <si>
    <t>//Month1 //City_Chandigarh//PRD-ZestVita//OPQ  22237/NPQ[IPLMARKETTING]24683</t>
  </si>
  <si>
    <t>//Month1 //City_Chandigarh//PRD-NutriKid//OPQ  23421/NPQ[IPLMARKETTING]29042</t>
  </si>
  <si>
    <t>//Month1 //City_Bhubaneswar//PRD-ZestVita//OPQ  13092/NPQ[IPLMARKETTING]13878</t>
  </si>
  <si>
    <t>//Month1 //City_Bhubaneswar//PRD-NutriKid//OPQ  17172/NPQ[IPLMARKETTING]18546</t>
  </si>
  <si>
    <t>//Month1 //City_Ahmedabad //PRD-ZestVita//OPQ  19536/NPQ[IPLMARKETTING]23248</t>
  </si>
  <si>
    <t>//Month1 //City_Ahmedabad //PRD-NutriKid//OPQ  11359/NPQ[IPLMARKETTING]13176</t>
  </si>
  <si>
    <t>//Month1 //City_Chennai//PRD-ZestVita//OPQ  12062/NPQ[IPLMARKETTING]13268</t>
  </si>
  <si>
    <t>//Month1 //City_Chennai//PRD-NutriKid//OPQ  13579/NPQ[IPLMARKETTING]16702</t>
  </si>
  <si>
    <t>//Month1 //City_Lucknow//PRD-ZestVita//OPQ  22339/NPQ[IPLMARKETTING]25913</t>
  </si>
  <si>
    <t>//Month1 //City_Lucknow//PRD-NutriKid//OPQ  19542/NPQ[IPLMARKETTING]22082</t>
  </si>
  <si>
    <t>//Month1 //City_Ranchi//PRD-ZestVita//OPQ  25253/NPQ[IPLMARKETTING]27273</t>
  </si>
  <si>
    <t>//Month1 //City_Ranchi//PRD-NutriKid//OPQ  15890/NPQ[IPLMARKETTING]16208</t>
  </si>
  <si>
    <t>//Month1 //City_Surat//PRD-ZestVita//OPQ  17834/NPQ[IPLMARKETTING]18547</t>
  </si>
  <si>
    <t>//Month1 //City_Surat//PRD-NutriKid//OPQ  14097/NPQ[IPLMARKETTING]14943</t>
  </si>
  <si>
    <t>//Month1 //City_Hyderabad//PRD-ZestVita//OPQ  24642/NPQ[IPLMARKETTING]29078</t>
  </si>
  <si>
    <t>//Month1 //City_Hyderabad//PRD-NutriKid//OPQ  24864/NPQ[IPLMARKETTING]29588</t>
  </si>
  <si>
    <t>//Month1 //City_Dehradun//PRD-ZestVita//OPQ  20824/NPQ[IPLMARKETTING]22490</t>
  </si>
  <si>
    <t>//Month1 //City_Dehradun//PRD-NutriKid//OPQ  12937/NPQ[IPLMARKETTING]13584</t>
  </si>
  <si>
    <t>//Month1 //City_Kochi//PRD-ZestVita//OPQ  22650/NPQ[IPLMARKETTING]23556</t>
  </si>
  <si>
    <t>//Month1 //City_Kochi//PRD-NutriKid//OPQ  13986/NPQ[IPLMARKETTING]14545</t>
  </si>
  <si>
    <t>//Month1 //City_Jaipur//PRD-ZestVita//OPQ  20091/NPQ[IPLMARKETTING]23105</t>
  </si>
  <si>
    <t>//Month1 //City_Jaipur//PRD-NutriKid//OPQ  15244/NPQ[IPLMARKETTING]18598</t>
  </si>
  <si>
    <t>//Month1 //City_Patna//PRD-ZestVita//OPQ  17316/NPQ[IPLMARKETTING]19740</t>
  </si>
  <si>
    <t>//Month1 //City_Patna//PRD-NutriKid//OPQ  22866/NPQ[IPLMARKETTING]26982</t>
  </si>
  <si>
    <t>//Month2 //City_Delhi//PRD-ZestVita//OPQ  24722/NPQ[IPLMARKETTING]27441</t>
  </si>
  <si>
    <t>//Month2 //City_Delhi//PRD-NutriKid//OPQ  19148/NPQ[IPLMARKETTING]23361</t>
  </si>
  <si>
    <t>//Month2 //City_Kolkata//PRD-ZestVita//OPQ  13535/NPQ[IPLMARKETTING]15159</t>
  </si>
  <si>
    <t>//Month2 //City_Kolkata//PRD-NutriKid//OPQ  25924/NPQ[IPLMARKETTING]30072</t>
  </si>
  <si>
    <t>//Month2 //City_Pune//PRD-ZestVita//OPQ  15923/NPQ[IPLMARKETTING]19267</t>
  </si>
  <si>
    <t>//Month2 //City_Pune//PRD-NutriKid//OPQ  18643/NPQ[IPLMARKETTING]21626</t>
  </si>
  <si>
    <t>//Month2 //City_Bengaluru//PRD-ZestVita//OPQ  29296/NPQ[IPLMARKETTING]32812</t>
  </si>
  <si>
    <t>//Month2 //City_Bengaluru//PRD-NutriKid//OPQ  15623/NPQ[IPLMARKETTING]18748</t>
  </si>
  <si>
    <t>//Month2 //City_Chandigarh//PRD-ZestVita//OPQ  25573/NPQ[IPLMARKETTING]29409</t>
  </si>
  <si>
    <t>//Month2 //City_Chandigarh//PRD-NutriKid//OPQ  27637/NPQ[IPLMARKETTING]32059</t>
  </si>
  <si>
    <t>//Month2 //City_Bhubaneswar//PRD-ZestVita//OPQ  13878/NPQ[IPLMARKETTING]14433</t>
  </si>
  <si>
    <t>//Month2 //City_Bhubaneswar//PRD-NutriKid//OPQ  18202/NPQ[IPLMARKETTING]19476</t>
  </si>
  <si>
    <t>//Month2 //City_Ahmedabad //PRD-ZestVita//OPQ  22662/NPQ[IPLMARKETTING]28101</t>
  </si>
  <si>
    <t>//Month2 //City_Ahmedabad //PRD-NutriKid//OPQ  13063/NPQ[IPLMARKETTING]16329</t>
  </si>
  <si>
    <t>//Month2 //City_Chennai//PRD-ZestVita//OPQ  14233/NPQ[IPLMARKETTING]17364</t>
  </si>
  <si>
    <t>//Month2 //City_Chennai//PRD-NutriKid//OPQ  15616/NPQ[IPLMARKETTING]18115</t>
  </si>
  <si>
    <t>//Month2 //City_Lucknow//PRD-ZestVita//OPQ  23233/NPQ[IPLMARKETTING]26718</t>
  </si>
  <si>
    <t>//Month2 //City_Lucknow//PRD-NutriKid//OPQ  20324/NPQ[IPLMARKETTING]22763</t>
  </si>
  <si>
    <t>//Month2 //City_Ranchi//PRD-ZestVita//OPQ  26263/NPQ[IPLMARKETTING]27839</t>
  </si>
  <si>
    <t>//Month2 //City_Ranchi//PRD-NutriKid//OPQ  16526/NPQ[IPLMARKETTING]17022</t>
  </si>
  <si>
    <t>//Month2 //City_Surat//PRD-ZestVita//OPQ  20866/NPQ[IPLMARKETTING]21283</t>
  </si>
  <si>
    <t>//Month2 //City_Surat//PRD-NutriKid//OPQ  16493/NPQ[IPLMARKETTING]16988</t>
  </si>
  <si>
    <t>//Month2 //City_Hyderabad//PRD-ZestVita//OPQ  29078/NPQ[IPLMARKETTING]33730</t>
  </si>
  <si>
    <t>//Month2 //City_Hyderabad//PRD-NutriKid//OPQ  28842/NPQ[IPLMARKETTING]31726</t>
  </si>
  <si>
    <t>//Month2 //City_Dehradun//PRD-ZestVita//OPQ  21865/NPQ[IPLMARKETTING]23614</t>
  </si>
  <si>
    <t>//Month2 //City_Dehradun//PRD-NutriKid//OPQ  13454/NPQ[IPLMARKETTING]14530</t>
  </si>
  <si>
    <t>//Month2 //City_Kochi//PRD-ZestVita//OPQ  24236/NPQ[IPLMARKETTING]24721</t>
  </si>
  <si>
    <t>//Month2 //City_Kochi//PRD-NutriKid//OPQ  14406/NPQ[IPLMARKETTING]15270</t>
  </si>
  <si>
    <t>//Month2 //City_Jaipur//PRD-ZestVita//OPQ  23105/NPQ[IPLMARKETTING]28188</t>
  </si>
  <si>
    <t>//Month2 //City_Jaipur//PRD-NutriKid//OPQ  17683/NPQ[IPLMARKETTING]21573</t>
  </si>
  <si>
    <t>//Month2 //City_Patna//PRD-ZestVita//OPQ  20260/NPQ[IPLMARKETTING]23907</t>
  </si>
  <si>
    <t>//Month2 //City_Patna//PRD-NutriKid//OPQ  26296/NPQ[IPLMARKETTING]32607</t>
  </si>
  <si>
    <t>//Month3 //City_Delhi//PRD-ZestVita//OPQ  28430/NPQ[IPLMARKETTING]33832</t>
  </si>
  <si>
    <t>//Month3 //City_Delhi//PRD-NutriKid//OPQ  22212/NPQ[IPLMARKETTING]25988</t>
  </si>
  <si>
    <t>//Month3 //City_Kolkata//PRD-ZestVita//OPQ  15565/NPQ[IPLMARKETTING]17900</t>
  </si>
  <si>
    <t>//Month3 //City_Kolkata//PRD-NutriKid//OPQ  29813/NPQ[IPLMARKETTING]34285</t>
  </si>
  <si>
    <t>//Month3 //City_Pune//PRD-ZestVita//OPQ  18789/NPQ[IPLMARKETTING]23110</t>
  </si>
  <si>
    <t>//Month3 //City_Pune//PRD-NutriKid//OPQ  21999/NPQ[IPLMARKETTING]24199</t>
  </si>
  <si>
    <t>//Month3 //City_Bengaluru//PRD-ZestVita//OPQ  34569/NPQ[IPLMARKETTING]41483</t>
  </si>
  <si>
    <t>//Month3 //City_Bengaluru//PRD-NutriKid//OPQ  18435/NPQ[IPLMARKETTING]22306</t>
  </si>
  <si>
    <t>//Month3 //City_Chandigarh//PRD-ZestVita//OPQ  29920/NPQ[IPLMARKETTING]37101</t>
  </si>
  <si>
    <t>//Month3 //City_Chandigarh//PRD-NutriKid//OPQ  31783/NPQ[IPLMARKETTING]37504</t>
  </si>
  <si>
    <t>//Month3 //City_Bhubaneswar//PRD-ZestVita//OPQ  14433/NPQ[IPLMARKETTING]14866</t>
  </si>
  <si>
    <t>//Month3 //City_Bhubaneswar//PRD-NutriKid//OPQ  19294/NPQ[IPLMARKETTING]19680</t>
  </si>
  <si>
    <t>//Month3 //City_Ahmedabad //PRD-ZestVita//OPQ  26741/NPQ[IPLMARKETTING]32624</t>
  </si>
  <si>
    <t>//Month3 //City_Ahmedabad //PRD-NutriKid//OPQ  15153/NPQ[IPLMARKETTING]18941</t>
  </si>
  <si>
    <t>//Month3 //City_Chennai//PRD-ZestVita//OPQ  16653/NPQ[IPLMARKETTING]19484</t>
  </si>
  <si>
    <t>//Month3 //City_Chennai//PRD-NutriKid//OPQ  17958/NPQ[IPLMARKETTING]20472</t>
  </si>
  <si>
    <t>//Month3 //City_Lucknow//PRD-ZestVita//OPQ  23930/NPQ[IPLMARKETTING]29673</t>
  </si>
  <si>
    <t>//Month3 //City_Lucknow//PRD-NutriKid//OPQ  21340/NPQ[IPLMARKETTING]25181</t>
  </si>
  <si>
    <t>//Month3 //City_Ranchi//PRD-ZestVita//OPQ  28364/NPQ[IPLMARKETTING]30349</t>
  </si>
  <si>
    <t>//Month3 //City_Ranchi//PRD-NutriKid//OPQ  17848/NPQ[IPLMARKETTING]18919</t>
  </si>
  <si>
    <t>//Month3 //City_Surat//PRD-ZestVita//OPQ  24205/NPQ[IPLMARKETTING]25657</t>
  </si>
  <si>
    <t>//Month3 //City_Surat//PRD-NutriKid//OPQ  19132/NPQ[IPLMARKETTING]20280</t>
  </si>
  <si>
    <t>//Month3 //City_Hyderabad//PRD-ZestVita//OPQ  34021/NPQ[IPLMARKETTING]40825</t>
  </si>
  <si>
    <t>//Month3 //City_Hyderabad//PRD-NutriKid//OPQ  33168/NPQ[IPLMARKETTING]41460</t>
  </si>
  <si>
    <t>//Month3 //City_Dehradun//PRD-ZestVita//OPQ  22958/NPQ[IPLMARKETTING]23647</t>
  </si>
  <si>
    <t>//Month3 //City_Dehradun//PRD-NutriKid//OPQ  14396/NPQ[IPLMARKETTING]15548</t>
  </si>
  <si>
    <t>//Month3 //City_Kochi//PRD-ZestVita//OPQ  24721/NPQ[IPLMARKETTING]25463</t>
  </si>
  <si>
    <t>//Month3 //City_Kochi//PRD-NutriKid//OPQ  15270/NPQ[IPLMARKETTING]16186</t>
  </si>
  <si>
    <t>//Month3 //City_Jaipur//PRD-ZestVita//OPQ  27264/NPQ[IPLMARKETTING]30263</t>
  </si>
  <si>
    <t>//Month3 //City_Jaipur//PRD-NutriKid//OPQ  20689/NPQ[IPLMARKETTING]23379</t>
  </si>
  <si>
    <t>//Month3 //City_Patna//PRD-ZestVita//OPQ  23299/NPQ[IPLMARKETTING]29124</t>
  </si>
  <si>
    <t>//Month3 //City_Patna//PRD-NutriKid//OPQ  30503/NPQ[IPLMARKETTING]36909</t>
  </si>
  <si>
    <t>//Month4 //City_Delhi//PRD-ZestVita//OPQ  32979/NPQ[IPLMARKETTING]40234</t>
  </si>
  <si>
    <t>//Month4 //City_Delhi//PRD-NutriKid//OPQ  25544/NPQ[IPLMARKETTING]31930</t>
  </si>
  <si>
    <t>//Month4 //City_Kolkata//PRD-ZestVita//OPQ  17900/NPQ[IPLMARKETTING]20585</t>
  </si>
  <si>
    <t>//Month4 //City_Kolkata//PRD-NutriKid//OPQ  35179/NPQ[IPLMARKETTING]43622</t>
  </si>
  <si>
    <t>//Month4 //City_Pune//PRD-ZestVita//OPQ  21795/NPQ[IPLMARKETTING]26590</t>
  </si>
  <si>
    <t>//Month4 //City_Pune//PRD-NutriKid//OPQ  25739/NPQ[IPLMARKETTING]28570</t>
  </si>
  <si>
    <t>//Month4 //City_Bengaluru//PRD-ZestVita//OPQ  40791/NPQ[IPLMARKETTING]49765</t>
  </si>
  <si>
    <t>//Month4 //City_Bengaluru//PRD-NutriKid//OPQ  21753/NPQ[IPLMARKETTING]26321</t>
  </si>
  <si>
    <t>//Month4 //City_Chandigarh//PRD-ZestVita//OPQ  35006/NPQ[IPLMARKETTING]42007</t>
  </si>
  <si>
    <t>//Month4 //City_Chandigarh//PRD-NutriKid//OPQ  37186/NPQ[IPLMARKETTING]44995</t>
  </si>
  <si>
    <t>//Month4 //City_Bhubaneswar//PRD-ZestVita//OPQ  14722/NPQ[IPLMARKETTING]15164</t>
  </si>
  <si>
    <t>//Month4 //City_Bhubaneswar//PRD-NutriKid//OPQ  19873/NPQ[IPLMARKETTING]20469</t>
  </si>
  <si>
    <t>//Month4 //City_Ahmedabad //PRD-ZestVita//OPQ  30752/NPQ[IPLMARKETTING]36902</t>
  </si>
  <si>
    <t>//Month4 //City_Ahmedabad //PRD-NutriKid//OPQ  17729/NPQ[IPLMARKETTING]19502</t>
  </si>
  <si>
    <t>//Month4 //City_Chennai//PRD-ZestVita//OPQ  19317/NPQ[IPLMARKETTING]22021</t>
  </si>
  <si>
    <t>//Month4 //City_Chennai//PRD-NutriKid//OPQ  21190/NPQ[IPLMARKETTING]26276</t>
  </si>
  <si>
    <t>//Month4 //City_Lucknow//PRD-ZestVita//OPQ  24409/NPQ[IPLMARKETTING]27826</t>
  </si>
  <si>
    <t>//Month4 //City_Lucknow//PRD-NutriKid//OPQ  22620/NPQ[IPLMARKETTING]25108</t>
  </si>
  <si>
    <t>//Month4 //City_Ranchi//PRD-ZestVita//OPQ  29782/NPQ[IPLMARKETTING]30378</t>
  </si>
  <si>
    <t>//Month4 //City_Ranchi//PRD-NutriKid//OPQ  19097/NPQ[IPLMARKETTING]20052</t>
  </si>
  <si>
    <t>//Month4 //City_Surat//PRD-ZestVita//OPQ  28078/NPQ[IPLMARKETTING]30043</t>
  </si>
  <si>
    <t>//Month4 //City_Surat//PRD-NutriKid//OPQ  22384/NPQ[IPLMARKETTING]22832</t>
  </si>
  <si>
    <t>//Month4 //City_Hyderabad//PRD-ZestVita//OPQ  39124/NPQ[IPLMARKETTING]48123</t>
  </si>
  <si>
    <t>//Month4 //City_Hyderabad//PRD-NutriKid//OPQ  38143/NPQ[IPLMARKETTING]45772</t>
  </si>
  <si>
    <t>//Month4 //City_Dehradun//PRD-ZestVita//OPQ  23876/NPQ[IPLMARKETTING]24592</t>
  </si>
  <si>
    <t>//Month4 //City_Dehradun//PRD-NutriKid//OPQ  14828/NPQ[IPLMARKETTING]16014</t>
  </si>
  <si>
    <t>//Month4 //City_Kochi//PRD-ZestVita//OPQ  25957/NPQ[IPLMARKETTING]26995</t>
  </si>
  <si>
    <t>//Month4 //City_Kochi//PRD-NutriKid//OPQ  16492/NPQ[IPLMARKETTING]17646</t>
  </si>
  <si>
    <t>//Month4 //City_Jaipur//PRD-ZestVita//OPQ  31626/NPQ[IPLMARKETTING]38267</t>
  </si>
  <si>
    <t>//Month4 //City_Jaipur//PRD-NutriKid//OPQ  24413/NPQ[IPLMARKETTING]30516</t>
  </si>
  <si>
    <t>//Month4 //City_Patna//PRD-ZestVita//OPQ  26794/NPQ[IPLMARKETTING]30545</t>
  </si>
  <si>
    <t>//Month4 //City_Patna//PRD-NutriKid//OPQ  35383/NPQ[IPLMARKETTING]42460</t>
  </si>
  <si>
    <t>//Month5 //City_Delhi//PRD-ZestVita//OPQ  38585/NPQ[IPLMARKETTING]45916</t>
  </si>
  <si>
    <t>//Month5 //City_Delhi//PRD-NutriKid//OPQ  29886/NPQ[IPLMARKETTING]34668</t>
  </si>
  <si>
    <t>//Month5 //City_Kolkata//PRD-ZestVita//OPQ  20585/NPQ[IPLMARKETTING]23879</t>
  </si>
  <si>
    <t>//Month5 //City_Kolkata//PRD-NutriKid//OPQ  41511/NPQ[IPLMARKETTING]48983</t>
  </si>
  <si>
    <t>//Month5 //City_Pune//PRD-ZestVita//OPQ  25282/NPQ[IPLMARKETTING]31097</t>
  </si>
  <si>
    <t>//Month5 //City_Pune//PRD-NutriKid//OPQ  29857/NPQ[IPLMARKETTING]34933</t>
  </si>
  <si>
    <t>//Month5 //City_Bengaluru//PRD-ZestVita//OPQ  47725/NPQ[IPLMARKETTING]52975</t>
  </si>
  <si>
    <t>//Month5 //City_Bengaluru//PRD-NutriKid//OPQ  25451/NPQ[IPLMARKETTING]28505</t>
  </si>
  <si>
    <t>//Month5 //City_Chandigarh//PRD-ZestVita//OPQ  41307/NPQ[IPLMARKETTING]46677</t>
  </si>
  <si>
    <t>//Month5 //City_Chandigarh//PRD-NutriKid//OPQ  42764/NPQ[IPLMARKETTING]50889</t>
  </si>
  <si>
    <t>//Month5 //City_Bhubaneswar//PRD-ZestVita//OPQ  15016/NPQ[IPLMARKETTING]15917</t>
  </si>
  <si>
    <t>//Month5 //City_Bhubaneswar//PRD-NutriKid//OPQ  21463/NPQ[IPLMARKETTING]22107</t>
  </si>
  <si>
    <t>//Month5 //City_Ahmedabad //PRD-ZestVita//OPQ  35672/NPQ[IPLMARKETTING]44233</t>
  </si>
  <si>
    <t>//Month5 //City_Ahmedabad //PRD-NutriKid//OPQ  20920/NPQ[IPLMARKETTING]23849</t>
  </si>
  <si>
    <t>//Month5 //City_Chennai//PRD-ZestVita//OPQ  22601/NPQ[IPLMARKETTING]25313</t>
  </si>
  <si>
    <t>//Month5 //City_Chennai//PRD-NutriKid//OPQ  24580/NPQ[IPLMARKETTING]30233</t>
  </si>
  <si>
    <t>//Month5 //City_Lucknow//PRD-ZestVita//OPQ  26118/NPQ[IPLMARKETTING]32125</t>
  </si>
  <si>
    <t>//Month5 //City_Lucknow//PRD-NutriKid//OPQ  23751/NPQ[IPLMARKETTING]27551</t>
  </si>
  <si>
    <t>//Month5 //City_Ranchi//PRD-ZestVita//OPQ  30378/NPQ[IPLMARKETTING]32808</t>
  </si>
  <si>
    <t>//Month5 //City_Ranchi//PRD-NutriKid//OPQ  20625/NPQ[IPLMARKETTING]21450</t>
  </si>
  <si>
    <t>//Month5 //City_Surat//PRD-ZestVita//OPQ  32290/NPQ[IPLMARKETTING]33582</t>
  </si>
  <si>
    <t>//Month5 //City_Surat//PRD-NutriKid//OPQ  26189/NPQ[IPLMARKETTING]27498</t>
  </si>
  <si>
    <t>//Month5 //City_Hyderabad//PRD-ZestVita//OPQ  44993/NPQ[IPLMARKETTING]53542</t>
  </si>
  <si>
    <t>//Month5 //City_Hyderabad//PRD-NutriKid//OPQ  44627/NPQ[IPLMARKETTING]52214</t>
  </si>
  <si>
    <t>//Month5 //City_Dehradun//PRD-ZestVita//OPQ  24831/NPQ[IPLMARKETTING]25328</t>
  </si>
  <si>
    <t>//Month5 //City_Dehradun//PRD-NutriKid//OPQ  15421/NPQ[IPLMARKETTING]16346</t>
  </si>
  <si>
    <t>//Month5 //City_Kochi//PRD-ZestVita//OPQ  26736/NPQ[IPLMARKETTING]28340</t>
  </si>
  <si>
    <t>//Month5 //City_Kochi//PRD-NutriKid//OPQ  17646/NPQ[IPLMARKETTING]18528</t>
  </si>
  <si>
    <t>//Month5 //City_Jaipur//PRD-ZestVita//OPQ  36686/NPQ[IPLMARKETTING]45858</t>
  </si>
  <si>
    <t>//Month5 //City_Jaipur//PRD-NutriKid//OPQ  28563/NPQ[IPLMARKETTING]35132</t>
  </si>
  <si>
    <t>//Month5 //City_Patna//PRD-ZestVita//OPQ  31617/NPQ[IPLMARKETTING]38257</t>
  </si>
  <si>
    <t>//Month5 //City_Patna//PRD-NutriKid//OPQ  40690/NPQ[IPLMARKETTING]46387</t>
  </si>
  <si>
    <t>//Month6 //City_Delhi//PRD-ZestVita//OPQ  45144/NPQ[IPLMARKETTING]54173</t>
  </si>
  <si>
    <t>//Month6 //City_Delhi//PRD-NutriKid//OPQ  34369/NPQ[IPLMARKETTING]38493</t>
  </si>
  <si>
    <t>//Month6 //City_Kolkata//PRD-ZestVita//OPQ  23879/NPQ[IPLMARKETTING]29610</t>
  </si>
  <si>
    <t>//Month6 //City_Kolkata//PRD-NutriKid//OPQ  48568/NPQ[IPLMARKETTING]58767</t>
  </si>
  <si>
    <t>//Month6 //City_Pune//PRD-ZestVita//OPQ  29074/NPQ[IPLMARKETTING]36052</t>
  </si>
  <si>
    <t>//Month6 //City_Pune//PRD-NutriKid//OPQ  34634/NPQ[IPLMARKETTING]41907</t>
  </si>
  <si>
    <t>//Month6 //City_Bengaluru//PRD-ZestVita//OPQ  54884/NPQ[IPLMARKETTING]60921</t>
  </si>
  <si>
    <t>//Month6 //City_Bengaluru//PRD-NutriKid//OPQ  29269/NPQ[IPLMARKETTING]35708</t>
  </si>
  <si>
    <t>//Month6 //City_Chandigarh//PRD-ZestVita//OPQ  48329/NPQ[IPLMARKETTING]59928</t>
  </si>
  <si>
    <t>//Month6 //City_Chandigarh//PRD-NutriKid//OPQ  49606/NPQ[IPLMARKETTING]62008</t>
  </si>
  <si>
    <t>//Month6 //City_Bhubaneswar//PRD-ZestVita//OPQ  15617/NPQ[IPLMARKETTING]16242</t>
  </si>
  <si>
    <t>//Month6 //City_Bhubaneswar//PRD-NutriKid//OPQ  22965/NPQ[IPLMARKETTING]23884</t>
  </si>
  <si>
    <t>//Month6 //City_Ahmedabad //PRD-ZestVita//OPQ  41023/NPQ[IPLMARKETTING]46766</t>
  </si>
  <si>
    <t>//Month6 //City_Ahmedabad //PRD-NutriKid//OPQ  24476/NPQ[IPLMARKETTING]29126</t>
  </si>
  <si>
    <t>//Month6 //City_Chennai//PRD-ZestVita//OPQ  26217/NPQ[IPLMARKETTING]32509</t>
  </si>
  <si>
    <t>//Month6 //City_Chennai//PRD-NutriKid//OPQ  28267/NPQ[IPLMARKETTING]33638</t>
  </si>
  <si>
    <t>//Month6 //City_Lucknow//PRD-ZestVita//OPQ  26640/NPQ[IPLMARKETTING]31702</t>
  </si>
  <si>
    <t>//Month6 //City_Lucknow//PRD-NutriKid//OPQ  25414/NPQ[IPLMARKETTING]28210</t>
  </si>
  <si>
    <t>//Month6 //City_Ranchi//PRD-ZestVita//OPQ  30986/NPQ[IPLMARKETTING]32535</t>
  </si>
  <si>
    <t>//Month6 //City_Ranchi//PRD-NutriKid//OPQ  22275/NPQ[IPLMARKETTING]23389</t>
  </si>
  <si>
    <t>//Month6 //City_Surat//PRD-ZestVita//OPQ  37779/NPQ[IPLMARKETTING]40801</t>
  </si>
  <si>
    <t>//Month6 //City_Surat//PRD-NutriKid//OPQ  30903/NPQ[IPLMARKETTING]32757</t>
  </si>
  <si>
    <t>//Month6 //City_Hyderabad//PRD-ZestVita//OPQ  52642/NPQ[IPLMARKETTING]62644</t>
  </si>
  <si>
    <t>//Month6 //City_Hyderabad//PRD-NutriKid//OPQ  52660/NPQ[IPLMARKETTING]60032</t>
  </si>
  <si>
    <t>//Month6 //City_Dehradun//PRD-ZestVita//OPQ  25328/NPQ[IPLMARKETTING]25835</t>
  </si>
  <si>
    <t>//Month6 //City_Dehradun//PRD-NutriKid//OPQ  15729/NPQ[IPLMARKETTING]16044</t>
  </si>
  <si>
    <t>//Month6 //City_Kochi//PRD-ZestVita//OPQ  27805/NPQ[IPLMARKETTING]28917</t>
  </si>
  <si>
    <t>//Month6 //City_Kochi//PRD-NutriKid//OPQ  18175/NPQ[IPLMARKETTING]19266</t>
  </si>
  <si>
    <t>//Month6 //City_Jaipur//PRD-ZestVita//OPQ  43289/NPQ[IPLMARKETTING]51514</t>
  </si>
  <si>
    <t>//Month6 //City_Jaipur//PRD-NutriKid//OPQ  33419/NPQ[IPLMARKETTING]41105</t>
  </si>
  <si>
    <t>//Month6 //City_Patna//PRD-ZestVita//OPQ  36992/NPQ[IPLMARKETTING]45130</t>
  </si>
  <si>
    <t>//Month6 //City_Patna//PRD-NutriKid//OPQ  47607/NPQ[IPLMARKETTING]53320</t>
  </si>
  <si>
    <t>Region-wise Sales</t>
  </si>
  <si>
    <t>Overall</t>
  </si>
  <si>
    <t>Old Plan</t>
  </si>
  <si>
    <t>New Plan</t>
  </si>
  <si>
    <t>Sales (in Units)</t>
  </si>
  <si>
    <t>Sales (in Rs)</t>
  </si>
  <si>
    <t xml:space="preserve">Ahmedabad </t>
  </si>
  <si>
    <t>Total</t>
  </si>
  <si>
    <t>City-wise Monthly Sales (in Units) for [Region in the above report] region</t>
  </si>
  <si>
    <t xml:space="preserve">City </t>
  </si>
  <si>
    <t>Epxected Change in Quantity</t>
  </si>
  <si>
    <t>February</t>
  </si>
  <si>
    <t>March</t>
  </si>
  <si>
    <t>April</t>
  </si>
  <si>
    <t>May</t>
  </si>
  <si>
    <t>June</t>
  </si>
  <si>
    <t>Bottle (in ml)</t>
  </si>
  <si>
    <t>Price per Bottle (in Rs.)</t>
  </si>
  <si>
    <t>Product Details:</t>
  </si>
  <si>
    <t>ZestVita</t>
  </si>
  <si>
    <t>NutriKid</t>
  </si>
  <si>
    <t>Raw Material Composition and Costs:</t>
  </si>
  <si>
    <t>Ingredient</t>
  </si>
  <si>
    <t>ZestVita(%)</t>
  </si>
  <si>
    <t>NutriKid(%)</t>
  </si>
  <si>
    <t>Water</t>
  </si>
  <si>
    <t>Milk</t>
  </si>
  <si>
    <t>-</t>
  </si>
  <si>
    <t>Pea Protein Extract</t>
  </si>
  <si>
    <t>Coffee Bean Extract</t>
  </si>
  <si>
    <t>Dates Extract</t>
  </si>
  <si>
    <t>Monk Fruit Extract</t>
  </si>
  <si>
    <t>Other Ingredients</t>
  </si>
  <si>
    <t>Oats Extract</t>
  </si>
  <si>
    <t>Ragi Extract</t>
  </si>
  <si>
    <t>Jowar Extract</t>
  </si>
  <si>
    <t>Bajra Extract</t>
  </si>
  <si>
    <t>Raw Material Costs ( per litre):</t>
  </si>
  <si>
    <t>Price ( per litre in Rs.)</t>
  </si>
  <si>
    <t>Packing cost (in Rs.)</t>
  </si>
  <si>
    <t>Processing cost per unit (in Rs.)</t>
  </si>
  <si>
    <t>Fixed Costs</t>
  </si>
  <si>
    <t>Monthly factory rent</t>
  </si>
  <si>
    <t>Cold storage cost</t>
  </si>
  <si>
    <t>Marketing budget</t>
  </si>
  <si>
    <t>10% increase from 2nd Month onwards</t>
  </si>
  <si>
    <t>Ad preparation cost</t>
  </si>
  <si>
    <t>Design cost</t>
  </si>
  <si>
    <t>IPL Marketing budget</t>
  </si>
  <si>
    <t>12% increase</t>
  </si>
  <si>
    <t>Sales</t>
  </si>
  <si>
    <t>Products</t>
  </si>
  <si>
    <t>January</t>
  </si>
  <si>
    <t>New  Plan</t>
  </si>
  <si>
    <t>Price Per Units (in Rs.)</t>
  </si>
  <si>
    <t>Per Unit Material Consumption (in ml) - ZestVita</t>
  </si>
  <si>
    <t>Per Unit Material Consumption (in ml) - NutriKid</t>
  </si>
  <si>
    <t>Sales ('000)</t>
  </si>
  <si>
    <t>Raw Material Consumed (in thousand litres)</t>
  </si>
  <si>
    <t>Cost (in Rs)</t>
  </si>
  <si>
    <t xml:space="preserve">Old Plan </t>
  </si>
  <si>
    <t>Cost Per Unit (Rs.)</t>
  </si>
  <si>
    <t>Amount (in Rs.)</t>
  </si>
  <si>
    <t>Total Sales</t>
  </si>
  <si>
    <t>Variable Cost - ZestVita</t>
  </si>
  <si>
    <t>Material Cost</t>
  </si>
  <si>
    <t>Packing Cost</t>
  </si>
  <si>
    <t>Processing Cost</t>
  </si>
  <si>
    <t>Total Variable-Cost</t>
  </si>
  <si>
    <t>Variable Cost per Unit (in Rs.)</t>
  </si>
  <si>
    <t>Contribution (Sales-Variable-Cost)</t>
  </si>
  <si>
    <t>Contribution per Unit (in Rs.)</t>
  </si>
  <si>
    <t>Variable Cost - NutriKid</t>
  </si>
  <si>
    <t>Contribution</t>
  </si>
  <si>
    <t>Incremental Contribution (ZestVita)</t>
  </si>
  <si>
    <t>Incremental Contribution (NutriKid)</t>
  </si>
  <si>
    <t>Marketing Budget</t>
  </si>
  <si>
    <t>Incremental Expenses</t>
  </si>
  <si>
    <t xml:space="preserve">Ads Preparation </t>
  </si>
  <si>
    <t>Design Cost</t>
  </si>
  <si>
    <t>Total Markeing Budget</t>
  </si>
  <si>
    <t>Incremental Profits</t>
  </si>
  <si>
    <t>Performance Analysis</t>
  </si>
  <si>
    <t>Product:</t>
  </si>
  <si>
    <t>Monthly Sales as per Plans (in Units)</t>
  </si>
  <si>
    <t>Total Revenue of Plans</t>
  </si>
  <si>
    <t>Plans</t>
  </si>
  <si>
    <t>Revenue</t>
  </si>
  <si>
    <t>Monthly Contribution (in Rs.)</t>
  </si>
  <si>
    <t>Cost-Benefit Analysis</t>
  </si>
  <si>
    <t>Incremental Units Sold (in %)</t>
  </si>
  <si>
    <t>Incremental Contribution (in Rs.)</t>
  </si>
  <si>
    <t>Incremental Profits (in Rs.)</t>
  </si>
  <si>
    <t>Incremental Unit Sold (in %)</t>
  </si>
  <si>
    <t>Report for Management</t>
  </si>
  <si>
    <t>In new plan the forecast is that the sales quantity will be 14.99% higher than the old plan forecast.</t>
  </si>
  <si>
    <t>Cost-Benefit analysis of new plan shows that it will generate an incermental profits of Rs. 5,280,837.47.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</si>
</sst>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%"/>
    <numFmt numFmtId="165" formatCode="0.000"/>
    <numFmt numFmtId="166" formatCode="#,##0.000"/>
    <numFmt numFmtId="167" formatCode="#,##0.0"/>
    <numFmt numFmtId="168" formatCode="[$₹]#,##0.00"/>
  </numFmts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Noto Serif Georgian"/>
    </font>
    <font>
      <sz val="11.0"/>
      <color theme="1"/>
      <name val="Noto Serif Georgian"/>
    </font>
    <font>
      <color theme="1"/>
      <name val="Noto Serif Georgian"/>
    </font>
    <font>
      <b/>
      <sz val="16.0"/>
      <color theme="1"/>
      <name val="Noto Serif Georgian"/>
    </font>
    <font/>
    <font>
      <b/>
      <sz val="16.0"/>
      <color rgb="FF222222"/>
      <name val="Noto Serif Georgian"/>
    </font>
    <font>
      <sz val="10.0"/>
      <color theme="1"/>
      <name val="Noto Serif Georgian"/>
    </font>
    <font>
      <b/>
      <sz val="10.0"/>
      <color theme="1"/>
      <name val="Noto Serif Georgian"/>
    </font>
    <font>
      <b/>
      <sz val="13.0"/>
      <color theme="1"/>
      <name val="Noto Serif Georgi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9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2" fontId="3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 vertical="bottom"/>
    </xf>
    <xf borderId="0" fillId="0" fontId="5" numFmtId="0" xfId="0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5" numFmtId="3" xfId="0" applyBorder="1" applyFont="1" applyNumberFormat="1"/>
    <xf borderId="1" fillId="0" fontId="5" numFmtId="164" xfId="0" applyBorder="1" applyFont="1" applyNumberFormat="1"/>
    <xf borderId="1" fillId="0" fontId="5" numFmtId="165" xfId="0" applyBorder="1" applyFont="1" applyNumberFormat="1"/>
    <xf borderId="1" fillId="0" fontId="5" numFmtId="2" xfId="0" applyBorder="1" applyFont="1" applyNumberFormat="1"/>
    <xf borderId="2" fillId="2" fontId="6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2" fillId="2" fontId="5" numFmtId="0" xfId="0" applyAlignment="1" applyBorder="1" applyFont="1">
      <alignment readingOrder="0"/>
    </xf>
    <xf borderId="5" fillId="2" fontId="5" numFmtId="0" xfId="0" applyAlignment="1" applyBorder="1" applyFont="1">
      <alignment readingOrder="0"/>
    </xf>
    <xf borderId="2" fillId="2" fontId="5" numFmtId="0" xfId="0" applyAlignment="1" applyBorder="1" applyFont="1">
      <alignment horizontal="center" readingOrder="0"/>
    </xf>
    <xf borderId="6" fillId="0" fontId="7" numFmtId="0" xfId="0" applyBorder="1" applyFont="1"/>
    <xf borderId="2" fillId="2" fontId="8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left" readingOrder="0"/>
    </xf>
    <xf borderId="5" fillId="2" fontId="5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/>
    </xf>
    <xf borderId="0" fillId="0" fontId="5" numFmtId="10" xfId="0" applyFont="1" applyNumberFormat="1"/>
    <xf borderId="0" fillId="0" fontId="5" numFmtId="1" xfId="0" applyFont="1" applyNumberFormat="1"/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9" numFmtId="9" xfId="0" applyAlignment="1" applyFont="1" applyNumberFormat="1">
      <alignment horizontal="right"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horizontal="right"/>
    </xf>
    <xf borderId="0" fillId="0" fontId="9" numFmtId="3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3" fontId="5" numFmtId="1" xfId="0" applyAlignment="1" applyFont="1" applyNumberFormat="1">
      <alignment horizontal="right" vertical="bottom"/>
    </xf>
    <xf borderId="0" fillId="0" fontId="5" numFmtId="1" xfId="0" applyAlignment="1" applyFont="1" applyNumberFormat="1">
      <alignment horizontal="right" vertical="bottom"/>
    </xf>
    <xf borderId="0" fillId="3" fontId="5" numFmtId="0" xfId="0" applyAlignment="1" applyFont="1">
      <alignment vertical="bottom"/>
    </xf>
    <xf borderId="0" fillId="3" fontId="5" numFmtId="0" xfId="0" applyFont="1"/>
    <xf borderId="0" fillId="0" fontId="5" numFmtId="49" xfId="0" applyAlignment="1" applyFont="1" applyNumberFormat="1">
      <alignment horizontal="lef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2" fontId="5" numFmtId="4" xfId="0" applyAlignment="1" applyFont="1" applyNumberFormat="1">
      <alignment vertical="bottom"/>
    </xf>
    <xf borderId="0" fillId="0" fontId="3" numFmtId="4" xfId="0" applyAlignment="1" applyFont="1" applyNumberFormat="1">
      <alignment readingOrder="0" vertical="bottom"/>
    </xf>
    <xf borderId="0" fillId="0" fontId="5" numFmtId="4" xfId="0" applyAlignment="1" applyFont="1" applyNumberForma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3" xfId="0" applyAlignment="1" applyFont="1" applyNumberFormat="1">
      <alignment vertical="bottom"/>
    </xf>
    <xf borderId="0" fillId="0" fontId="3" numFmtId="4" xfId="0" applyAlignment="1" applyFont="1" applyNumberFormat="1">
      <alignment vertical="bottom"/>
    </xf>
    <xf borderId="0" fillId="0" fontId="5" numFmtId="0" xfId="0" applyAlignment="1" applyFont="1">
      <alignment horizontal="left" vertical="bottom"/>
    </xf>
    <xf borderId="0" fillId="0" fontId="5" numFmtId="3" xfId="0" applyAlignment="1" applyFont="1" applyNumberFormat="1">
      <alignment horizontal="left" vertical="bottom"/>
    </xf>
    <xf borderId="0" fillId="2" fontId="3" numFmtId="3" xfId="0" applyAlignment="1" applyFont="1" applyNumberFormat="1">
      <alignment vertical="bottom"/>
    </xf>
    <xf borderId="0" fillId="0" fontId="3" numFmtId="3" xfId="0" applyAlignment="1" applyFont="1" applyNumberFormat="1">
      <alignment readingOrder="0" vertical="bottom"/>
    </xf>
    <xf borderId="0" fillId="3" fontId="3" numFmtId="3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3" fontId="5" numFmtId="3" xfId="0" applyAlignment="1" applyFont="1" applyNumberFormat="1">
      <alignment horizontal="right" vertical="bottom"/>
    </xf>
    <xf borderId="0" fillId="3" fontId="3" numFmtId="3" xfId="0" applyAlignment="1" applyFont="1" applyNumberFormat="1">
      <alignment horizontal="right" vertical="bottom"/>
    </xf>
    <xf borderId="0" fillId="3" fontId="3" numFmtId="3" xfId="0" applyAlignment="1" applyFont="1" applyNumberFormat="1">
      <alignment readingOrder="0" vertical="bottom"/>
    </xf>
    <xf borderId="0" fillId="3" fontId="5" numFmtId="3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5" numFmtId="4" xfId="0" applyFont="1" applyNumberFormat="1"/>
    <xf borderId="0" fillId="0" fontId="5" numFmtId="3" xfId="0" applyFont="1" applyNumberFormat="1"/>
    <xf borderId="0" fillId="0" fontId="3" numFmtId="3" xfId="0" applyAlignment="1" applyFont="1" applyNumberFormat="1">
      <alignment readingOrder="0"/>
    </xf>
    <xf borderId="0" fillId="0" fontId="3" numFmtId="3" xfId="0" applyFont="1" applyNumberFormat="1"/>
    <xf borderId="0" fillId="0" fontId="3" numFmtId="1" xfId="0" applyFont="1" applyNumberFormat="1"/>
    <xf borderId="0" fillId="2" fontId="3" numFmtId="4" xfId="0" applyAlignment="1" applyFont="1" applyNumberFormat="1">
      <alignment vertical="bottom"/>
    </xf>
    <xf borderId="0" fillId="3" fontId="3" numFmtId="4" xfId="0" applyAlignment="1" applyFont="1" applyNumberFormat="1">
      <alignment vertical="bottom"/>
    </xf>
    <xf borderId="0" fillId="3" fontId="5" numFmtId="4" xfId="0" applyAlignment="1" applyFont="1" applyNumberFormat="1">
      <alignment vertical="bottom"/>
    </xf>
    <xf borderId="0" fillId="0" fontId="5" numFmtId="3" xfId="0" applyAlignment="1" applyFont="1" applyNumberFormat="1">
      <alignment horizontal="right" readingOrder="0" vertical="bottom"/>
    </xf>
    <xf borderId="0" fillId="3" fontId="5" numFmtId="4" xfId="0" applyAlignment="1" applyFont="1" applyNumberFormat="1">
      <alignment readingOrder="0" vertical="bottom"/>
    </xf>
    <xf borderId="0" fillId="3" fontId="5" numFmtId="3" xfId="0" applyFont="1" applyNumberFormat="1"/>
    <xf borderId="0" fillId="0" fontId="5" numFmtId="4" xfId="0" applyAlignment="1" applyFont="1" applyNumberFormat="1">
      <alignment readingOrder="0" vertical="bottom"/>
    </xf>
    <xf borderId="0" fillId="3" fontId="3" numFmtId="4" xfId="0" applyAlignment="1" applyFont="1" applyNumberFormat="1">
      <alignment readingOrder="0" vertical="bottom"/>
    </xf>
    <xf borderId="0" fillId="3" fontId="3" numFmtId="4" xfId="0" applyAlignment="1" applyFont="1" applyNumberFormat="1">
      <alignment horizontal="right" vertical="bottom"/>
    </xf>
    <xf borderId="0" fillId="3" fontId="5" numFmtId="4" xfId="0" applyFont="1" applyNumberFormat="1"/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166" xfId="0" applyFont="1" applyNumberFormat="1"/>
    <xf borderId="0" fillId="0" fontId="5" numFmtId="2" xfId="0" applyFont="1" applyNumberFormat="1"/>
    <xf borderId="0" fillId="0" fontId="5" numFmtId="0" xfId="0" applyAlignment="1" applyFont="1">
      <alignment readingOrder="0"/>
    </xf>
    <xf borderId="0" fillId="0" fontId="3" numFmtId="2" xfId="0" applyFont="1" applyNumberFormat="1"/>
    <xf borderId="0" fillId="0" fontId="3" numFmtId="0" xfId="0" applyFont="1"/>
    <xf borderId="0" fillId="0" fontId="3" numFmtId="165" xfId="0" applyFont="1" applyNumberFormat="1"/>
    <xf borderId="0" fillId="2" fontId="3" numFmtId="167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4" xfId="0" applyAlignment="1" applyFont="1" applyNumberFormat="1">
      <alignment horizontal="right" vertical="bottom"/>
    </xf>
    <xf borderId="0" fillId="2" fontId="6" numFmtId="0" xfId="0" applyAlignment="1" applyFont="1">
      <alignment horizontal="center" readingOrder="0"/>
    </xf>
    <xf borderId="0" fillId="2" fontId="11" numFmtId="0" xfId="0" applyAlignment="1" applyFont="1">
      <alignment horizontal="right" readingOrder="0"/>
    </xf>
    <xf borderId="0" fillId="2" fontId="11" numFmtId="4" xfId="0" applyAlignment="1" applyFont="1" applyNumberFormat="1">
      <alignment readingOrder="0" vertical="bottom"/>
    </xf>
    <xf borderId="0" fillId="2" fontId="11" numFmtId="0" xfId="0" applyAlignment="1" applyFont="1">
      <alignment readingOrder="0" vertical="bottom"/>
    </xf>
    <xf borderId="7" fillId="3" fontId="12" numFmtId="0" xfId="0" applyBorder="1" applyFont="1"/>
    <xf borderId="7" fillId="3" fontId="10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readingOrder="0"/>
    </xf>
    <xf borderId="0" fillId="3" fontId="10" numFmtId="0" xfId="0" applyAlignment="1" applyFont="1">
      <alignment horizontal="center" shrinkToFit="0" vertical="center" wrapText="1"/>
    </xf>
    <xf borderId="0" fillId="3" fontId="3" numFmtId="0" xfId="0" applyAlignment="1" applyFont="1">
      <alignment readingOrder="0"/>
    </xf>
    <xf borderId="8" fillId="2" fontId="10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6" fillId="2" fontId="5" numFmtId="4" xfId="0" applyAlignment="1" applyBorder="1" applyFont="1" applyNumberFormat="1">
      <alignment readingOrder="0" vertical="bottom"/>
    </xf>
    <xf borderId="10" fillId="0" fontId="7" numFmtId="0" xfId="0" applyBorder="1" applyFont="1"/>
    <xf borderId="11" fillId="0" fontId="7" numFmtId="0" xfId="0" applyBorder="1" applyFont="1"/>
    <xf borderId="1" fillId="2" fontId="5" numFmtId="0" xfId="0" applyAlignment="1" applyBorder="1" applyFont="1">
      <alignment readingOrder="0" vertical="bottom"/>
    </xf>
    <xf borderId="0" fillId="3" fontId="12" numFmtId="0" xfId="0" applyFont="1"/>
    <xf borderId="1" fillId="0" fontId="3" numFmtId="0" xfId="0" applyAlignment="1" applyBorder="1" applyFont="1">
      <alignment readingOrder="0" vertical="bottom"/>
    </xf>
    <xf borderId="1" fillId="0" fontId="3" numFmtId="3" xfId="0" applyAlignment="1" applyBorder="1" applyFont="1" applyNumberFormat="1">
      <alignment vertical="bottom"/>
    </xf>
    <xf borderId="0" fillId="3" fontId="11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vertical="bottom"/>
    </xf>
    <xf borderId="1" fillId="0" fontId="5" numFmtId="3" xfId="0" applyAlignment="1" applyBorder="1" applyFont="1" applyNumberFormat="1">
      <alignment horizontal="right" vertical="bottom"/>
    </xf>
    <xf borderId="0" fillId="3" fontId="5" numFmtId="0" xfId="0" applyAlignment="1" applyFont="1">
      <alignment vertical="bottom"/>
    </xf>
    <xf borderId="0" fillId="3" fontId="3" numFmtId="0" xfId="0" applyAlignment="1" applyFont="1">
      <alignment horizontal="left" readingOrder="0" vertical="bottom"/>
    </xf>
    <xf borderId="0" fillId="3" fontId="3" numFmtId="3" xfId="0" applyAlignment="1" applyFont="1" applyNumberFormat="1">
      <alignment horizontal="left" readingOrder="0" vertical="bottom"/>
    </xf>
    <xf borderId="0" fillId="3" fontId="5" numFmtId="0" xfId="0" applyAlignment="1" applyFont="1">
      <alignment readingOrder="0" vertical="bottom"/>
    </xf>
    <xf borderId="2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3" fontId="3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2" fillId="2" fontId="3" numFmtId="0" xfId="0" applyAlignment="1" applyBorder="1" applyFont="1">
      <alignment horizontal="center" readingOrder="0" vertical="center"/>
    </xf>
    <xf borderId="1" fillId="0" fontId="5" numFmtId="4" xfId="0" applyAlignment="1" applyBorder="1" applyFont="1" applyNumberFormat="1">
      <alignment horizontal="right" vertical="bottom"/>
    </xf>
    <xf borderId="1" fillId="0" fontId="5" numFmtId="4" xfId="0" applyAlignment="1" applyBorder="1" applyFont="1" applyNumberFormat="1">
      <alignment horizontal="right"/>
    </xf>
    <xf borderId="0" fillId="3" fontId="3" numFmtId="3" xfId="0" applyAlignment="1" applyFont="1" applyNumberFormat="1">
      <alignment readingOrder="0"/>
    </xf>
    <xf borderId="0" fillId="2" fontId="8" numFmtId="0" xfId="0" applyAlignment="1" applyFont="1">
      <alignment horizontal="center" readingOrder="0"/>
    </xf>
    <xf borderId="12" fillId="2" fontId="3" numFmtId="0" xfId="0" applyAlignment="1" applyBorder="1" applyFont="1">
      <alignment horizontal="center" readingOrder="0"/>
    </xf>
    <xf borderId="13" fillId="0" fontId="7" numFmtId="0" xfId="0" applyBorder="1" applyFont="1"/>
    <xf borderId="14" fillId="0" fontId="7" numFmtId="0" xfId="0" applyBorder="1" applyFont="1"/>
    <xf borderId="1" fillId="0" fontId="5" numFmtId="168" xfId="0" applyAlignment="1" applyBorder="1" applyFont="1" applyNumberFormat="1">
      <alignment horizontal="right" vertical="bottom"/>
    </xf>
    <xf borderId="2" fillId="0" fontId="5" numFmtId="0" xfId="0" applyAlignment="1" applyBorder="1" applyFont="1">
      <alignment readingOrder="0"/>
    </xf>
    <xf borderId="3" fillId="0" fontId="5" numFmtId="10" xfId="0" applyBorder="1" applyFont="1" applyNumberFormat="1"/>
    <xf borderId="8" fillId="2" fontId="3" numFmtId="0" xfId="0" applyAlignment="1" applyBorder="1" applyFont="1">
      <alignment readingOrder="0"/>
    </xf>
    <xf borderId="1" fillId="0" fontId="5" numFmtId="10" xfId="0" applyAlignment="1" applyBorder="1" applyFont="1" applyNumberFormat="1">
      <alignment horizontal="right" vertical="bottom"/>
    </xf>
    <xf borderId="2" fillId="0" fontId="5" numFmtId="0" xfId="0" applyBorder="1" applyFont="1"/>
    <xf borderId="10" fillId="0" fontId="5" numFmtId="0" xfId="0" applyBorder="1" applyFont="1"/>
    <xf borderId="2" fillId="2" fontId="6" numFmtId="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right" vertical="bottom"/>
    </xf>
    <xf borderId="2" fillId="0" fontId="5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Garamond"/>
              </a:defRPr>
            </a:pPr>
            <a:r>
              <a:rPr b="1" sz="2400">
                <a:solidFill>
                  <a:srgbClr val="000000"/>
                </a:solidFill>
                <a:latin typeface="Garamond"/>
              </a:rPr>
              <a:t>Monthly Sales (in Units)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'Dashboard 1'!$B$57:$B$60</c:f>
            </c:strRef>
          </c:tx>
          <c:spPr>
            <a:ln cmpd="sng">
              <a:solidFill>
                <a:srgbClr val="9FC5E8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9FC5E8">
                  <a:alpha val="100000"/>
                </a:srgbClr>
              </a:solidFill>
              <a:ln cmpd="sng">
                <a:solidFill>
                  <a:srgbClr val="9FC5E8">
                    <a:alpha val="100000"/>
                  </a:srgbClr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3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 1'!$A$61:$A$66</c:f>
            </c:strRef>
          </c:cat>
          <c:val>
            <c:numRef>
              <c:f>'Dashboard 1'!$B$61:$B$66</c:f>
              <c:numCache/>
            </c:numRef>
          </c:val>
          <c:smooth val="1"/>
        </c:ser>
        <c:ser>
          <c:idx val="1"/>
          <c:order val="1"/>
          <c:tx>
            <c:strRef>
              <c:f>'Dashboard 1'!$C$57:$C$60</c:f>
            </c:strRef>
          </c:tx>
          <c:spPr>
            <a:ln cmpd="sng">
              <a:solidFill>
                <a:srgbClr val="0B5394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0B5394">
                  <a:alpha val="100000"/>
                </a:srgbClr>
              </a:solidFill>
              <a:ln cmpd="sng">
                <a:solidFill>
                  <a:srgbClr val="0B539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 1'!$A$61:$A$66</c:f>
            </c:strRef>
          </c:cat>
          <c:val>
            <c:numRef>
              <c:f>'Dashboard 1'!$C$61:$C$66</c:f>
              <c:numCache/>
            </c:numRef>
          </c:val>
          <c:smooth val="1"/>
        </c:ser>
        <c:axId val="854980581"/>
        <c:axId val="1600318040"/>
      </c:lineChart>
      <c:catAx>
        <c:axId val="854980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0318040"/>
      </c:catAx>
      <c:valAx>
        <c:axId val="160031804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4980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Garamond"/>
              </a:defRPr>
            </a:pPr>
            <a:r>
              <a:rPr b="1" sz="2400">
                <a:solidFill>
                  <a:srgbClr val="000000"/>
                </a:solidFill>
                <a:latin typeface="Garamond"/>
              </a:rPr>
              <a:t>Revenue: Old Plan vs New Plan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'Dashboard 1'!$B$68:$B$69</c:f>
            </c:strRef>
          </c:tx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 1'!$A$70:$A$71</c:f>
            </c:strRef>
          </c:cat>
          <c:val>
            <c:numRef>
              <c:f>'Dashboard 1'!$B$70:$B$71</c:f>
              <c:numCache/>
            </c:numRef>
          </c:val>
        </c:ser>
        <c:axId val="251359655"/>
        <c:axId val="581363488"/>
      </c:barChart>
      <c:catAx>
        <c:axId val="251359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1363488"/>
      </c:catAx>
      <c:valAx>
        <c:axId val="58136348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13596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chemeClr val="dk1"/>
                </a:solidFill>
                <a:latin typeface="Garamond"/>
              </a:defRPr>
            </a:pPr>
            <a:r>
              <a:rPr b="1" sz="2400">
                <a:solidFill>
                  <a:schemeClr val="dk1"/>
                </a:solidFill>
                <a:latin typeface="Garamond"/>
              </a:rPr>
              <a:t>Monthly Contribution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'Dashboard 1'!$B$73:$B$74</c:f>
            </c:strRef>
          </c:tx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 1'!$A$75:$A$80</c:f>
            </c:strRef>
          </c:cat>
          <c:val>
            <c:numRef>
              <c:f>'Dashboard 1'!$B$75:$B$80</c:f>
              <c:numCache/>
            </c:numRef>
          </c:val>
        </c:ser>
        <c:ser>
          <c:idx val="1"/>
          <c:order val="1"/>
          <c:tx>
            <c:strRef>
              <c:f>'Dashboard 1'!$C$73:$C$74</c:f>
            </c:strRef>
          </c:tx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 1'!$A$75:$A$80</c:f>
            </c:strRef>
          </c:cat>
          <c:val>
            <c:numRef>
              <c:f>'Dashboard 1'!$C$75:$C$80</c:f>
              <c:numCache/>
            </c:numRef>
          </c:val>
        </c:ser>
        <c:axId val="641615986"/>
        <c:axId val="275801754"/>
      </c:barChart>
      <c:catAx>
        <c:axId val="641615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801754"/>
      </c:catAx>
      <c:valAx>
        <c:axId val="27580175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615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222222"/>
                </a:solidFill>
                <a:latin typeface="Garamond"/>
              </a:defRPr>
            </a:pPr>
            <a:r>
              <a:rPr b="1" sz="3000">
                <a:solidFill>
                  <a:srgbClr val="222222"/>
                </a:solidFill>
                <a:latin typeface="Garamond"/>
              </a:rPr>
              <a:t>Cost Benefit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'Cost-Benefit Analysis'!$B$1:$G$1</c:f>
            </c:strRef>
          </c:cat>
          <c:val>
            <c:numRef>
              <c:f>'Cost-Benefit Analysis'!$B$22:$G$22</c:f>
              <c:numCache/>
            </c:numRef>
          </c:val>
        </c:ser>
        <c:axId val="1694339824"/>
        <c:axId val="2015375667"/>
      </c:barChart>
      <c:catAx>
        <c:axId val="169433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375667"/>
      </c:catAx>
      <c:valAx>
        <c:axId val="201537566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4339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1114425</xdr:colOff>
      <xdr:row>3</xdr:row>
      <xdr:rowOff>0</xdr:rowOff>
    </xdr:from>
    <xdr:ext cx="6086475" cy="4371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</xdr:row>
      <xdr:rowOff>0</xdr:rowOff>
    </xdr:from>
    <xdr:ext cx="6296025" cy="4371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24</xdr:row>
      <xdr:rowOff>104775</xdr:rowOff>
    </xdr:from>
    <xdr:ext cx="12392025" cy="50101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161925</xdr:rowOff>
    </xdr:from>
    <xdr:ext cx="11315700" cy="45815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4" max="4" width="18.63"/>
    <col customWidth="1" min="7" max="7" width="17.25"/>
    <col customWidth="1" min="10" max="10" width="18.38"/>
    <col customWidth="1" min="11" max="11" width="16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1"/>
      <c r="D2" s="2" t="s">
        <v>0</v>
      </c>
      <c r="E2" s="3" t="s">
        <v>2</v>
      </c>
      <c r="F2" s="1"/>
      <c r="G2" s="2" t="s">
        <v>0</v>
      </c>
      <c r="H2" s="3" t="s">
        <v>3</v>
      </c>
      <c r="I2" s="1"/>
      <c r="J2" s="2" t="s">
        <v>0</v>
      </c>
      <c r="K2" s="3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3" t="s">
        <v>6</v>
      </c>
      <c r="C3" s="1"/>
      <c r="D3" s="2" t="s">
        <v>5</v>
      </c>
      <c r="E3" s="3" t="s">
        <v>7</v>
      </c>
      <c r="F3" s="1"/>
      <c r="G3" s="2" t="s">
        <v>5</v>
      </c>
      <c r="H3" s="3" t="s">
        <v>8</v>
      </c>
      <c r="I3" s="1"/>
      <c r="J3" s="2" t="s">
        <v>5</v>
      </c>
      <c r="K3" s="3" t="s">
        <v>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10</v>
      </c>
      <c r="B4" s="2" t="s">
        <v>11</v>
      </c>
      <c r="C4" s="1"/>
      <c r="D4" s="2" t="s">
        <v>10</v>
      </c>
      <c r="E4" s="2" t="s">
        <v>11</v>
      </c>
      <c r="F4" s="1"/>
      <c r="G4" s="2" t="s">
        <v>10</v>
      </c>
      <c r="H4" s="2" t="s">
        <v>11</v>
      </c>
      <c r="I4" s="1"/>
      <c r="J4" s="2" t="s">
        <v>10</v>
      </c>
      <c r="K4" s="2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4">
        <v>0.0</v>
      </c>
      <c r="C5" s="1"/>
      <c r="D5" s="3" t="s">
        <v>13</v>
      </c>
      <c r="E5" s="4">
        <v>0.0</v>
      </c>
      <c r="F5" s="1"/>
      <c r="G5" s="3" t="s">
        <v>14</v>
      </c>
      <c r="H5" s="4">
        <v>0.0</v>
      </c>
      <c r="I5" s="1"/>
      <c r="J5" s="3" t="s">
        <v>15</v>
      </c>
      <c r="K5" s="4">
        <v>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4">
        <v>0.0</v>
      </c>
      <c r="C6" s="1"/>
      <c r="D6" s="3" t="s">
        <v>17</v>
      </c>
      <c r="E6" s="5">
        <v>0.125</v>
      </c>
      <c r="F6" s="1"/>
      <c r="G6" s="6" t="s">
        <v>18</v>
      </c>
      <c r="H6" s="4">
        <v>0.0</v>
      </c>
      <c r="I6" s="1"/>
      <c r="J6" s="3" t="s">
        <v>19</v>
      </c>
      <c r="K6" s="4">
        <v>0.0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4">
        <v>0.1</v>
      </c>
      <c r="C7" s="1"/>
      <c r="D7" s="3" t="s">
        <v>21</v>
      </c>
      <c r="E7" s="4">
        <v>0.05</v>
      </c>
      <c r="F7" s="1"/>
      <c r="G7" s="3" t="s">
        <v>22</v>
      </c>
      <c r="H7" s="4">
        <v>0.05</v>
      </c>
      <c r="I7" s="1"/>
      <c r="J7" s="3" t="s">
        <v>23</v>
      </c>
      <c r="K7" s="4">
        <v>0.0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5">
        <v>0.125</v>
      </c>
      <c r="C8" s="1"/>
      <c r="D8" s="3" t="s">
        <v>25</v>
      </c>
      <c r="E8" s="4">
        <v>0.05</v>
      </c>
      <c r="F8" s="1"/>
      <c r="G8" s="3" t="s">
        <v>26</v>
      </c>
      <c r="H8" s="4">
        <v>0.0</v>
      </c>
      <c r="I8" s="1"/>
      <c r="J8" s="3" t="s">
        <v>27</v>
      </c>
      <c r="K8" s="4">
        <v>0.1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0.25"/>
  </cols>
  <sheetData>
    <row r="1">
      <c r="A1" s="7" t="s">
        <v>28</v>
      </c>
      <c r="B1" s="8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30</v>
      </c>
      <c r="B3" s="9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 t="s">
        <v>32</v>
      </c>
      <c r="B5" s="10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1" t="s">
        <v>12</v>
      </c>
      <c r="B6" s="1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0" t="s">
        <v>34</v>
      </c>
      <c r="B7" s="10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>
        <v>21497.0</v>
      </c>
      <c r="B8" s="10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>
        <v>26871.0</v>
      </c>
      <c r="B9" s="10" t="s">
        <v>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39</v>
      </c>
      <c r="B12" s="12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 t="s">
        <v>41</v>
      </c>
      <c r="B13" s="10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0" t="s">
        <v>43</v>
      </c>
      <c r="B14" s="10" t="s">
        <v>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 t="s">
        <v>45</v>
      </c>
      <c r="B15" s="10" t="s">
        <v>46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0"/>
    <col customWidth="1" min="3" max="3" width="16.38"/>
    <col customWidth="1" min="4" max="4" width="14.63"/>
    <col customWidth="1" min="6" max="6" width="25.88"/>
    <col customWidth="1" min="11" max="11" width="14.25"/>
    <col customWidth="1" min="12" max="12" width="16.63"/>
    <col customWidth="1" min="13" max="13" width="16.25"/>
    <col customWidth="1" min="14" max="14" width="27.38"/>
    <col customWidth="1" min="16" max="16" width="20.75"/>
    <col customWidth="1" min="18" max="18" width="24.5"/>
    <col customWidth="1" min="19" max="19" width="22.88"/>
    <col customWidth="1" min="20" max="20" width="27.38"/>
    <col customWidth="1" min="21" max="21" width="28.63"/>
    <col customWidth="1" min="22" max="22" width="22.38"/>
    <col customWidth="1" min="23" max="24" width="23.88"/>
  </cols>
  <sheetData>
    <row r="1">
      <c r="A1" s="13"/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33</v>
      </c>
      <c r="H1" s="13" t="s">
        <v>52</v>
      </c>
      <c r="I1" s="13" t="s">
        <v>10</v>
      </c>
      <c r="J1" s="13" t="s">
        <v>42</v>
      </c>
      <c r="K1" s="14" t="s">
        <v>53</v>
      </c>
      <c r="L1" s="14" t="s">
        <v>54</v>
      </c>
      <c r="M1" s="14" t="s">
        <v>55</v>
      </c>
      <c r="N1" s="14" t="s">
        <v>56</v>
      </c>
      <c r="O1" s="14" t="s">
        <v>0</v>
      </c>
      <c r="P1" s="14" t="s">
        <v>5</v>
      </c>
      <c r="Q1" s="14" t="s">
        <v>11</v>
      </c>
      <c r="R1" s="14" t="s">
        <v>57</v>
      </c>
      <c r="S1" s="14" t="s">
        <v>58</v>
      </c>
      <c r="T1" s="13" t="s">
        <v>59</v>
      </c>
      <c r="U1" s="13" t="s">
        <v>60</v>
      </c>
      <c r="V1" s="13" t="s">
        <v>61</v>
      </c>
      <c r="W1" s="13" t="s">
        <v>62</v>
      </c>
      <c r="X1" s="13" t="s">
        <v>63</v>
      </c>
      <c r="Y1" s="15"/>
    </row>
    <row r="2">
      <c r="A2" s="16" t="s">
        <v>64</v>
      </c>
      <c r="B2" s="17" t="str">
        <f>IFERROR(__xludf.DUMMYFUNCTION("split(A2,""//"")"),"Month1 ")</f>
        <v>Month1 </v>
      </c>
      <c r="C2" s="17" t="str">
        <f>IFERROR(__xludf.DUMMYFUNCTION("""COMPUTED_VALUE"""),"City_Delhi")</f>
        <v>City_Delhi</v>
      </c>
      <c r="D2" s="17" t="str">
        <f>IFERROR(__xludf.DUMMYFUNCTION("""COMPUTED_VALUE"""),"PRD-ZestVita")</f>
        <v>PRD-ZestVita</v>
      </c>
      <c r="E2" s="17" t="str">
        <f>IFERROR(__xludf.DUMMYFUNCTION("""COMPUTED_VALUE"""),"OPQ  21497")</f>
        <v>OPQ  21497</v>
      </c>
      <c r="F2" s="17" t="str">
        <f>IFERROR(__xludf.DUMMYFUNCTION("""COMPUTED_VALUE"""),"NPQ[IPLMARKETTING]26871")</f>
        <v>NPQ[IPLMARKETTING]26871</v>
      </c>
      <c r="G2" s="18">
        <f t="shared" ref="G2:G193" si="1">value(SUBSTITUTE(B2,"Month",""))</f>
        <v>1</v>
      </c>
      <c r="H2" s="17" t="str">
        <f t="shared" ref="H2:H193" si="2">if(G2=1,"January",if(G2=2,"February",if(G2=3,"March",if(G2=4,"April",if(G2=5,"May",if(G2=6,"June"))))))</f>
        <v>January</v>
      </c>
      <c r="I2" s="17" t="str">
        <f t="shared" ref="I2:I193" si="3">SUBSTITUTE(C2,"City_","")</f>
        <v>Delhi</v>
      </c>
      <c r="J2" s="17" t="str">
        <f t="shared" ref="J2:J193" si="4">SUBSTITUTE(D2,"PRD-","")</f>
        <v>ZestVita</v>
      </c>
      <c r="K2" s="18">
        <f t="shared" ref="K2:K193" si="5">value(SUBSTITUTE(E2,"OPQ  ",""))</f>
        <v>21497</v>
      </c>
      <c r="L2" s="18">
        <f t="shared" ref="L2:L193" si="6">value(SUBSTITUTE(F2,"NPQ[IPLMARKETTING]",""))</f>
        <v>26871</v>
      </c>
      <c r="M2" s="17">
        <f t="shared" ref="M2:M193" si="7">if(J2="ZestVita",135,60)</f>
        <v>135</v>
      </c>
      <c r="N2" s="18">
        <f t="shared" ref="N2:N193" si="8">K2*M2</f>
        <v>2902095</v>
      </c>
      <c r="O2" s="17" t="str">
        <f t="shared" ref="O2:O193" si="9">if(or(I2="Delhi",I2="Chandigarh",I2="Lucknow",I2="Dehradun"),"North",if(or(I2="Kolkata",I2="Bhubaneswar",I2="Ranchi",I2="Patna"),"East",if(or(I2="Pune",I2="Ahmedabad ",I2="Surat",I2="Jaipur"),"West",if(or(I2="Bengaluru",I2="Chennai",I2="Hyderabad",I2="Kochi"),"South",""))))</f>
        <v>North</v>
      </c>
      <c r="P2" s="17" t="str">
        <f t="shared" ref="P2:P193" si="10">if(or(I2="Delhi",I2="Chandigarh",I2="Lucknow",I2="Dehradun"),"Ajay Kumar",if(or(I2="Kolkata",I2="Bhubaneswar",I2="Ranchi",I2="Patna"),"Tanvi Sharma",if(or(I2="Pune",I2="Ahmedabad ",I2="Surat",I2="Jaipur"),"Ajay Ghosh",if(or(I2="Bengaluru",I2="Chennai",I2="Hyderabad",I2="Kochi"),"Anjali Krishna Murthy",""))))</f>
        <v>Ajay Kumar</v>
      </c>
      <c r="Q2" s="19">
        <f t="shared" ref="Q2:Q193" si="11">if(or(I2="Lucknow",I2="Kochi"),10/100,if(or(I2="Dehradun",I2="Bhubaneswar"),12.5/100,if(or(I2="Ranchi",I2="Patna",I2="Surat"),5/100,0)))</f>
        <v>0</v>
      </c>
      <c r="R2" s="18">
        <f t="shared" ref="R2:R193" si="12">if((N2*(1-$Q2))=N2,N2,N2*(1-$Q2))</f>
        <v>2902095</v>
      </c>
      <c r="S2" s="18">
        <f t="shared" ref="S2:S193" si="13">L2*M2</f>
        <v>3627585</v>
      </c>
      <c r="T2" s="20">
        <f t="shared" ref="T2:T193" si="14">if($J2="ZestVita",55.84,24.108)</f>
        <v>55.84</v>
      </c>
      <c r="U2" s="20">
        <f t="shared" ref="U2:U193" si="15">if($J2="ZestVita",73.16,29.892)</f>
        <v>73.16</v>
      </c>
      <c r="V2" s="21">
        <f t="shared" ref="V2:V193" si="16">T2*K2</f>
        <v>1200392.48</v>
      </c>
      <c r="W2" s="18">
        <f t="shared" ref="W2:W193" si="17">R2-V2</f>
        <v>1701702.52</v>
      </c>
      <c r="X2" s="17">
        <f t="shared" ref="X2:X193" si="18">U2*L2</f>
        <v>1965882.36</v>
      </c>
      <c r="Y2" s="15"/>
    </row>
    <row r="3">
      <c r="A3" s="16" t="s">
        <v>65</v>
      </c>
      <c r="B3" s="17" t="str">
        <f>IFERROR(__xludf.DUMMYFUNCTION("split(A3,""//"")"),"Month1 ")</f>
        <v>Month1 </v>
      </c>
      <c r="C3" s="17" t="str">
        <f>IFERROR(__xludf.DUMMYFUNCTION("""COMPUTED_VALUE"""),"City_Delhi")</f>
        <v>City_Delhi</v>
      </c>
      <c r="D3" s="17" t="str">
        <f>IFERROR(__xludf.DUMMYFUNCTION("""COMPUTED_VALUE"""),"PRD-NutriKid")</f>
        <v>PRD-NutriKid</v>
      </c>
      <c r="E3" s="17" t="str">
        <f>IFERROR(__xludf.DUMMYFUNCTION("""COMPUTED_VALUE"""),"OPQ  16650")</f>
        <v>OPQ  16650</v>
      </c>
      <c r="F3" s="17" t="str">
        <f>IFERROR(__xludf.DUMMYFUNCTION("""COMPUTED_VALUE"""),"NPQ[IPLMARKETTING]20147")</f>
        <v>NPQ[IPLMARKETTING]20147</v>
      </c>
      <c r="G3" s="18">
        <f t="shared" si="1"/>
        <v>1</v>
      </c>
      <c r="H3" s="17" t="str">
        <f t="shared" si="2"/>
        <v>January</v>
      </c>
      <c r="I3" s="17" t="str">
        <f t="shared" si="3"/>
        <v>Delhi</v>
      </c>
      <c r="J3" s="17" t="str">
        <f t="shared" si="4"/>
        <v>NutriKid</v>
      </c>
      <c r="K3" s="18">
        <f t="shared" si="5"/>
        <v>16650</v>
      </c>
      <c r="L3" s="18">
        <f t="shared" si="6"/>
        <v>20147</v>
      </c>
      <c r="M3" s="17">
        <f t="shared" si="7"/>
        <v>60</v>
      </c>
      <c r="N3" s="18">
        <f t="shared" si="8"/>
        <v>999000</v>
      </c>
      <c r="O3" s="17" t="str">
        <f t="shared" si="9"/>
        <v>North</v>
      </c>
      <c r="P3" s="17" t="str">
        <f t="shared" si="10"/>
        <v>Ajay Kumar</v>
      </c>
      <c r="Q3" s="19">
        <f t="shared" si="11"/>
        <v>0</v>
      </c>
      <c r="R3" s="18">
        <f t="shared" si="12"/>
        <v>999000</v>
      </c>
      <c r="S3" s="18">
        <f t="shared" si="13"/>
        <v>1208820</v>
      </c>
      <c r="T3" s="20">
        <f t="shared" si="14"/>
        <v>24.108</v>
      </c>
      <c r="U3" s="20">
        <f t="shared" si="15"/>
        <v>29.892</v>
      </c>
      <c r="V3" s="21">
        <f t="shared" si="16"/>
        <v>401398.2</v>
      </c>
      <c r="W3" s="18">
        <f t="shared" si="17"/>
        <v>597601.8</v>
      </c>
      <c r="X3" s="17">
        <f t="shared" si="18"/>
        <v>602234.124</v>
      </c>
      <c r="Y3" s="15"/>
    </row>
    <row r="4">
      <c r="A4" s="16" t="s">
        <v>66</v>
      </c>
      <c r="B4" s="17" t="str">
        <f>IFERROR(__xludf.DUMMYFUNCTION("split(A4,""//"")"),"Month1 ")</f>
        <v>Month1 </v>
      </c>
      <c r="C4" s="17" t="str">
        <f>IFERROR(__xludf.DUMMYFUNCTION("""COMPUTED_VALUE"""),"City_Kolkata")</f>
        <v>City_Kolkata</v>
      </c>
      <c r="D4" s="17" t="str">
        <f>IFERROR(__xludf.DUMMYFUNCTION("""COMPUTED_VALUE"""),"PRD-ZestVita")</f>
        <v>PRD-ZestVita</v>
      </c>
      <c r="E4" s="17" t="str">
        <f>IFERROR(__xludf.DUMMYFUNCTION("""COMPUTED_VALUE"""),"OPQ  11470")</f>
        <v>OPQ  11470</v>
      </c>
      <c r="F4" s="17" t="str">
        <f>IFERROR(__xludf.DUMMYFUNCTION("""COMPUTED_VALUE"""),"NPQ[IPLMARKETTING]12617")</f>
        <v>NPQ[IPLMARKETTING]12617</v>
      </c>
      <c r="G4" s="18">
        <f t="shared" si="1"/>
        <v>1</v>
      </c>
      <c r="H4" s="17" t="str">
        <f t="shared" si="2"/>
        <v>January</v>
      </c>
      <c r="I4" s="17" t="str">
        <f t="shared" si="3"/>
        <v>Kolkata</v>
      </c>
      <c r="J4" s="17" t="str">
        <f t="shared" si="4"/>
        <v>ZestVita</v>
      </c>
      <c r="K4" s="18">
        <f t="shared" si="5"/>
        <v>11470</v>
      </c>
      <c r="L4" s="18">
        <f t="shared" si="6"/>
        <v>12617</v>
      </c>
      <c r="M4" s="17">
        <f t="shared" si="7"/>
        <v>135</v>
      </c>
      <c r="N4" s="18">
        <f t="shared" si="8"/>
        <v>1548450</v>
      </c>
      <c r="O4" s="17" t="str">
        <f t="shared" si="9"/>
        <v>East</v>
      </c>
      <c r="P4" s="17" t="str">
        <f t="shared" si="10"/>
        <v>Tanvi Sharma</v>
      </c>
      <c r="Q4" s="19">
        <f t="shared" si="11"/>
        <v>0</v>
      </c>
      <c r="R4" s="18">
        <f t="shared" si="12"/>
        <v>1548450</v>
      </c>
      <c r="S4" s="18">
        <f t="shared" si="13"/>
        <v>1703295</v>
      </c>
      <c r="T4" s="20">
        <f t="shared" si="14"/>
        <v>55.84</v>
      </c>
      <c r="U4" s="20">
        <f t="shared" si="15"/>
        <v>73.16</v>
      </c>
      <c r="V4" s="21">
        <f t="shared" si="16"/>
        <v>640484.8</v>
      </c>
      <c r="W4" s="18">
        <f t="shared" si="17"/>
        <v>907965.2</v>
      </c>
      <c r="X4" s="17">
        <f t="shared" si="18"/>
        <v>923059.72</v>
      </c>
      <c r="Y4" s="15"/>
    </row>
    <row r="5">
      <c r="A5" s="16" t="s">
        <v>67</v>
      </c>
      <c r="B5" s="17" t="str">
        <f>IFERROR(__xludf.DUMMYFUNCTION("split(A5,""//"")"),"Month1 ")</f>
        <v>Month1 </v>
      </c>
      <c r="C5" s="17" t="str">
        <f>IFERROR(__xludf.DUMMYFUNCTION("""COMPUTED_VALUE"""),"City_Kolkata")</f>
        <v>City_Kolkata</v>
      </c>
      <c r="D5" s="17" t="str">
        <f>IFERROR(__xludf.DUMMYFUNCTION("""COMPUTED_VALUE"""),"PRD-NutriKid")</f>
        <v>PRD-NutriKid</v>
      </c>
      <c r="E5" s="17" t="str">
        <f>IFERROR(__xludf.DUMMYFUNCTION("""COMPUTED_VALUE"""),"OPQ  22348")</f>
        <v>OPQ  22348</v>
      </c>
      <c r="F5" s="17" t="str">
        <f>IFERROR(__xludf.DUMMYFUNCTION("""COMPUTED_VALUE"""),"NPQ[IPLMARKETTING]27488")</f>
        <v>NPQ[IPLMARKETTING]27488</v>
      </c>
      <c r="G5" s="18">
        <f t="shared" si="1"/>
        <v>1</v>
      </c>
      <c r="H5" s="17" t="str">
        <f t="shared" si="2"/>
        <v>January</v>
      </c>
      <c r="I5" s="17" t="str">
        <f t="shared" si="3"/>
        <v>Kolkata</v>
      </c>
      <c r="J5" s="17" t="str">
        <f t="shared" si="4"/>
        <v>NutriKid</v>
      </c>
      <c r="K5" s="18">
        <f t="shared" si="5"/>
        <v>22348</v>
      </c>
      <c r="L5" s="18">
        <f t="shared" si="6"/>
        <v>27488</v>
      </c>
      <c r="M5" s="17">
        <f t="shared" si="7"/>
        <v>60</v>
      </c>
      <c r="N5" s="18">
        <f t="shared" si="8"/>
        <v>1340880</v>
      </c>
      <c r="O5" s="17" t="str">
        <f t="shared" si="9"/>
        <v>East</v>
      </c>
      <c r="P5" s="17" t="str">
        <f t="shared" si="10"/>
        <v>Tanvi Sharma</v>
      </c>
      <c r="Q5" s="19">
        <f t="shared" si="11"/>
        <v>0</v>
      </c>
      <c r="R5" s="18">
        <f t="shared" si="12"/>
        <v>1340880</v>
      </c>
      <c r="S5" s="18">
        <f t="shared" si="13"/>
        <v>1649280</v>
      </c>
      <c r="T5" s="20">
        <f t="shared" si="14"/>
        <v>24.108</v>
      </c>
      <c r="U5" s="20">
        <f t="shared" si="15"/>
        <v>29.892</v>
      </c>
      <c r="V5" s="21">
        <f t="shared" si="16"/>
        <v>538765.584</v>
      </c>
      <c r="W5" s="18">
        <f t="shared" si="17"/>
        <v>802114.416</v>
      </c>
      <c r="X5" s="17">
        <f t="shared" si="18"/>
        <v>821671.296</v>
      </c>
      <c r="Y5" s="15"/>
    </row>
    <row r="6">
      <c r="A6" s="16" t="s">
        <v>68</v>
      </c>
      <c r="B6" s="17" t="str">
        <f>IFERROR(__xludf.DUMMYFUNCTION("split(A6,""//"")"),"Month1 ")</f>
        <v>Month1 </v>
      </c>
      <c r="C6" s="17" t="str">
        <f>IFERROR(__xludf.DUMMYFUNCTION("""COMPUTED_VALUE"""),"City_Pune")</f>
        <v>City_Pune</v>
      </c>
      <c r="D6" s="17" t="str">
        <f>IFERROR(__xludf.DUMMYFUNCTION("""COMPUTED_VALUE"""),"PRD-ZestVita")</f>
        <v>PRD-ZestVita</v>
      </c>
      <c r="E6" s="17" t="str">
        <f>IFERROR(__xludf.DUMMYFUNCTION("""COMPUTED_VALUE"""),"OPQ  13727")</f>
        <v>OPQ  13727</v>
      </c>
      <c r="F6" s="17" t="str">
        <f>IFERROR(__xludf.DUMMYFUNCTION("""COMPUTED_VALUE"""),"NPQ[IPLMARKETTING]15649")</f>
        <v>NPQ[IPLMARKETTING]15649</v>
      </c>
      <c r="G6" s="18">
        <f t="shared" si="1"/>
        <v>1</v>
      </c>
      <c r="H6" s="17" t="str">
        <f t="shared" si="2"/>
        <v>January</v>
      </c>
      <c r="I6" s="17" t="str">
        <f t="shared" si="3"/>
        <v>Pune</v>
      </c>
      <c r="J6" s="17" t="str">
        <f t="shared" si="4"/>
        <v>ZestVita</v>
      </c>
      <c r="K6" s="18">
        <f t="shared" si="5"/>
        <v>13727</v>
      </c>
      <c r="L6" s="18">
        <f t="shared" si="6"/>
        <v>15649</v>
      </c>
      <c r="M6" s="17">
        <f t="shared" si="7"/>
        <v>135</v>
      </c>
      <c r="N6" s="18">
        <f t="shared" si="8"/>
        <v>1853145</v>
      </c>
      <c r="O6" s="17" t="str">
        <f t="shared" si="9"/>
        <v>West</v>
      </c>
      <c r="P6" s="17" t="str">
        <f t="shared" si="10"/>
        <v>Ajay Ghosh</v>
      </c>
      <c r="Q6" s="19">
        <f t="shared" si="11"/>
        <v>0</v>
      </c>
      <c r="R6" s="18">
        <f t="shared" si="12"/>
        <v>1853145</v>
      </c>
      <c r="S6" s="18">
        <f t="shared" si="13"/>
        <v>2112615</v>
      </c>
      <c r="T6" s="20">
        <f t="shared" si="14"/>
        <v>55.84</v>
      </c>
      <c r="U6" s="20">
        <f t="shared" si="15"/>
        <v>73.16</v>
      </c>
      <c r="V6" s="21">
        <f t="shared" si="16"/>
        <v>766515.68</v>
      </c>
      <c r="W6" s="18">
        <f t="shared" si="17"/>
        <v>1086629.32</v>
      </c>
      <c r="X6" s="17">
        <f t="shared" si="18"/>
        <v>1144880.84</v>
      </c>
      <c r="Y6" s="15"/>
    </row>
    <row r="7">
      <c r="A7" s="16" t="s">
        <v>69</v>
      </c>
      <c r="B7" s="17" t="str">
        <f>IFERROR(__xludf.DUMMYFUNCTION("split(A7,""//"")"),"Month1 ")</f>
        <v>Month1 </v>
      </c>
      <c r="C7" s="17" t="str">
        <f>IFERROR(__xludf.DUMMYFUNCTION("""COMPUTED_VALUE"""),"City_Pune")</f>
        <v>City_Pune</v>
      </c>
      <c r="D7" s="17" t="str">
        <f>IFERROR(__xludf.DUMMYFUNCTION("""COMPUTED_VALUE"""),"PRD-NutriKid")</f>
        <v>PRD-NutriKid</v>
      </c>
      <c r="E7" s="17" t="str">
        <f>IFERROR(__xludf.DUMMYFUNCTION("""COMPUTED_VALUE"""),"OPQ  15799")</f>
        <v>OPQ  15799</v>
      </c>
      <c r="F7" s="17" t="str">
        <f>IFERROR(__xludf.DUMMYFUNCTION("""COMPUTED_VALUE"""),"NPQ[IPLMARKETTING]19275")</f>
        <v>NPQ[IPLMARKETTING]19275</v>
      </c>
      <c r="G7" s="18">
        <f t="shared" si="1"/>
        <v>1</v>
      </c>
      <c r="H7" s="17" t="str">
        <f t="shared" si="2"/>
        <v>January</v>
      </c>
      <c r="I7" s="17" t="str">
        <f t="shared" si="3"/>
        <v>Pune</v>
      </c>
      <c r="J7" s="17" t="str">
        <f t="shared" si="4"/>
        <v>NutriKid</v>
      </c>
      <c r="K7" s="18">
        <f t="shared" si="5"/>
        <v>15799</v>
      </c>
      <c r="L7" s="18">
        <f t="shared" si="6"/>
        <v>19275</v>
      </c>
      <c r="M7" s="17">
        <f t="shared" si="7"/>
        <v>60</v>
      </c>
      <c r="N7" s="18">
        <f t="shared" si="8"/>
        <v>947940</v>
      </c>
      <c r="O7" s="17" t="str">
        <f t="shared" si="9"/>
        <v>West</v>
      </c>
      <c r="P7" s="17" t="str">
        <f t="shared" si="10"/>
        <v>Ajay Ghosh</v>
      </c>
      <c r="Q7" s="19">
        <f t="shared" si="11"/>
        <v>0</v>
      </c>
      <c r="R7" s="18">
        <f t="shared" si="12"/>
        <v>947940</v>
      </c>
      <c r="S7" s="18">
        <f t="shared" si="13"/>
        <v>1156500</v>
      </c>
      <c r="T7" s="20">
        <f t="shared" si="14"/>
        <v>24.108</v>
      </c>
      <c r="U7" s="20">
        <f t="shared" si="15"/>
        <v>29.892</v>
      </c>
      <c r="V7" s="21">
        <f t="shared" si="16"/>
        <v>380882.292</v>
      </c>
      <c r="W7" s="18">
        <f t="shared" si="17"/>
        <v>567057.708</v>
      </c>
      <c r="X7" s="17">
        <f t="shared" si="18"/>
        <v>576168.3</v>
      </c>
      <c r="Y7" s="15"/>
    </row>
    <row r="8">
      <c r="A8" s="16" t="s">
        <v>70</v>
      </c>
      <c r="B8" s="17" t="str">
        <f>IFERROR(__xludf.DUMMYFUNCTION("split(A8,""//"")"),"Month1 ")</f>
        <v>Month1 </v>
      </c>
      <c r="C8" s="17" t="str">
        <f>IFERROR(__xludf.DUMMYFUNCTION("""COMPUTED_VALUE"""),"City_Bengaluru")</f>
        <v>City_Bengaluru</v>
      </c>
      <c r="D8" s="17" t="str">
        <f>IFERROR(__xludf.DUMMYFUNCTION("""COMPUTED_VALUE"""),"PRD-ZestVita")</f>
        <v>PRD-ZestVita</v>
      </c>
      <c r="E8" s="17" t="str">
        <f>IFERROR(__xludf.DUMMYFUNCTION("""COMPUTED_VALUE"""),"OPQ  24827")</f>
        <v>OPQ  24827</v>
      </c>
      <c r="F8" s="17" t="str">
        <f>IFERROR(__xludf.DUMMYFUNCTION("""COMPUTED_VALUE"""),"NPQ[IPLMARKETTING]30537")</f>
        <v>NPQ[IPLMARKETTING]30537</v>
      </c>
      <c r="G8" s="18">
        <f t="shared" si="1"/>
        <v>1</v>
      </c>
      <c r="H8" s="17" t="str">
        <f t="shared" si="2"/>
        <v>January</v>
      </c>
      <c r="I8" s="17" t="str">
        <f t="shared" si="3"/>
        <v>Bengaluru</v>
      </c>
      <c r="J8" s="17" t="str">
        <f t="shared" si="4"/>
        <v>ZestVita</v>
      </c>
      <c r="K8" s="18">
        <f t="shared" si="5"/>
        <v>24827</v>
      </c>
      <c r="L8" s="18">
        <f t="shared" si="6"/>
        <v>30537</v>
      </c>
      <c r="M8" s="17">
        <f t="shared" si="7"/>
        <v>135</v>
      </c>
      <c r="N8" s="18">
        <f t="shared" si="8"/>
        <v>3351645</v>
      </c>
      <c r="O8" s="17" t="str">
        <f t="shared" si="9"/>
        <v>South</v>
      </c>
      <c r="P8" s="17" t="str">
        <f t="shared" si="10"/>
        <v>Anjali Krishna Murthy</v>
      </c>
      <c r="Q8" s="19">
        <f t="shared" si="11"/>
        <v>0</v>
      </c>
      <c r="R8" s="18">
        <f t="shared" si="12"/>
        <v>3351645</v>
      </c>
      <c r="S8" s="18">
        <f t="shared" si="13"/>
        <v>4122495</v>
      </c>
      <c r="T8" s="20">
        <f t="shared" si="14"/>
        <v>55.84</v>
      </c>
      <c r="U8" s="20">
        <f t="shared" si="15"/>
        <v>73.16</v>
      </c>
      <c r="V8" s="21">
        <f t="shared" si="16"/>
        <v>1386339.68</v>
      </c>
      <c r="W8" s="18">
        <f t="shared" si="17"/>
        <v>1965305.32</v>
      </c>
      <c r="X8" s="17">
        <f t="shared" si="18"/>
        <v>2234086.92</v>
      </c>
      <c r="Y8" s="15"/>
    </row>
    <row r="9">
      <c r="A9" s="16" t="s">
        <v>71</v>
      </c>
      <c r="B9" s="17" t="str">
        <f>IFERROR(__xludf.DUMMYFUNCTION("split(A9,""//"")"),"Month1 ")</f>
        <v>Month1 </v>
      </c>
      <c r="C9" s="17" t="str">
        <f>IFERROR(__xludf.DUMMYFUNCTION("""COMPUTED_VALUE"""),"City_Bengaluru")</f>
        <v>City_Bengaluru</v>
      </c>
      <c r="D9" s="17" t="str">
        <f>IFERROR(__xludf.DUMMYFUNCTION("""COMPUTED_VALUE"""),"PRD-NutriKid")</f>
        <v>PRD-NutriKid</v>
      </c>
      <c r="E9" s="17" t="str">
        <f>IFERROR(__xludf.DUMMYFUNCTION("""COMPUTED_VALUE"""),"OPQ  13468")</f>
        <v>OPQ  13468</v>
      </c>
      <c r="F9" s="17" t="str">
        <f>IFERROR(__xludf.DUMMYFUNCTION("""COMPUTED_VALUE"""),"NPQ[IPLMARKETTING]14949")</f>
        <v>NPQ[IPLMARKETTING]14949</v>
      </c>
      <c r="G9" s="18">
        <f t="shared" si="1"/>
        <v>1</v>
      </c>
      <c r="H9" s="17" t="str">
        <f t="shared" si="2"/>
        <v>January</v>
      </c>
      <c r="I9" s="17" t="str">
        <f t="shared" si="3"/>
        <v>Bengaluru</v>
      </c>
      <c r="J9" s="17" t="str">
        <f t="shared" si="4"/>
        <v>NutriKid</v>
      </c>
      <c r="K9" s="18">
        <f t="shared" si="5"/>
        <v>13468</v>
      </c>
      <c r="L9" s="18">
        <f t="shared" si="6"/>
        <v>14949</v>
      </c>
      <c r="M9" s="17">
        <f t="shared" si="7"/>
        <v>60</v>
      </c>
      <c r="N9" s="18">
        <f t="shared" si="8"/>
        <v>808080</v>
      </c>
      <c r="O9" s="17" t="str">
        <f t="shared" si="9"/>
        <v>South</v>
      </c>
      <c r="P9" s="17" t="str">
        <f t="shared" si="10"/>
        <v>Anjali Krishna Murthy</v>
      </c>
      <c r="Q9" s="19">
        <f t="shared" si="11"/>
        <v>0</v>
      </c>
      <c r="R9" s="18">
        <f t="shared" si="12"/>
        <v>808080</v>
      </c>
      <c r="S9" s="18">
        <f t="shared" si="13"/>
        <v>896940</v>
      </c>
      <c r="T9" s="20">
        <f t="shared" si="14"/>
        <v>24.108</v>
      </c>
      <c r="U9" s="20">
        <f t="shared" si="15"/>
        <v>29.892</v>
      </c>
      <c r="V9" s="21">
        <f t="shared" si="16"/>
        <v>324686.544</v>
      </c>
      <c r="W9" s="18">
        <f t="shared" si="17"/>
        <v>483393.456</v>
      </c>
      <c r="X9" s="17">
        <f t="shared" si="18"/>
        <v>446855.508</v>
      </c>
      <c r="Y9" s="15"/>
    </row>
    <row r="10">
      <c r="A10" s="16" t="s">
        <v>72</v>
      </c>
      <c r="B10" s="17" t="str">
        <f>IFERROR(__xludf.DUMMYFUNCTION("split(A10,""//"")"),"Month1 ")</f>
        <v>Month1 </v>
      </c>
      <c r="C10" s="17" t="str">
        <f>IFERROR(__xludf.DUMMYFUNCTION("""COMPUTED_VALUE"""),"City_Chandigarh")</f>
        <v>City_Chandigarh</v>
      </c>
      <c r="D10" s="17" t="str">
        <f>IFERROR(__xludf.DUMMYFUNCTION("""COMPUTED_VALUE"""),"PRD-ZestVita")</f>
        <v>PRD-ZestVita</v>
      </c>
      <c r="E10" s="17" t="str">
        <f>IFERROR(__xludf.DUMMYFUNCTION("""COMPUTED_VALUE"""),"OPQ  22237")</f>
        <v>OPQ  22237</v>
      </c>
      <c r="F10" s="17" t="str">
        <f>IFERROR(__xludf.DUMMYFUNCTION("""COMPUTED_VALUE"""),"NPQ[IPLMARKETTING]24683")</f>
        <v>NPQ[IPLMARKETTING]24683</v>
      </c>
      <c r="G10" s="18">
        <f t="shared" si="1"/>
        <v>1</v>
      </c>
      <c r="H10" s="17" t="str">
        <f t="shared" si="2"/>
        <v>January</v>
      </c>
      <c r="I10" s="17" t="str">
        <f t="shared" si="3"/>
        <v>Chandigarh</v>
      </c>
      <c r="J10" s="17" t="str">
        <f t="shared" si="4"/>
        <v>ZestVita</v>
      </c>
      <c r="K10" s="18">
        <f t="shared" si="5"/>
        <v>22237</v>
      </c>
      <c r="L10" s="18">
        <f t="shared" si="6"/>
        <v>24683</v>
      </c>
      <c r="M10" s="17">
        <f t="shared" si="7"/>
        <v>135</v>
      </c>
      <c r="N10" s="18">
        <f t="shared" si="8"/>
        <v>3001995</v>
      </c>
      <c r="O10" s="17" t="str">
        <f t="shared" si="9"/>
        <v>North</v>
      </c>
      <c r="P10" s="17" t="str">
        <f t="shared" si="10"/>
        <v>Ajay Kumar</v>
      </c>
      <c r="Q10" s="19">
        <f t="shared" si="11"/>
        <v>0</v>
      </c>
      <c r="R10" s="18">
        <f t="shared" si="12"/>
        <v>3001995</v>
      </c>
      <c r="S10" s="18">
        <f t="shared" si="13"/>
        <v>3332205</v>
      </c>
      <c r="T10" s="20">
        <f t="shared" si="14"/>
        <v>55.84</v>
      </c>
      <c r="U10" s="20">
        <f t="shared" si="15"/>
        <v>73.16</v>
      </c>
      <c r="V10" s="21">
        <f t="shared" si="16"/>
        <v>1241714.08</v>
      </c>
      <c r="W10" s="18">
        <f t="shared" si="17"/>
        <v>1760280.92</v>
      </c>
      <c r="X10" s="17">
        <f t="shared" si="18"/>
        <v>1805808.28</v>
      </c>
      <c r="Y10" s="15"/>
    </row>
    <row r="11">
      <c r="A11" s="16" t="s">
        <v>73</v>
      </c>
      <c r="B11" s="17" t="str">
        <f>IFERROR(__xludf.DUMMYFUNCTION("split(A11,""//"")"),"Month1 ")</f>
        <v>Month1 </v>
      </c>
      <c r="C11" s="17" t="str">
        <f>IFERROR(__xludf.DUMMYFUNCTION("""COMPUTED_VALUE"""),"City_Chandigarh")</f>
        <v>City_Chandigarh</v>
      </c>
      <c r="D11" s="17" t="str">
        <f>IFERROR(__xludf.DUMMYFUNCTION("""COMPUTED_VALUE"""),"PRD-NutriKid")</f>
        <v>PRD-NutriKid</v>
      </c>
      <c r="E11" s="17" t="str">
        <f>IFERROR(__xludf.DUMMYFUNCTION("""COMPUTED_VALUE"""),"OPQ  23421")</f>
        <v>OPQ  23421</v>
      </c>
      <c r="F11" s="17" t="str">
        <f>IFERROR(__xludf.DUMMYFUNCTION("""COMPUTED_VALUE"""),"NPQ[IPLMARKETTING]29042")</f>
        <v>NPQ[IPLMARKETTING]29042</v>
      </c>
      <c r="G11" s="18">
        <f t="shared" si="1"/>
        <v>1</v>
      </c>
      <c r="H11" s="17" t="str">
        <f t="shared" si="2"/>
        <v>January</v>
      </c>
      <c r="I11" s="17" t="str">
        <f t="shared" si="3"/>
        <v>Chandigarh</v>
      </c>
      <c r="J11" s="17" t="str">
        <f t="shared" si="4"/>
        <v>NutriKid</v>
      </c>
      <c r="K11" s="18">
        <f t="shared" si="5"/>
        <v>23421</v>
      </c>
      <c r="L11" s="18">
        <f t="shared" si="6"/>
        <v>29042</v>
      </c>
      <c r="M11" s="17">
        <f t="shared" si="7"/>
        <v>60</v>
      </c>
      <c r="N11" s="18">
        <f t="shared" si="8"/>
        <v>1405260</v>
      </c>
      <c r="O11" s="17" t="str">
        <f t="shared" si="9"/>
        <v>North</v>
      </c>
      <c r="P11" s="17" t="str">
        <f t="shared" si="10"/>
        <v>Ajay Kumar</v>
      </c>
      <c r="Q11" s="19">
        <f t="shared" si="11"/>
        <v>0</v>
      </c>
      <c r="R11" s="18">
        <f t="shared" si="12"/>
        <v>1405260</v>
      </c>
      <c r="S11" s="18">
        <f t="shared" si="13"/>
        <v>1742520</v>
      </c>
      <c r="T11" s="20">
        <f t="shared" si="14"/>
        <v>24.108</v>
      </c>
      <c r="U11" s="20">
        <f t="shared" si="15"/>
        <v>29.892</v>
      </c>
      <c r="V11" s="21">
        <f t="shared" si="16"/>
        <v>564633.468</v>
      </c>
      <c r="W11" s="18">
        <f t="shared" si="17"/>
        <v>840626.532</v>
      </c>
      <c r="X11" s="17">
        <f t="shared" si="18"/>
        <v>868123.464</v>
      </c>
      <c r="Y11" s="15"/>
    </row>
    <row r="12">
      <c r="A12" s="16" t="s">
        <v>74</v>
      </c>
      <c r="B12" s="17" t="str">
        <f>IFERROR(__xludf.DUMMYFUNCTION("split(A12,""//"")"),"Month1 ")</f>
        <v>Month1 </v>
      </c>
      <c r="C12" s="17" t="str">
        <f>IFERROR(__xludf.DUMMYFUNCTION("""COMPUTED_VALUE"""),"City_Bhubaneswar")</f>
        <v>City_Bhubaneswar</v>
      </c>
      <c r="D12" s="17" t="str">
        <f>IFERROR(__xludf.DUMMYFUNCTION("""COMPUTED_VALUE"""),"PRD-ZestVita")</f>
        <v>PRD-ZestVita</v>
      </c>
      <c r="E12" s="17" t="str">
        <f>IFERROR(__xludf.DUMMYFUNCTION("""COMPUTED_VALUE"""),"OPQ  13092")</f>
        <v>OPQ  13092</v>
      </c>
      <c r="F12" s="17" t="str">
        <f>IFERROR(__xludf.DUMMYFUNCTION("""COMPUTED_VALUE"""),"NPQ[IPLMARKETTING]13878")</f>
        <v>NPQ[IPLMARKETTING]13878</v>
      </c>
      <c r="G12" s="18">
        <f t="shared" si="1"/>
        <v>1</v>
      </c>
      <c r="H12" s="17" t="str">
        <f t="shared" si="2"/>
        <v>January</v>
      </c>
      <c r="I12" s="17" t="str">
        <f t="shared" si="3"/>
        <v>Bhubaneswar</v>
      </c>
      <c r="J12" s="17" t="str">
        <f t="shared" si="4"/>
        <v>ZestVita</v>
      </c>
      <c r="K12" s="18">
        <f t="shared" si="5"/>
        <v>13092</v>
      </c>
      <c r="L12" s="18">
        <f t="shared" si="6"/>
        <v>13878</v>
      </c>
      <c r="M12" s="17">
        <f t="shared" si="7"/>
        <v>135</v>
      </c>
      <c r="N12" s="18">
        <f t="shared" si="8"/>
        <v>1767420</v>
      </c>
      <c r="O12" s="17" t="str">
        <f t="shared" si="9"/>
        <v>East</v>
      </c>
      <c r="P12" s="17" t="str">
        <f t="shared" si="10"/>
        <v>Tanvi Sharma</v>
      </c>
      <c r="Q12" s="19">
        <f t="shared" si="11"/>
        <v>0.125</v>
      </c>
      <c r="R12" s="17">
        <f t="shared" si="12"/>
        <v>1546492.5</v>
      </c>
      <c r="S12" s="18">
        <f t="shared" si="13"/>
        <v>1873530</v>
      </c>
      <c r="T12" s="20">
        <f t="shared" si="14"/>
        <v>55.84</v>
      </c>
      <c r="U12" s="20">
        <f t="shared" si="15"/>
        <v>73.16</v>
      </c>
      <c r="V12" s="21">
        <f t="shared" si="16"/>
        <v>731057.28</v>
      </c>
      <c r="W12" s="21">
        <f t="shared" si="17"/>
        <v>815435.22</v>
      </c>
      <c r="X12" s="17">
        <f t="shared" si="18"/>
        <v>1015314.48</v>
      </c>
      <c r="Y12" s="15"/>
    </row>
    <row r="13">
      <c r="A13" s="16" t="s">
        <v>75</v>
      </c>
      <c r="B13" s="17" t="str">
        <f>IFERROR(__xludf.DUMMYFUNCTION("split(A13,""//"")"),"Month1 ")</f>
        <v>Month1 </v>
      </c>
      <c r="C13" s="17" t="str">
        <f>IFERROR(__xludf.DUMMYFUNCTION("""COMPUTED_VALUE"""),"City_Bhubaneswar")</f>
        <v>City_Bhubaneswar</v>
      </c>
      <c r="D13" s="17" t="str">
        <f>IFERROR(__xludf.DUMMYFUNCTION("""COMPUTED_VALUE"""),"PRD-NutriKid")</f>
        <v>PRD-NutriKid</v>
      </c>
      <c r="E13" s="17" t="str">
        <f>IFERROR(__xludf.DUMMYFUNCTION("""COMPUTED_VALUE"""),"OPQ  17172")</f>
        <v>OPQ  17172</v>
      </c>
      <c r="F13" s="17" t="str">
        <f>IFERROR(__xludf.DUMMYFUNCTION("""COMPUTED_VALUE"""),"NPQ[IPLMARKETTING]18546")</f>
        <v>NPQ[IPLMARKETTING]18546</v>
      </c>
      <c r="G13" s="18">
        <f t="shared" si="1"/>
        <v>1</v>
      </c>
      <c r="H13" s="17" t="str">
        <f t="shared" si="2"/>
        <v>January</v>
      </c>
      <c r="I13" s="17" t="str">
        <f t="shared" si="3"/>
        <v>Bhubaneswar</v>
      </c>
      <c r="J13" s="17" t="str">
        <f t="shared" si="4"/>
        <v>NutriKid</v>
      </c>
      <c r="K13" s="18">
        <f t="shared" si="5"/>
        <v>17172</v>
      </c>
      <c r="L13" s="18">
        <f t="shared" si="6"/>
        <v>18546</v>
      </c>
      <c r="M13" s="17">
        <f t="shared" si="7"/>
        <v>60</v>
      </c>
      <c r="N13" s="18">
        <f t="shared" si="8"/>
        <v>1030320</v>
      </c>
      <c r="O13" s="17" t="str">
        <f t="shared" si="9"/>
        <v>East</v>
      </c>
      <c r="P13" s="17" t="str">
        <f t="shared" si="10"/>
        <v>Tanvi Sharma</v>
      </c>
      <c r="Q13" s="19">
        <f t="shared" si="11"/>
        <v>0.125</v>
      </c>
      <c r="R13" s="17">
        <f t="shared" si="12"/>
        <v>901530</v>
      </c>
      <c r="S13" s="18">
        <f t="shared" si="13"/>
        <v>1112760</v>
      </c>
      <c r="T13" s="20">
        <f t="shared" si="14"/>
        <v>24.108</v>
      </c>
      <c r="U13" s="20">
        <f t="shared" si="15"/>
        <v>29.892</v>
      </c>
      <c r="V13" s="21">
        <f t="shared" si="16"/>
        <v>413982.576</v>
      </c>
      <c r="W13" s="21">
        <f t="shared" si="17"/>
        <v>487547.424</v>
      </c>
      <c r="X13" s="17">
        <f t="shared" si="18"/>
        <v>554377.032</v>
      </c>
      <c r="Y13" s="15"/>
    </row>
    <row r="14">
      <c r="A14" s="16" t="s">
        <v>76</v>
      </c>
      <c r="B14" s="17" t="str">
        <f>IFERROR(__xludf.DUMMYFUNCTION("split(A14,""//"")"),"Month1 ")</f>
        <v>Month1 </v>
      </c>
      <c r="C14" s="17" t="str">
        <f>IFERROR(__xludf.DUMMYFUNCTION("""COMPUTED_VALUE"""),"City_Ahmedabad ")</f>
        <v>City_Ahmedabad </v>
      </c>
      <c r="D14" s="17" t="str">
        <f>IFERROR(__xludf.DUMMYFUNCTION("""COMPUTED_VALUE"""),"PRD-ZestVita")</f>
        <v>PRD-ZestVita</v>
      </c>
      <c r="E14" s="17" t="str">
        <f>IFERROR(__xludf.DUMMYFUNCTION("""COMPUTED_VALUE"""),"OPQ  19536")</f>
        <v>OPQ  19536</v>
      </c>
      <c r="F14" s="17" t="str">
        <f>IFERROR(__xludf.DUMMYFUNCTION("""COMPUTED_VALUE"""),"NPQ[IPLMARKETTING]23248")</f>
        <v>NPQ[IPLMARKETTING]23248</v>
      </c>
      <c r="G14" s="18">
        <f t="shared" si="1"/>
        <v>1</v>
      </c>
      <c r="H14" s="17" t="str">
        <f t="shared" si="2"/>
        <v>January</v>
      </c>
      <c r="I14" s="17" t="str">
        <f t="shared" si="3"/>
        <v>Ahmedabad </v>
      </c>
      <c r="J14" s="17" t="str">
        <f t="shared" si="4"/>
        <v>ZestVita</v>
      </c>
      <c r="K14" s="18">
        <f t="shared" si="5"/>
        <v>19536</v>
      </c>
      <c r="L14" s="18">
        <f t="shared" si="6"/>
        <v>23248</v>
      </c>
      <c r="M14" s="17">
        <f t="shared" si="7"/>
        <v>135</v>
      </c>
      <c r="N14" s="18">
        <f t="shared" si="8"/>
        <v>2637360</v>
      </c>
      <c r="O14" s="17" t="str">
        <f t="shared" si="9"/>
        <v>West</v>
      </c>
      <c r="P14" s="17" t="str">
        <f t="shared" si="10"/>
        <v>Ajay Ghosh</v>
      </c>
      <c r="Q14" s="19">
        <f t="shared" si="11"/>
        <v>0</v>
      </c>
      <c r="R14" s="18">
        <f t="shared" si="12"/>
        <v>2637360</v>
      </c>
      <c r="S14" s="18">
        <f t="shared" si="13"/>
        <v>3138480</v>
      </c>
      <c r="T14" s="20">
        <f t="shared" si="14"/>
        <v>55.84</v>
      </c>
      <c r="U14" s="20">
        <f t="shared" si="15"/>
        <v>73.16</v>
      </c>
      <c r="V14" s="21">
        <f t="shared" si="16"/>
        <v>1090890.24</v>
      </c>
      <c r="W14" s="18">
        <f t="shared" si="17"/>
        <v>1546469.76</v>
      </c>
      <c r="X14" s="17">
        <f t="shared" si="18"/>
        <v>1700823.68</v>
      </c>
      <c r="Y14" s="15"/>
    </row>
    <row r="15">
      <c r="A15" s="16" t="s">
        <v>77</v>
      </c>
      <c r="B15" s="17" t="str">
        <f>IFERROR(__xludf.DUMMYFUNCTION("split(A15,""//"")"),"Month1 ")</f>
        <v>Month1 </v>
      </c>
      <c r="C15" s="17" t="str">
        <f>IFERROR(__xludf.DUMMYFUNCTION("""COMPUTED_VALUE"""),"City_Ahmedabad ")</f>
        <v>City_Ahmedabad </v>
      </c>
      <c r="D15" s="17" t="str">
        <f>IFERROR(__xludf.DUMMYFUNCTION("""COMPUTED_VALUE"""),"PRD-NutriKid")</f>
        <v>PRD-NutriKid</v>
      </c>
      <c r="E15" s="17" t="str">
        <f>IFERROR(__xludf.DUMMYFUNCTION("""COMPUTED_VALUE"""),"OPQ  11359")</f>
        <v>OPQ  11359</v>
      </c>
      <c r="F15" s="17" t="str">
        <f>IFERROR(__xludf.DUMMYFUNCTION("""COMPUTED_VALUE"""),"NPQ[IPLMARKETTING]13176")</f>
        <v>NPQ[IPLMARKETTING]13176</v>
      </c>
      <c r="G15" s="18">
        <f t="shared" si="1"/>
        <v>1</v>
      </c>
      <c r="H15" s="17" t="str">
        <f t="shared" si="2"/>
        <v>January</v>
      </c>
      <c r="I15" s="17" t="str">
        <f t="shared" si="3"/>
        <v>Ahmedabad </v>
      </c>
      <c r="J15" s="17" t="str">
        <f t="shared" si="4"/>
        <v>NutriKid</v>
      </c>
      <c r="K15" s="18">
        <f t="shared" si="5"/>
        <v>11359</v>
      </c>
      <c r="L15" s="18">
        <f t="shared" si="6"/>
        <v>13176</v>
      </c>
      <c r="M15" s="17">
        <f t="shared" si="7"/>
        <v>60</v>
      </c>
      <c r="N15" s="18">
        <f t="shared" si="8"/>
        <v>681540</v>
      </c>
      <c r="O15" s="17" t="str">
        <f t="shared" si="9"/>
        <v>West</v>
      </c>
      <c r="P15" s="17" t="str">
        <f t="shared" si="10"/>
        <v>Ajay Ghosh</v>
      </c>
      <c r="Q15" s="19">
        <f t="shared" si="11"/>
        <v>0</v>
      </c>
      <c r="R15" s="18">
        <f t="shared" si="12"/>
        <v>681540</v>
      </c>
      <c r="S15" s="18">
        <f t="shared" si="13"/>
        <v>790560</v>
      </c>
      <c r="T15" s="20">
        <f t="shared" si="14"/>
        <v>24.108</v>
      </c>
      <c r="U15" s="20">
        <f t="shared" si="15"/>
        <v>29.892</v>
      </c>
      <c r="V15" s="21">
        <f t="shared" si="16"/>
        <v>273842.772</v>
      </c>
      <c r="W15" s="18">
        <f t="shared" si="17"/>
        <v>407697.228</v>
      </c>
      <c r="X15" s="17">
        <f t="shared" si="18"/>
        <v>393856.992</v>
      </c>
      <c r="Y15" s="15"/>
    </row>
    <row r="16">
      <c r="A16" s="16" t="s">
        <v>78</v>
      </c>
      <c r="B16" s="17" t="str">
        <f>IFERROR(__xludf.DUMMYFUNCTION("split(A16,""//"")"),"Month1 ")</f>
        <v>Month1 </v>
      </c>
      <c r="C16" s="17" t="str">
        <f>IFERROR(__xludf.DUMMYFUNCTION("""COMPUTED_VALUE"""),"City_Chennai")</f>
        <v>City_Chennai</v>
      </c>
      <c r="D16" s="17" t="str">
        <f>IFERROR(__xludf.DUMMYFUNCTION("""COMPUTED_VALUE"""),"PRD-ZestVita")</f>
        <v>PRD-ZestVita</v>
      </c>
      <c r="E16" s="17" t="str">
        <f>IFERROR(__xludf.DUMMYFUNCTION("""COMPUTED_VALUE"""),"OPQ  12062")</f>
        <v>OPQ  12062</v>
      </c>
      <c r="F16" s="17" t="str">
        <f>IFERROR(__xludf.DUMMYFUNCTION("""COMPUTED_VALUE"""),"NPQ[IPLMARKETTING]13268")</f>
        <v>NPQ[IPLMARKETTING]13268</v>
      </c>
      <c r="G16" s="18">
        <f t="shared" si="1"/>
        <v>1</v>
      </c>
      <c r="H16" s="17" t="str">
        <f t="shared" si="2"/>
        <v>January</v>
      </c>
      <c r="I16" s="17" t="str">
        <f t="shared" si="3"/>
        <v>Chennai</v>
      </c>
      <c r="J16" s="17" t="str">
        <f t="shared" si="4"/>
        <v>ZestVita</v>
      </c>
      <c r="K16" s="18">
        <f t="shared" si="5"/>
        <v>12062</v>
      </c>
      <c r="L16" s="18">
        <f t="shared" si="6"/>
        <v>13268</v>
      </c>
      <c r="M16" s="17">
        <f t="shared" si="7"/>
        <v>135</v>
      </c>
      <c r="N16" s="18">
        <f t="shared" si="8"/>
        <v>1628370</v>
      </c>
      <c r="O16" s="17" t="str">
        <f t="shared" si="9"/>
        <v>South</v>
      </c>
      <c r="P16" s="17" t="str">
        <f t="shared" si="10"/>
        <v>Anjali Krishna Murthy</v>
      </c>
      <c r="Q16" s="19">
        <f t="shared" si="11"/>
        <v>0</v>
      </c>
      <c r="R16" s="18">
        <f t="shared" si="12"/>
        <v>1628370</v>
      </c>
      <c r="S16" s="18">
        <f t="shared" si="13"/>
        <v>1791180</v>
      </c>
      <c r="T16" s="20">
        <f t="shared" si="14"/>
        <v>55.84</v>
      </c>
      <c r="U16" s="20">
        <f t="shared" si="15"/>
        <v>73.16</v>
      </c>
      <c r="V16" s="21">
        <f t="shared" si="16"/>
        <v>673542.08</v>
      </c>
      <c r="W16" s="18">
        <f t="shared" si="17"/>
        <v>954827.92</v>
      </c>
      <c r="X16" s="17">
        <f t="shared" si="18"/>
        <v>970686.88</v>
      </c>
      <c r="Y16" s="15"/>
    </row>
    <row r="17">
      <c r="A17" s="16" t="s">
        <v>79</v>
      </c>
      <c r="B17" s="17" t="str">
        <f>IFERROR(__xludf.DUMMYFUNCTION("split(A17,""//"")"),"Month1 ")</f>
        <v>Month1 </v>
      </c>
      <c r="C17" s="17" t="str">
        <f>IFERROR(__xludf.DUMMYFUNCTION("""COMPUTED_VALUE"""),"City_Chennai")</f>
        <v>City_Chennai</v>
      </c>
      <c r="D17" s="17" t="str">
        <f>IFERROR(__xludf.DUMMYFUNCTION("""COMPUTED_VALUE"""),"PRD-NutriKid")</f>
        <v>PRD-NutriKid</v>
      </c>
      <c r="E17" s="17" t="str">
        <f>IFERROR(__xludf.DUMMYFUNCTION("""COMPUTED_VALUE"""),"OPQ  13579")</f>
        <v>OPQ  13579</v>
      </c>
      <c r="F17" s="17" t="str">
        <f>IFERROR(__xludf.DUMMYFUNCTION("""COMPUTED_VALUE"""),"NPQ[IPLMARKETTING]16702")</f>
        <v>NPQ[IPLMARKETTING]16702</v>
      </c>
      <c r="G17" s="18">
        <f t="shared" si="1"/>
        <v>1</v>
      </c>
      <c r="H17" s="17" t="str">
        <f t="shared" si="2"/>
        <v>January</v>
      </c>
      <c r="I17" s="17" t="str">
        <f t="shared" si="3"/>
        <v>Chennai</v>
      </c>
      <c r="J17" s="17" t="str">
        <f t="shared" si="4"/>
        <v>NutriKid</v>
      </c>
      <c r="K17" s="18">
        <f t="shared" si="5"/>
        <v>13579</v>
      </c>
      <c r="L17" s="18">
        <f t="shared" si="6"/>
        <v>16702</v>
      </c>
      <c r="M17" s="17">
        <f t="shared" si="7"/>
        <v>60</v>
      </c>
      <c r="N17" s="18">
        <f t="shared" si="8"/>
        <v>814740</v>
      </c>
      <c r="O17" s="17" t="str">
        <f t="shared" si="9"/>
        <v>South</v>
      </c>
      <c r="P17" s="17" t="str">
        <f t="shared" si="10"/>
        <v>Anjali Krishna Murthy</v>
      </c>
      <c r="Q17" s="19">
        <f t="shared" si="11"/>
        <v>0</v>
      </c>
      <c r="R17" s="18">
        <f t="shared" si="12"/>
        <v>814740</v>
      </c>
      <c r="S17" s="18">
        <f t="shared" si="13"/>
        <v>1002120</v>
      </c>
      <c r="T17" s="20">
        <f t="shared" si="14"/>
        <v>24.108</v>
      </c>
      <c r="U17" s="20">
        <f t="shared" si="15"/>
        <v>29.892</v>
      </c>
      <c r="V17" s="21">
        <f t="shared" si="16"/>
        <v>327362.532</v>
      </c>
      <c r="W17" s="18">
        <f t="shared" si="17"/>
        <v>487377.468</v>
      </c>
      <c r="X17" s="17">
        <f t="shared" si="18"/>
        <v>499256.184</v>
      </c>
      <c r="Y17" s="15"/>
    </row>
    <row r="18">
      <c r="A18" s="16" t="s">
        <v>80</v>
      </c>
      <c r="B18" s="17" t="str">
        <f>IFERROR(__xludf.DUMMYFUNCTION("split(A18,""//"")"),"Month1 ")</f>
        <v>Month1 </v>
      </c>
      <c r="C18" s="17" t="str">
        <f>IFERROR(__xludf.DUMMYFUNCTION("""COMPUTED_VALUE"""),"City_Lucknow")</f>
        <v>City_Lucknow</v>
      </c>
      <c r="D18" s="17" t="str">
        <f>IFERROR(__xludf.DUMMYFUNCTION("""COMPUTED_VALUE"""),"PRD-ZestVita")</f>
        <v>PRD-ZestVita</v>
      </c>
      <c r="E18" s="17" t="str">
        <f>IFERROR(__xludf.DUMMYFUNCTION("""COMPUTED_VALUE"""),"OPQ  22339")</f>
        <v>OPQ  22339</v>
      </c>
      <c r="F18" s="17" t="str">
        <f>IFERROR(__xludf.DUMMYFUNCTION("""COMPUTED_VALUE"""),"NPQ[IPLMARKETTING]25913")</f>
        <v>NPQ[IPLMARKETTING]25913</v>
      </c>
      <c r="G18" s="18">
        <f t="shared" si="1"/>
        <v>1</v>
      </c>
      <c r="H18" s="17" t="str">
        <f t="shared" si="2"/>
        <v>January</v>
      </c>
      <c r="I18" s="17" t="str">
        <f t="shared" si="3"/>
        <v>Lucknow</v>
      </c>
      <c r="J18" s="17" t="str">
        <f t="shared" si="4"/>
        <v>ZestVita</v>
      </c>
      <c r="K18" s="18">
        <f t="shared" si="5"/>
        <v>22339</v>
      </c>
      <c r="L18" s="18">
        <f t="shared" si="6"/>
        <v>25913</v>
      </c>
      <c r="M18" s="17">
        <f t="shared" si="7"/>
        <v>135</v>
      </c>
      <c r="N18" s="18">
        <f t="shared" si="8"/>
        <v>3015765</v>
      </c>
      <c r="O18" s="17" t="str">
        <f t="shared" si="9"/>
        <v>North</v>
      </c>
      <c r="P18" s="17" t="str">
        <f t="shared" si="10"/>
        <v>Ajay Kumar</v>
      </c>
      <c r="Q18" s="19">
        <f t="shared" si="11"/>
        <v>0.1</v>
      </c>
      <c r="R18" s="17">
        <f t="shared" si="12"/>
        <v>2714188.5</v>
      </c>
      <c r="S18" s="18">
        <f t="shared" si="13"/>
        <v>3498255</v>
      </c>
      <c r="T18" s="20">
        <f t="shared" si="14"/>
        <v>55.84</v>
      </c>
      <c r="U18" s="20">
        <f t="shared" si="15"/>
        <v>73.16</v>
      </c>
      <c r="V18" s="21">
        <f t="shared" si="16"/>
        <v>1247409.76</v>
      </c>
      <c r="W18" s="21">
        <f t="shared" si="17"/>
        <v>1466778.74</v>
      </c>
      <c r="X18" s="17">
        <f t="shared" si="18"/>
        <v>1895795.08</v>
      </c>
      <c r="Y18" s="15"/>
    </row>
    <row r="19">
      <c r="A19" s="16" t="s">
        <v>81</v>
      </c>
      <c r="B19" s="17" t="str">
        <f>IFERROR(__xludf.DUMMYFUNCTION("split(A19,""//"")"),"Month1 ")</f>
        <v>Month1 </v>
      </c>
      <c r="C19" s="17" t="str">
        <f>IFERROR(__xludf.DUMMYFUNCTION("""COMPUTED_VALUE"""),"City_Lucknow")</f>
        <v>City_Lucknow</v>
      </c>
      <c r="D19" s="17" t="str">
        <f>IFERROR(__xludf.DUMMYFUNCTION("""COMPUTED_VALUE"""),"PRD-NutriKid")</f>
        <v>PRD-NutriKid</v>
      </c>
      <c r="E19" s="17" t="str">
        <f>IFERROR(__xludf.DUMMYFUNCTION("""COMPUTED_VALUE"""),"OPQ  19542")</f>
        <v>OPQ  19542</v>
      </c>
      <c r="F19" s="17" t="str">
        <f>IFERROR(__xludf.DUMMYFUNCTION("""COMPUTED_VALUE"""),"NPQ[IPLMARKETTING]22082")</f>
        <v>NPQ[IPLMARKETTING]22082</v>
      </c>
      <c r="G19" s="18">
        <f t="shared" si="1"/>
        <v>1</v>
      </c>
      <c r="H19" s="17" t="str">
        <f t="shared" si="2"/>
        <v>January</v>
      </c>
      <c r="I19" s="17" t="str">
        <f t="shared" si="3"/>
        <v>Lucknow</v>
      </c>
      <c r="J19" s="17" t="str">
        <f t="shared" si="4"/>
        <v>NutriKid</v>
      </c>
      <c r="K19" s="18">
        <f t="shared" si="5"/>
        <v>19542</v>
      </c>
      <c r="L19" s="18">
        <f t="shared" si="6"/>
        <v>22082</v>
      </c>
      <c r="M19" s="17">
        <f t="shared" si="7"/>
        <v>60</v>
      </c>
      <c r="N19" s="18">
        <f t="shared" si="8"/>
        <v>1172520</v>
      </c>
      <c r="O19" s="17" t="str">
        <f t="shared" si="9"/>
        <v>North</v>
      </c>
      <c r="P19" s="17" t="str">
        <f t="shared" si="10"/>
        <v>Ajay Kumar</v>
      </c>
      <c r="Q19" s="19">
        <f t="shared" si="11"/>
        <v>0.1</v>
      </c>
      <c r="R19" s="17">
        <f t="shared" si="12"/>
        <v>1055268</v>
      </c>
      <c r="S19" s="18">
        <f t="shared" si="13"/>
        <v>1324920</v>
      </c>
      <c r="T19" s="20">
        <f t="shared" si="14"/>
        <v>24.108</v>
      </c>
      <c r="U19" s="20">
        <f t="shared" si="15"/>
        <v>29.892</v>
      </c>
      <c r="V19" s="21">
        <f t="shared" si="16"/>
        <v>471118.536</v>
      </c>
      <c r="W19" s="21">
        <f t="shared" si="17"/>
        <v>584149.464</v>
      </c>
      <c r="X19" s="17">
        <f t="shared" si="18"/>
        <v>660075.144</v>
      </c>
      <c r="Y19" s="15"/>
    </row>
    <row r="20">
      <c r="A20" s="16" t="s">
        <v>82</v>
      </c>
      <c r="B20" s="17" t="str">
        <f>IFERROR(__xludf.DUMMYFUNCTION("split(A20,""//"")"),"Month1 ")</f>
        <v>Month1 </v>
      </c>
      <c r="C20" s="17" t="str">
        <f>IFERROR(__xludf.DUMMYFUNCTION("""COMPUTED_VALUE"""),"City_Ranchi")</f>
        <v>City_Ranchi</v>
      </c>
      <c r="D20" s="17" t="str">
        <f>IFERROR(__xludf.DUMMYFUNCTION("""COMPUTED_VALUE"""),"PRD-ZestVita")</f>
        <v>PRD-ZestVita</v>
      </c>
      <c r="E20" s="17" t="str">
        <f>IFERROR(__xludf.DUMMYFUNCTION("""COMPUTED_VALUE"""),"OPQ  25253")</f>
        <v>OPQ  25253</v>
      </c>
      <c r="F20" s="17" t="str">
        <f>IFERROR(__xludf.DUMMYFUNCTION("""COMPUTED_VALUE"""),"NPQ[IPLMARKETTING]27273")</f>
        <v>NPQ[IPLMARKETTING]27273</v>
      </c>
      <c r="G20" s="18">
        <f t="shared" si="1"/>
        <v>1</v>
      </c>
      <c r="H20" s="17" t="str">
        <f t="shared" si="2"/>
        <v>January</v>
      </c>
      <c r="I20" s="17" t="str">
        <f t="shared" si="3"/>
        <v>Ranchi</v>
      </c>
      <c r="J20" s="17" t="str">
        <f t="shared" si="4"/>
        <v>ZestVita</v>
      </c>
      <c r="K20" s="18">
        <f t="shared" si="5"/>
        <v>25253</v>
      </c>
      <c r="L20" s="18">
        <f t="shared" si="6"/>
        <v>27273</v>
      </c>
      <c r="M20" s="17">
        <f t="shared" si="7"/>
        <v>135</v>
      </c>
      <c r="N20" s="18">
        <f t="shared" si="8"/>
        <v>3409155</v>
      </c>
      <c r="O20" s="17" t="str">
        <f t="shared" si="9"/>
        <v>East</v>
      </c>
      <c r="P20" s="17" t="str">
        <f t="shared" si="10"/>
        <v>Tanvi Sharma</v>
      </c>
      <c r="Q20" s="19">
        <f t="shared" si="11"/>
        <v>0.05</v>
      </c>
      <c r="R20" s="17">
        <f t="shared" si="12"/>
        <v>3238697.25</v>
      </c>
      <c r="S20" s="18">
        <f t="shared" si="13"/>
        <v>3681855</v>
      </c>
      <c r="T20" s="20">
        <f t="shared" si="14"/>
        <v>55.84</v>
      </c>
      <c r="U20" s="20">
        <f t="shared" si="15"/>
        <v>73.16</v>
      </c>
      <c r="V20" s="21">
        <f t="shared" si="16"/>
        <v>1410127.52</v>
      </c>
      <c r="W20" s="21">
        <f t="shared" si="17"/>
        <v>1828569.73</v>
      </c>
      <c r="X20" s="17">
        <f t="shared" si="18"/>
        <v>1995292.68</v>
      </c>
      <c r="Y20" s="15"/>
    </row>
    <row r="21">
      <c r="A21" s="16" t="s">
        <v>83</v>
      </c>
      <c r="B21" s="17" t="str">
        <f>IFERROR(__xludf.DUMMYFUNCTION("split(A21,""//"")"),"Month1 ")</f>
        <v>Month1 </v>
      </c>
      <c r="C21" s="17" t="str">
        <f>IFERROR(__xludf.DUMMYFUNCTION("""COMPUTED_VALUE"""),"City_Ranchi")</f>
        <v>City_Ranchi</v>
      </c>
      <c r="D21" s="17" t="str">
        <f>IFERROR(__xludf.DUMMYFUNCTION("""COMPUTED_VALUE"""),"PRD-NutriKid")</f>
        <v>PRD-NutriKid</v>
      </c>
      <c r="E21" s="17" t="str">
        <f>IFERROR(__xludf.DUMMYFUNCTION("""COMPUTED_VALUE"""),"OPQ  15890")</f>
        <v>OPQ  15890</v>
      </c>
      <c r="F21" s="17" t="str">
        <f>IFERROR(__xludf.DUMMYFUNCTION("""COMPUTED_VALUE"""),"NPQ[IPLMARKETTING]16208")</f>
        <v>NPQ[IPLMARKETTING]16208</v>
      </c>
      <c r="G21" s="18">
        <f t="shared" si="1"/>
        <v>1</v>
      </c>
      <c r="H21" s="17" t="str">
        <f t="shared" si="2"/>
        <v>January</v>
      </c>
      <c r="I21" s="17" t="str">
        <f t="shared" si="3"/>
        <v>Ranchi</v>
      </c>
      <c r="J21" s="17" t="str">
        <f t="shared" si="4"/>
        <v>NutriKid</v>
      </c>
      <c r="K21" s="18">
        <f t="shared" si="5"/>
        <v>15890</v>
      </c>
      <c r="L21" s="18">
        <f t="shared" si="6"/>
        <v>16208</v>
      </c>
      <c r="M21" s="17">
        <f t="shared" si="7"/>
        <v>60</v>
      </c>
      <c r="N21" s="18">
        <f t="shared" si="8"/>
        <v>953400</v>
      </c>
      <c r="O21" s="17" t="str">
        <f t="shared" si="9"/>
        <v>East</v>
      </c>
      <c r="P21" s="17" t="str">
        <f t="shared" si="10"/>
        <v>Tanvi Sharma</v>
      </c>
      <c r="Q21" s="19">
        <f t="shared" si="11"/>
        <v>0.05</v>
      </c>
      <c r="R21" s="17">
        <f t="shared" si="12"/>
        <v>905730</v>
      </c>
      <c r="S21" s="18">
        <f t="shared" si="13"/>
        <v>972480</v>
      </c>
      <c r="T21" s="20">
        <f t="shared" si="14"/>
        <v>24.108</v>
      </c>
      <c r="U21" s="20">
        <f t="shared" si="15"/>
        <v>29.892</v>
      </c>
      <c r="V21" s="21">
        <f t="shared" si="16"/>
        <v>383076.12</v>
      </c>
      <c r="W21" s="21">
        <f t="shared" si="17"/>
        <v>522653.88</v>
      </c>
      <c r="X21" s="17">
        <f t="shared" si="18"/>
        <v>484489.536</v>
      </c>
      <c r="Y21" s="15"/>
    </row>
    <row r="22">
      <c r="A22" s="16" t="s">
        <v>84</v>
      </c>
      <c r="B22" s="17" t="str">
        <f>IFERROR(__xludf.DUMMYFUNCTION("split(A22,""//"")"),"Month1 ")</f>
        <v>Month1 </v>
      </c>
      <c r="C22" s="17" t="str">
        <f>IFERROR(__xludf.DUMMYFUNCTION("""COMPUTED_VALUE"""),"City_Surat")</f>
        <v>City_Surat</v>
      </c>
      <c r="D22" s="17" t="str">
        <f>IFERROR(__xludf.DUMMYFUNCTION("""COMPUTED_VALUE"""),"PRD-ZestVita")</f>
        <v>PRD-ZestVita</v>
      </c>
      <c r="E22" s="17" t="str">
        <f>IFERROR(__xludf.DUMMYFUNCTION("""COMPUTED_VALUE"""),"OPQ  17834")</f>
        <v>OPQ  17834</v>
      </c>
      <c r="F22" s="17" t="str">
        <f>IFERROR(__xludf.DUMMYFUNCTION("""COMPUTED_VALUE"""),"NPQ[IPLMARKETTING]18547")</f>
        <v>NPQ[IPLMARKETTING]18547</v>
      </c>
      <c r="G22" s="18">
        <f t="shared" si="1"/>
        <v>1</v>
      </c>
      <c r="H22" s="17" t="str">
        <f t="shared" si="2"/>
        <v>January</v>
      </c>
      <c r="I22" s="17" t="str">
        <f t="shared" si="3"/>
        <v>Surat</v>
      </c>
      <c r="J22" s="17" t="str">
        <f t="shared" si="4"/>
        <v>ZestVita</v>
      </c>
      <c r="K22" s="18">
        <f t="shared" si="5"/>
        <v>17834</v>
      </c>
      <c r="L22" s="18">
        <f t="shared" si="6"/>
        <v>18547</v>
      </c>
      <c r="M22" s="17">
        <f t="shared" si="7"/>
        <v>135</v>
      </c>
      <c r="N22" s="18">
        <f t="shared" si="8"/>
        <v>2407590</v>
      </c>
      <c r="O22" s="17" t="str">
        <f t="shared" si="9"/>
        <v>West</v>
      </c>
      <c r="P22" s="17" t="str">
        <f t="shared" si="10"/>
        <v>Ajay Ghosh</v>
      </c>
      <c r="Q22" s="19">
        <f t="shared" si="11"/>
        <v>0.05</v>
      </c>
      <c r="R22" s="17">
        <f t="shared" si="12"/>
        <v>2287210.5</v>
      </c>
      <c r="S22" s="18">
        <f t="shared" si="13"/>
        <v>2503845</v>
      </c>
      <c r="T22" s="20">
        <f t="shared" si="14"/>
        <v>55.84</v>
      </c>
      <c r="U22" s="20">
        <f t="shared" si="15"/>
        <v>73.16</v>
      </c>
      <c r="V22" s="21">
        <f t="shared" si="16"/>
        <v>995850.56</v>
      </c>
      <c r="W22" s="21">
        <f t="shared" si="17"/>
        <v>1291359.94</v>
      </c>
      <c r="X22" s="17">
        <f t="shared" si="18"/>
        <v>1356898.52</v>
      </c>
      <c r="Y22" s="15"/>
    </row>
    <row r="23">
      <c r="A23" s="16" t="s">
        <v>85</v>
      </c>
      <c r="B23" s="17" t="str">
        <f>IFERROR(__xludf.DUMMYFUNCTION("split(A23,""//"")"),"Month1 ")</f>
        <v>Month1 </v>
      </c>
      <c r="C23" s="17" t="str">
        <f>IFERROR(__xludf.DUMMYFUNCTION("""COMPUTED_VALUE"""),"City_Surat")</f>
        <v>City_Surat</v>
      </c>
      <c r="D23" s="17" t="str">
        <f>IFERROR(__xludf.DUMMYFUNCTION("""COMPUTED_VALUE"""),"PRD-NutriKid")</f>
        <v>PRD-NutriKid</v>
      </c>
      <c r="E23" s="17" t="str">
        <f>IFERROR(__xludf.DUMMYFUNCTION("""COMPUTED_VALUE"""),"OPQ  14097")</f>
        <v>OPQ  14097</v>
      </c>
      <c r="F23" s="17" t="str">
        <f>IFERROR(__xludf.DUMMYFUNCTION("""COMPUTED_VALUE"""),"NPQ[IPLMARKETTING]14943")</f>
        <v>NPQ[IPLMARKETTING]14943</v>
      </c>
      <c r="G23" s="18">
        <f t="shared" si="1"/>
        <v>1</v>
      </c>
      <c r="H23" s="17" t="str">
        <f t="shared" si="2"/>
        <v>January</v>
      </c>
      <c r="I23" s="17" t="str">
        <f t="shared" si="3"/>
        <v>Surat</v>
      </c>
      <c r="J23" s="17" t="str">
        <f t="shared" si="4"/>
        <v>NutriKid</v>
      </c>
      <c r="K23" s="18">
        <f t="shared" si="5"/>
        <v>14097</v>
      </c>
      <c r="L23" s="18">
        <f t="shared" si="6"/>
        <v>14943</v>
      </c>
      <c r="M23" s="17">
        <f t="shared" si="7"/>
        <v>60</v>
      </c>
      <c r="N23" s="18">
        <f t="shared" si="8"/>
        <v>845820</v>
      </c>
      <c r="O23" s="17" t="str">
        <f t="shared" si="9"/>
        <v>West</v>
      </c>
      <c r="P23" s="17" t="str">
        <f t="shared" si="10"/>
        <v>Ajay Ghosh</v>
      </c>
      <c r="Q23" s="19">
        <f t="shared" si="11"/>
        <v>0.05</v>
      </c>
      <c r="R23" s="17">
        <f t="shared" si="12"/>
        <v>803529</v>
      </c>
      <c r="S23" s="18">
        <f t="shared" si="13"/>
        <v>896580</v>
      </c>
      <c r="T23" s="20">
        <f t="shared" si="14"/>
        <v>24.108</v>
      </c>
      <c r="U23" s="20">
        <f t="shared" si="15"/>
        <v>29.892</v>
      </c>
      <c r="V23" s="21">
        <f t="shared" si="16"/>
        <v>339850.476</v>
      </c>
      <c r="W23" s="21">
        <f t="shared" si="17"/>
        <v>463678.524</v>
      </c>
      <c r="X23" s="17">
        <f t="shared" si="18"/>
        <v>446676.156</v>
      </c>
      <c r="Y23" s="15"/>
    </row>
    <row r="24">
      <c r="A24" s="16" t="s">
        <v>86</v>
      </c>
      <c r="B24" s="17" t="str">
        <f>IFERROR(__xludf.DUMMYFUNCTION("split(A24,""//"")"),"Month1 ")</f>
        <v>Month1 </v>
      </c>
      <c r="C24" s="17" t="str">
        <f>IFERROR(__xludf.DUMMYFUNCTION("""COMPUTED_VALUE"""),"City_Hyderabad")</f>
        <v>City_Hyderabad</v>
      </c>
      <c r="D24" s="17" t="str">
        <f>IFERROR(__xludf.DUMMYFUNCTION("""COMPUTED_VALUE"""),"PRD-ZestVita")</f>
        <v>PRD-ZestVita</v>
      </c>
      <c r="E24" s="17" t="str">
        <f>IFERROR(__xludf.DUMMYFUNCTION("""COMPUTED_VALUE"""),"OPQ  24642")</f>
        <v>OPQ  24642</v>
      </c>
      <c r="F24" s="17" t="str">
        <f>IFERROR(__xludf.DUMMYFUNCTION("""COMPUTED_VALUE"""),"NPQ[IPLMARKETTING]29078")</f>
        <v>NPQ[IPLMARKETTING]29078</v>
      </c>
      <c r="G24" s="18">
        <f t="shared" si="1"/>
        <v>1</v>
      </c>
      <c r="H24" s="17" t="str">
        <f t="shared" si="2"/>
        <v>January</v>
      </c>
      <c r="I24" s="17" t="str">
        <f t="shared" si="3"/>
        <v>Hyderabad</v>
      </c>
      <c r="J24" s="17" t="str">
        <f t="shared" si="4"/>
        <v>ZestVita</v>
      </c>
      <c r="K24" s="18">
        <f t="shared" si="5"/>
        <v>24642</v>
      </c>
      <c r="L24" s="18">
        <f t="shared" si="6"/>
        <v>29078</v>
      </c>
      <c r="M24" s="17">
        <f t="shared" si="7"/>
        <v>135</v>
      </c>
      <c r="N24" s="18">
        <f t="shared" si="8"/>
        <v>3326670</v>
      </c>
      <c r="O24" s="17" t="str">
        <f t="shared" si="9"/>
        <v>South</v>
      </c>
      <c r="P24" s="17" t="str">
        <f t="shared" si="10"/>
        <v>Anjali Krishna Murthy</v>
      </c>
      <c r="Q24" s="19">
        <f t="shared" si="11"/>
        <v>0</v>
      </c>
      <c r="R24" s="18">
        <f t="shared" si="12"/>
        <v>3326670</v>
      </c>
      <c r="S24" s="18">
        <f t="shared" si="13"/>
        <v>3925530</v>
      </c>
      <c r="T24" s="20">
        <f t="shared" si="14"/>
        <v>55.84</v>
      </c>
      <c r="U24" s="20">
        <f t="shared" si="15"/>
        <v>73.16</v>
      </c>
      <c r="V24" s="21">
        <f t="shared" si="16"/>
        <v>1376009.28</v>
      </c>
      <c r="W24" s="18">
        <f t="shared" si="17"/>
        <v>1950660.72</v>
      </c>
      <c r="X24" s="17">
        <f t="shared" si="18"/>
        <v>2127346.48</v>
      </c>
      <c r="Y24" s="15"/>
    </row>
    <row r="25">
      <c r="A25" s="16" t="s">
        <v>87</v>
      </c>
      <c r="B25" s="17" t="str">
        <f>IFERROR(__xludf.DUMMYFUNCTION("split(A25,""//"")"),"Month1 ")</f>
        <v>Month1 </v>
      </c>
      <c r="C25" s="17" t="str">
        <f>IFERROR(__xludf.DUMMYFUNCTION("""COMPUTED_VALUE"""),"City_Hyderabad")</f>
        <v>City_Hyderabad</v>
      </c>
      <c r="D25" s="17" t="str">
        <f>IFERROR(__xludf.DUMMYFUNCTION("""COMPUTED_VALUE"""),"PRD-NutriKid")</f>
        <v>PRD-NutriKid</v>
      </c>
      <c r="E25" s="17" t="str">
        <f>IFERROR(__xludf.DUMMYFUNCTION("""COMPUTED_VALUE"""),"OPQ  24864")</f>
        <v>OPQ  24864</v>
      </c>
      <c r="F25" s="17" t="str">
        <f>IFERROR(__xludf.DUMMYFUNCTION("""COMPUTED_VALUE"""),"NPQ[IPLMARKETTING]29588")</f>
        <v>NPQ[IPLMARKETTING]29588</v>
      </c>
      <c r="G25" s="18">
        <f t="shared" si="1"/>
        <v>1</v>
      </c>
      <c r="H25" s="17" t="str">
        <f t="shared" si="2"/>
        <v>January</v>
      </c>
      <c r="I25" s="17" t="str">
        <f t="shared" si="3"/>
        <v>Hyderabad</v>
      </c>
      <c r="J25" s="17" t="str">
        <f t="shared" si="4"/>
        <v>NutriKid</v>
      </c>
      <c r="K25" s="18">
        <f t="shared" si="5"/>
        <v>24864</v>
      </c>
      <c r="L25" s="18">
        <f t="shared" si="6"/>
        <v>29588</v>
      </c>
      <c r="M25" s="17">
        <f t="shared" si="7"/>
        <v>60</v>
      </c>
      <c r="N25" s="18">
        <f t="shared" si="8"/>
        <v>1491840</v>
      </c>
      <c r="O25" s="17" t="str">
        <f t="shared" si="9"/>
        <v>South</v>
      </c>
      <c r="P25" s="17" t="str">
        <f t="shared" si="10"/>
        <v>Anjali Krishna Murthy</v>
      </c>
      <c r="Q25" s="19">
        <f t="shared" si="11"/>
        <v>0</v>
      </c>
      <c r="R25" s="18">
        <f t="shared" si="12"/>
        <v>1491840</v>
      </c>
      <c r="S25" s="18">
        <f t="shared" si="13"/>
        <v>1775280</v>
      </c>
      <c r="T25" s="20">
        <f t="shared" si="14"/>
        <v>24.108</v>
      </c>
      <c r="U25" s="20">
        <f t="shared" si="15"/>
        <v>29.892</v>
      </c>
      <c r="V25" s="21">
        <f t="shared" si="16"/>
        <v>599421.312</v>
      </c>
      <c r="W25" s="18">
        <f t="shared" si="17"/>
        <v>892418.688</v>
      </c>
      <c r="X25" s="17">
        <f t="shared" si="18"/>
        <v>884444.496</v>
      </c>
      <c r="Y25" s="15"/>
    </row>
    <row r="26">
      <c r="A26" s="16" t="s">
        <v>88</v>
      </c>
      <c r="B26" s="17" t="str">
        <f>IFERROR(__xludf.DUMMYFUNCTION("split(A26,""//"")"),"Month1 ")</f>
        <v>Month1 </v>
      </c>
      <c r="C26" s="17" t="str">
        <f>IFERROR(__xludf.DUMMYFUNCTION("""COMPUTED_VALUE"""),"City_Dehradun")</f>
        <v>City_Dehradun</v>
      </c>
      <c r="D26" s="17" t="str">
        <f>IFERROR(__xludf.DUMMYFUNCTION("""COMPUTED_VALUE"""),"PRD-ZestVita")</f>
        <v>PRD-ZestVita</v>
      </c>
      <c r="E26" s="17" t="str">
        <f>IFERROR(__xludf.DUMMYFUNCTION("""COMPUTED_VALUE"""),"OPQ  20824")</f>
        <v>OPQ  20824</v>
      </c>
      <c r="F26" s="17" t="str">
        <f>IFERROR(__xludf.DUMMYFUNCTION("""COMPUTED_VALUE"""),"NPQ[IPLMARKETTING]22490")</f>
        <v>NPQ[IPLMARKETTING]22490</v>
      </c>
      <c r="G26" s="18">
        <f t="shared" si="1"/>
        <v>1</v>
      </c>
      <c r="H26" s="17" t="str">
        <f t="shared" si="2"/>
        <v>January</v>
      </c>
      <c r="I26" s="17" t="str">
        <f t="shared" si="3"/>
        <v>Dehradun</v>
      </c>
      <c r="J26" s="17" t="str">
        <f t="shared" si="4"/>
        <v>ZestVita</v>
      </c>
      <c r="K26" s="18">
        <f t="shared" si="5"/>
        <v>20824</v>
      </c>
      <c r="L26" s="18">
        <f t="shared" si="6"/>
        <v>22490</v>
      </c>
      <c r="M26" s="17">
        <f t="shared" si="7"/>
        <v>135</v>
      </c>
      <c r="N26" s="18">
        <f t="shared" si="8"/>
        <v>2811240</v>
      </c>
      <c r="O26" s="17" t="str">
        <f t="shared" si="9"/>
        <v>North</v>
      </c>
      <c r="P26" s="17" t="str">
        <f t="shared" si="10"/>
        <v>Ajay Kumar</v>
      </c>
      <c r="Q26" s="19">
        <f t="shared" si="11"/>
        <v>0.125</v>
      </c>
      <c r="R26" s="17">
        <f t="shared" si="12"/>
        <v>2459835</v>
      </c>
      <c r="S26" s="18">
        <f t="shared" si="13"/>
        <v>3036150</v>
      </c>
      <c r="T26" s="20">
        <f t="shared" si="14"/>
        <v>55.84</v>
      </c>
      <c r="U26" s="20">
        <f t="shared" si="15"/>
        <v>73.16</v>
      </c>
      <c r="V26" s="21">
        <f t="shared" si="16"/>
        <v>1162812.16</v>
      </c>
      <c r="W26" s="21">
        <f t="shared" si="17"/>
        <v>1297022.84</v>
      </c>
      <c r="X26" s="17">
        <f t="shared" si="18"/>
        <v>1645368.4</v>
      </c>
      <c r="Y26" s="15"/>
    </row>
    <row r="27">
      <c r="A27" s="16" t="s">
        <v>89</v>
      </c>
      <c r="B27" s="17" t="str">
        <f>IFERROR(__xludf.DUMMYFUNCTION("split(A27,""//"")"),"Month1 ")</f>
        <v>Month1 </v>
      </c>
      <c r="C27" s="17" t="str">
        <f>IFERROR(__xludf.DUMMYFUNCTION("""COMPUTED_VALUE"""),"City_Dehradun")</f>
        <v>City_Dehradun</v>
      </c>
      <c r="D27" s="17" t="str">
        <f>IFERROR(__xludf.DUMMYFUNCTION("""COMPUTED_VALUE"""),"PRD-NutriKid")</f>
        <v>PRD-NutriKid</v>
      </c>
      <c r="E27" s="17" t="str">
        <f>IFERROR(__xludf.DUMMYFUNCTION("""COMPUTED_VALUE"""),"OPQ  12937")</f>
        <v>OPQ  12937</v>
      </c>
      <c r="F27" s="17" t="str">
        <f>IFERROR(__xludf.DUMMYFUNCTION("""COMPUTED_VALUE"""),"NPQ[IPLMARKETTING]13584")</f>
        <v>NPQ[IPLMARKETTING]13584</v>
      </c>
      <c r="G27" s="18">
        <f t="shared" si="1"/>
        <v>1</v>
      </c>
      <c r="H27" s="17" t="str">
        <f t="shared" si="2"/>
        <v>January</v>
      </c>
      <c r="I27" s="17" t="str">
        <f t="shared" si="3"/>
        <v>Dehradun</v>
      </c>
      <c r="J27" s="17" t="str">
        <f t="shared" si="4"/>
        <v>NutriKid</v>
      </c>
      <c r="K27" s="18">
        <f t="shared" si="5"/>
        <v>12937</v>
      </c>
      <c r="L27" s="18">
        <f t="shared" si="6"/>
        <v>13584</v>
      </c>
      <c r="M27" s="17">
        <f t="shared" si="7"/>
        <v>60</v>
      </c>
      <c r="N27" s="18">
        <f t="shared" si="8"/>
        <v>776220</v>
      </c>
      <c r="O27" s="17" t="str">
        <f t="shared" si="9"/>
        <v>North</v>
      </c>
      <c r="P27" s="17" t="str">
        <f t="shared" si="10"/>
        <v>Ajay Kumar</v>
      </c>
      <c r="Q27" s="19">
        <f t="shared" si="11"/>
        <v>0.125</v>
      </c>
      <c r="R27" s="17">
        <f t="shared" si="12"/>
        <v>679192.5</v>
      </c>
      <c r="S27" s="18">
        <f t="shared" si="13"/>
        <v>815040</v>
      </c>
      <c r="T27" s="20">
        <f t="shared" si="14"/>
        <v>24.108</v>
      </c>
      <c r="U27" s="20">
        <f t="shared" si="15"/>
        <v>29.892</v>
      </c>
      <c r="V27" s="21">
        <f t="shared" si="16"/>
        <v>311885.196</v>
      </c>
      <c r="W27" s="21">
        <f t="shared" si="17"/>
        <v>367307.304</v>
      </c>
      <c r="X27" s="17">
        <f t="shared" si="18"/>
        <v>406052.928</v>
      </c>
      <c r="Y27" s="15"/>
    </row>
    <row r="28">
      <c r="A28" s="16" t="s">
        <v>90</v>
      </c>
      <c r="B28" s="17" t="str">
        <f>IFERROR(__xludf.DUMMYFUNCTION("split(A28,""//"")"),"Month1 ")</f>
        <v>Month1 </v>
      </c>
      <c r="C28" s="17" t="str">
        <f>IFERROR(__xludf.DUMMYFUNCTION("""COMPUTED_VALUE"""),"City_Kochi")</f>
        <v>City_Kochi</v>
      </c>
      <c r="D28" s="17" t="str">
        <f>IFERROR(__xludf.DUMMYFUNCTION("""COMPUTED_VALUE"""),"PRD-ZestVita")</f>
        <v>PRD-ZestVita</v>
      </c>
      <c r="E28" s="17" t="str">
        <f>IFERROR(__xludf.DUMMYFUNCTION("""COMPUTED_VALUE"""),"OPQ  22650")</f>
        <v>OPQ  22650</v>
      </c>
      <c r="F28" s="17" t="str">
        <f>IFERROR(__xludf.DUMMYFUNCTION("""COMPUTED_VALUE"""),"NPQ[IPLMARKETTING]23556")</f>
        <v>NPQ[IPLMARKETTING]23556</v>
      </c>
      <c r="G28" s="18">
        <f t="shared" si="1"/>
        <v>1</v>
      </c>
      <c r="H28" s="17" t="str">
        <f t="shared" si="2"/>
        <v>January</v>
      </c>
      <c r="I28" s="17" t="str">
        <f t="shared" si="3"/>
        <v>Kochi</v>
      </c>
      <c r="J28" s="17" t="str">
        <f t="shared" si="4"/>
        <v>ZestVita</v>
      </c>
      <c r="K28" s="18">
        <f t="shared" si="5"/>
        <v>22650</v>
      </c>
      <c r="L28" s="18">
        <f t="shared" si="6"/>
        <v>23556</v>
      </c>
      <c r="M28" s="17">
        <f t="shared" si="7"/>
        <v>135</v>
      </c>
      <c r="N28" s="18">
        <f t="shared" si="8"/>
        <v>3057750</v>
      </c>
      <c r="O28" s="17" t="str">
        <f t="shared" si="9"/>
        <v>South</v>
      </c>
      <c r="P28" s="17" t="str">
        <f t="shared" si="10"/>
        <v>Anjali Krishna Murthy</v>
      </c>
      <c r="Q28" s="19">
        <f t="shared" si="11"/>
        <v>0.1</v>
      </c>
      <c r="R28" s="17">
        <f t="shared" si="12"/>
        <v>2751975</v>
      </c>
      <c r="S28" s="18">
        <f t="shared" si="13"/>
        <v>3180060</v>
      </c>
      <c r="T28" s="20">
        <f t="shared" si="14"/>
        <v>55.84</v>
      </c>
      <c r="U28" s="20">
        <f t="shared" si="15"/>
        <v>73.16</v>
      </c>
      <c r="V28" s="21">
        <f t="shared" si="16"/>
        <v>1264776</v>
      </c>
      <c r="W28" s="21">
        <f t="shared" si="17"/>
        <v>1487199</v>
      </c>
      <c r="X28" s="17">
        <f t="shared" si="18"/>
        <v>1723356.96</v>
      </c>
      <c r="Y28" s="15"/>
    </row>
    <row r="29">
      <c r="A29" s="16" t="s">
        <v>91</v>
      </c>
      <c r="B29" s="17" t="str">
        <f>IFERROR(__xludf.DUMMYFUNCTION("split(A29,""//"")"),"Month1 ")</f>
        <v>Month1 </v>
      </c>
      <c r="C29" s="17" t="str">
        <f>IFERROR(__xludf.DUMMYFUNCTION("""COMPUTED_VALUE"""),"City_Kochi")</f>
        <v>City_Kochi</v>
      </c>
      <c r="D29" s="17" t="str">
        <f>IFERROR(__xludf.DUMMYFUNCTION("""COMPUTED_VALUE"""),"PRD-NutriKid")</f>
        <v>PRD-NutriKid</v>
      </c>
      <c r="E29" s="17" t="str">
        <f>IFERROR(__xludf.DUMMYFUNCTION("""COMPUTED_VALUE"""),"OPQ  13986")</f>
        <v>OPQ  13986</v>
      </c>
      <c r="F29" s="17" t="str">
        <f>IFERROR(__xludf.DUMMYFUNCTION("""COMPUTED_VALUE"""),"NPQ[IPLMARKETTING]14545")</f>
        <v>NPQ[IPLMARKETTING]14545</v>
      </c>
      <c r="G29" s="18">
        <f t="shared" si="1"/>
        <v>1</v>
      </c>
      <c r="H29" s="17" t="str">
        <f t="shared" si="2"/>
        <v>January</v>
      </c>
      <c r="I29" s="17" t="str">
        <f t="shared" si="3"/>
        <v>Kochi</v>
      </c>
      <c r="J29" s="17" t="str">
        <f t="shared" si="4"/>
        <v>NutriKid</v>
      </c>
      <c r="K29" s="18">
        <f t="shared" si="5"/>
        <v>13986</v>
      </c>
      <c r="L29" s="18">
        <f t="shared" si="6"/>
        <v>14545</v>
      </c>
      <c r="M29" s="17">
        <f t="shared" si="7"/>
        <v>60</v>
      </c>
      <c r="N29" s="18">
        <f t="shared" si="8"/>
        <v>839160</v>
      </c>
      <c r="O29" s="17" t="str">
        <f t="shared" si="9"/>
        <v>South</v>
      </c>
      <c r="P29" s="17" t="str">
        <f t="shared" si="10"/>
        <v>Anjali Krishna Murthy</v>
      </c>
      <c r="Q29" s="19">
        <f t="shared" si="11"/>
        <v>0.1</v>
      </c>
      <c r="R29" s="17">
        <f t="shared" si="12"/>
        <v>755244</v>
      </c>
      <c r="S29" s="18">
        <f t="shared" si="13"/>
        <v>872700</v>
      </c>
      <c r="T29" s="20">
        <f t="shared" si="14"/>
        <v>24.108</v>
      </c>
      <c r="U29" s="20">
        <f t="shared" si="15"/>
        <v>29.892</v>
      </c>
      <c r="V29" s="21">
        <f t="shared" si="16"/>
        <v>337174.488</v>
      </c>
      <c r="W29" s="21">
        <f t="shared" si="17"/>
        <v>418069.512</v>
      </c>
      <c r="X29" s="17">
        <f t="shared" si="18"/>
        <v>434779.14</v>
      </c>
      <c r="Y29" s="15"/>
    </row>
    <row r="30">
      <c r="A30" s="16" t="s">
        <v>92</v>
      </c>
      <c r="B30" s="17" t="str">
        <f>IFERROR(__xludf.DUMMYFUNCTION("split(A30,""//"")"),"Month1 ")</f>
        <v>Month1 </v>
      </c>
      <c r="C30" s="17" t="str">
        <f>IFERROR(__xludf.DUMMYFUNCTION("""COMPUTED_VALUE"""),"City_Jaipur")</f>
        <v>City_Jaipur</v>
      </c>
      <c r="D30" s="17" t="str">
        <f>IFERROR(__xludf.DUMMYFUNCTION("""COMPUTED_VALUE"""),"PRD-ZestVita")</f>
        <v>PRD-ZestVita</v>
      </c>
      <c r="E30" s="17" t="str">
        <f>IFERROR(__xludf.DUMMYFUNCTION("""COMPUTED_VALUE"""),"OPQ  20091")</f>
        <v>OPQ  20091</v>
      </c>
      <c r="F30" s="17" t="str">
        <f>IFERROR(__xludf.DUMMYFUNCTION("""COMPUTED_VALUE"""),"NPQ[IPLMARKETTING]23105")</f>
        <v>NPQ[IPLMARKETTING]23105</v>
      </c>
      <c r="G30" s="18">
        <f t="shared" si="1"/>
        <v>1</v>
      </c>
      <c r="H30" s="17" t="str">
        <f t="shared" si="2"/>
        <v>January</v>
      </c>
      <c r="I30" s="17" t="str">
        <f t="shared" si="3"/>
        <v>Jaipur</v>
      </c>
      <c r="J30" s="17" t="str">
        <f t="shared" si="4"/>
        <v>ZestVita</v>
      </c>
      <c r="K30" s="18">
        <f t="shared" si="5"/>
        <v>20091</v>
      </c>
      <c r="L30" s="18">
        <f t="shared" si="6"/>
        <v>23105</v>
      </c>
      <c r="M30" s="17">
        <f t="shared" si="7"/>
        <v>135</v>
      </c>
      <c r="N30" s="18">
        <f t="shared" si="8"/>
        <v>2712285</v>
      </c>
      <c r="O30" s="17" t="str">
        <f t="shared" si="9"/>
        <v>West</v>
      </c>
      <c r="P30" s="17" t="str">
        <f t="shared" si="10"/>
        <v>Ajay Ghosh</v>
      </c>
      <c r="Q30" s="19">
        <f t="shared" si="11"/>
        <v>0</v>
      </c>
      <c r="R30" s="18">
        <f t="shared" si="12"/>
        <v>2712285</v>
      </c>
      <c r="S30" s="18">
        <f t="shared" si="13"/>
        <v>3119175</v>
      </c>
      <c r="T30" s="20">
        <f t="shared" si="14"/>
        <v>55.84</v>
      </c>
      <c r="U30" s="20">
        <f t="shared" si="15"/>
        <v>73.16</v>
      </c>
      <c r="V30" s="21">
        <f t="shared" si="16"/>
        <v>1121881.44</v>
      </c>
      <c r="W30" s="18">
        <f t="shared" si="17"/>
        <v>1590403.56</v>
      </c>
      <c r="X30" s="17">
        <f t="shared" si="18"/>
        <v>1690361.8</v>
      </c>
      <c r="Y30" s="15"/>
    </row>
    <row r="31">
      <c r="A31" s="16" t="s">
        <v>93</v>
      </c>
      <c r="B31" s="17" t="str">
        <f>IFERROR(__xludf.DUMMYFUNCTION("split(A31,""//"")"),"Month1 ")</f>
        <v>Month1 </v>
      </c>
      <c r="C31" s="17" t="str">
        <f>IFERROR(__xludf.DUMMYFUNCTION("""COMPUTED_VALUE"""),"City_Jaipur")</f>
        <v>City_Jaipur</v>
      </c>
      <c r="D31" s="17" t="str">
        <f>IFERROR(__xludf.DUMMYFUNCTION("""COMPUTED_VALUE"""),"PRD-NutriKid")</f>
        <v>PRD-NutriKid</v>
      </c>
      <c r="E31" s="17" t="str">
        <f>IFERROR(__xludf.DUMMYFUNCTION("""COMPUTED_VALUE"""),"OPQ  15244")</f>
        <v>OPQ  15244</v>
      </c>
      <c r="F31" s="17" t="str">
        <f>IFERROR(__xludf.DUMMYFUNCTION("""COMPUTED_VALUE"""),"NPQ[IPLMARKETTING]18598")</f>
        <v>NPQ[IPLMARKETTING]18598</v>
      </c>
      <c r="G31" s="18">
        <f t="shared" si="1"/>
        <v>1</v>
      </c>
      <c r="H31" s="17" t="str">
        <f t="shared" si="2"/>
        <v>January</v>
      </c>
      <c r="I31" s="17" t="str">
        <f t="shared" si="3"/>
        <v>Jaipur</v>
      </c>
      <c r="J31" s="17" t="str">
        <f t="shared" si="4"/>
        <v>NutriKid</v>
      </c>
      <c r="K31" s="18">
        <f t="shared" si="5"/>
        <v>15244</v>
      </c>
      <c r="L31" s="18">
        <f t="shared" si="6"/>
        <v>18598</v>
      </c>
      <c r="M31" s="17">
        <f t="shared" si="7"/>
        <v>60</v>
      </c>
      <c r="N31" s="18">
        <f t="shared" si="8"/>
        <v>914640</v>
      </c>
      <c r="O31" s="17" t="str">
        <f t="shared" si="9"/>
        <v>West</v>
      </c>
      <c r="P31" s="17" t="str">
        <f t="shared" si="10"/>
        <v>Ajay Ghosh</v>
      </c>
      <c r="Q31" s="19">
        <f t="shared" si="11"/>
        <v>0</v>
      </c>
      <c r="R31" s="18">
        <f t="shared" si="12"/>
        <v>914640</v>
      </c>
      <c r="S31" s="18">
        <f t="shared" si="13"/>
        <v>1115880</v>
      </c>
      <c r="T31" s="20">
        <f t="shared" si="14"/>
        <v>24.108</v>
      </c>
      <c r="U31" s="20">
        <f t="shared" si="15"/>
        <v>29.892</v>
      </c>
      <c r="V31" s="21">
        <f t="shared" si="16"/>
        <v>367502.352</v>
      </c>
      <c r="W31" s="18">
        <f t="shared" si="17"/>
        <v>547137.648</v>
      </c>
      <c r="X31" s="17">
        <f t="shared" si="18"/>
        <v>555931.416</v>
      </c>
      <c r="Y31" s="15"/>
    </row>
    <row r="32">
      <c r="A32" s="16" t="s">
        <v>94</v>
      </c>
      <c r="B32" s="17" t="str">
        <f>IFERROR(__xludf.DUMMYFUNCTION("split(A32,""//"")"),"Month1 ")</f>
        <v>Month1 </v>
      </c>
      <c r="C32" s="17" t="str">
        <f>IFERROR(__xludf.DUMMYFUNCTION("""COMPUTED_VALUE"""),"City_Patna")</f>
        <v>City_Patna</v>
      </c>
      <c r="D32" s="17" t="str">
        <f>IFERROR(__xludf.DUMMYFUNCTION("""COMPUTED_VALUE"""),"PRD-ZestVita")</f>
        <v>PRD-ZestVita</v>
      </c>
      <c r="E32" s="17" t="str">
        <f>IFERROR(__xludf.DUMMYFUNCTION("""COMPUTED_VALUE"""),"OPQ  17316")</f>
        <v>OPQ  17316</v>
      </c>
      <c r="F32" s="17" t="str">
        <f>IFERROR(__xludf.DUMMYFUNCTION("""COMPUTED_VALUE"""),"NPQ[IPLMARKETTING]19740")</f>
        <v>NPQ[IPLMARKETTING]19740</v>
      </c>
      <c r="G32" s="18">
        <f t="shared" si="1"/>
        <v>1</v>
      </c>
      <c r="H32" s="17" t="str">
        <f t="shared" si="2"/>
        <v>January</v>
      </c>
      <c r="I32" s="17" t="str">
        <f t="shared" si="3"/>
        <v>Patna</v>
      </c>
      <c r="J32" s="17" t="str">
        <f t="shared" si="4"/>
        <v>ZestVita</v>
      </c>
      <c r="K32" s="18">
        <f t="shared" si="5"/>
        <v>17316</v>
      </c>
      <c r="L32" s="18">
        <f t="shared" si="6"/>
        <v>19740</v>
      </c>
      <c r="M32" s="17">
        <f t="shared" si="7"/>
        <v>135</v>
      </c>
      <c r="N32" s="18">
        <f t="shared" si="8"/>
        <v>2337660</v>
      </c>
      <c r="O32" s="17" t="str">
        <f t="shared" si="9"/>
        <v>East</v>
      </c>
      <c r="P32" s="17" t="str">
        <f t="shared" si="10"/>
        <v>Tanvi Sharma</v>
      </c>
      <c r="Q32" s="19">
        <f t="shared" si="11"/>
        <v>0.05</v>
      </c>
      <c r="R32" s="17">
        <f t="shared" si="12"/>
        <v>2220777</v>
      </c>
      <c r="S32" s="18">
        <f t="shared" si="13"/>
        <v>2664900</v>
      </c>
      <c r="T32" s="20">
        <f t="shared" si="14"/>
        <v>55.84</v>
      </c>
      <c r="U32" s="20">
        <f t="shared" si="15"/>
        <v>73.16</v>
      </c>
      <c r="V32" s="21">
        <f t="shared" si="16"/>
        <v>966925.44</v>
      </c>
      <c r="W32" s="21">
        <f t="shared" si="17"/>
        <v>1253851.56</v>
      </c>
      <c r="X32" s="17">
        <f t="shared" si="18"/>
        <v>1444178.4</v>
      </c>
      <c r="Y32" s="15"/>
    </row>
    <row r="33">
      <c r="A33" s="16" t="s">
        <v>95</v>
      </c>
      <c r="B33" s="17" t="str">
        <f>IFERROR(__xludf.DUMMYFUNCTION("split(A33,""//"")"),"Month1 ")</f>
        <v>Month1 </v>
      </c>
      <c r="C33" s="17" t="str">
        <f>IFERROR(__xludf.DUMMYFUNCTION("""COMPUTED_VALUE"""),"City_Patna")</f>
        <v>City_Patna</v>
      </c>
      <c r="D33" s="17" t="str">
        <f>IFERROR(__xludf.DUMMYFUNCTION("""COMPUTED_VALUE"""),"PRD-NutriKid")</f>
        <v>PRD-NutriKid</v>
      </c>
      <c r="E33" s="17" t="str">
        <f>IFERROR(__xludf.DUMMYFUNCTION("""COMPUTED_VALUE"""),"OPQ  22866")</f>
        <v>OPQ  22866</v>
      </c>
      <c r="F33" s="17" t="str">
        <f>IFERROR(__xludf.DUMMYFUNCTION("""COMPUTED_VALUE"""),"NPQ[IPLMARKETTING]26982")</f>
        <v>NPQ[IPLMARKETTING]26982</v>
      </c>
      <c r="G33" s="18">
        <f t="shared" si="1"/>
        <v>1</v>
      </c>
      <c r="H33" s="17" t="str">
        <f t="shared" si="2"/>
        <v>January</v>
      </c>
      <c r="I33" s="17" t="str">
        <f t="shared" si="3"/>
        <v>Patna</v>
      </c>
      <c r="J33" s="17" t="str">
        <f t="shared" si="4"/>
        <v>NutriKid</v>
      </c>
      <c r="K33" s="18">
        <f t="shared" si="5"/>
        <v>22866</v>
      </c>
      <c r="L33" s="18">
        <f t="shared" si="6"/>
        <v>26982</v>
      </c>
      <c r="M33" s="17">
        <f t="shared" si="7"/>
        <v>60</v>
      </c>
      <c r="N33" s="18">
        <f t="shared" si="8"/>
        <v>1371960</v>
      </c>
      <c r="O33" s="17" t="str">
        <f t="shared" si="9"/>
        <v>East</v>
      </c>
      <c r="P33" s="17" t="str">
        <f t="shared" si="10"/>
        <v>Tanvi Sharma</v>
      </c>
      <c r="Q33" s="19">
        <f t="shared" si="11"/>
        <v>0.05</v>
      </c>
      <c r="R33" s="17">
        <f t="shared" si="12"/>
        <v>1303362</v>
      </c>
      <c r="S33" s="18">
        <f t="shared" si="13"/>
        <v>1618920</v>
      </c>
      <c r="T33" s="20">
        <f t="shared" si="14"/>
        <v>24.108</v>
      </c>
      <c r="U33" s="20">
        <f t="shared" si="15"/>
        <v>29.892</v>
      </c>
      <c r="V33" s="21">
        <f t="shared" si="16"/>
        <v>551253.528</v>
      </c>
      <c r="W33" s="21">
        <f t="shared" si="17"/>
        <v>752108.472</v>
      </c>
      <c r="X33" s="17">
        <f t="shared" si="18"/>
        <v>806545.944</v>
      </c>
      <c r="Y33" s="15"/>
    </row>
    <row r="34">
      <c r="A34" s="16" t="s">
        <v>96</v>
      </c>
      <c r="B34" s="17" t="str">
        <f>IFERROR(__xludf.DUMMYFUNCTION("split(A34,""//"")"),"Month2 ")</f>
        <v>Month2 </v>
      </c>
      <c r="C34" s="17" t="str">
        <f>IFERROR(__xludf.DUMMYFUNCTION("""COMPUTED_VALUE"""),"City_Delhi")</f>
        <v>City_Delhi</v>
      </c>
      <c r="D34" s="17" t="str">
        <f>IFERROR(__xludf.DUMMYFUNCTION("""COMPUTED_VALUE"""),"PRD-ZestVita")</f>
        <v>PRD-ZestVita</v>
      </c>
      <c r="E34" s="17" t="str">
        <f>IFERROR(__xludf.DUMMYFUNCTION("""COMPUTED_VALUE"""),"OPQ  24722")</f>
        <v>OPQ  24722</v>
      </c>
      <c r="F34" s="17" t="str">
        <f>IFERROR(__xludf.DUMMYFUNCTION("""COMPUTED_VALUE"""),"NPQ[IPLMARKETTING]27441")</f>
        <v>NPQ[IPLMARKETTING]27441</v>
      </c>
      <c r="G34" s="18">
        <f t="shared" si="1"/>
        <v>2</v>
      </c>
      <c r="H34" s="17" t="str">
        <f t="shared" si="2"/>
        <v>February</v>
      </c>
      <c r="I34" s="17" t="str">
        <f t="shared" si="3"/>
        <v>Delhi</v>
      </c>
      <c r="J34" s="17" t="str">
        <f t="shared" si="4"/>
        <v>ZestVita</v>
      </c>
      <c r="K34" s="18">
        <f t="shared" si="5"/>
        <v>24722</v>
      </c>
      <c r="L34" s="18">
        <f t="shared" si="6"/>
        <v>27441</v>
      </c>
      <c r="M34" s="17">
        <f t="shared" si="7"/>
        <v>135</v>
      </c>
      <c r="N34" s="18">
        <f t="shared" si="8"/>
        <v>3337470</v>
      </c>
      <c r="O34" s="17" t="str">
        <f t="shared" si="9"/>
        <v>North</v>
      </c>
      <c r="P34" s="17" t="str">
        <f t="shared" si="10"/>
        <v>Ajay Kumar</v>
      </c>
      <c r="Q34" s="19">
        <f t="shared" si="11"/>
        <v>0</v>
      </c>
      <c r="R34" s="18">
        <f t="shared" si="12"/>
        <v>3337470</v>
      </c>
      <c r="S34" s="18">
        <f t="shared" si="13"/>
        <v>3704535</v>
      </c>
      <c r="T34" s="20">
        <f t="shared" si="14"/>
        <v>55.84</v>
      </c>
      <c r="U34" s="20">
        <f t="shared" si="15"/>
        <v>73.16</v>
      </c>
      <c r="V34" s="21">
        <f t="shared" si="16"/>
        <v>1380476.48</v>
      </c>
      <c r="W34" s="18">
        <f t="shared" si="17"/>
        <v>1956993.52</v>
      </c>
      <c r="X34" s="17">
        <f t="shared" si="18"/>
        <v>2007583.56</v>
      </c>
      <c r="Y34" s="15"/>
    </row>
    <row r="35">
      <c r="A35" s="16" t="s">
        <v>97</v>
      </c>
      <c r="B35" s="17" t="str">
        <f>IFERROR(__xludf.DUMMYFUNCTION("split(A35,""//"")"),"Month2 ")</f>
        <v>Month2 </v>
      </c>
      <c r="C35" s="17" t="str">
        <f>IFERROR(__xludf.DUMMYFUNCTION("""COMPUTED_VALUE"""),"City_Delhi")</f>
        <v>City_Delhi</v>
      </c>
      <c r="D35" s="17" t="str">
        <f>IFERROR(__xludf.DUMMYFUNCTION("""COMPUTED_VALUE"""),"PRD-NutriKid")</f>
        <v>PRD-NutriKid</v>
      </c>
      <c r="E35" s="17" t="str">
        <f>IFERROR(__xludf.DUMMYFUNCTION("""COMPUTED_VALUE"""),"OPQ  19148")</f>
        <v>OPQ  19148</v>
      </c>
      <c r="F35" s="17" t="str">
        <f>IFERROR(__xludf.DUMMYFUNCTION("""COMPUTED_VALUE"""),"NPQ[IPLMARKETTING]23361")</f>
        <v>NPQ[IPLMARKETTING]23361</v>
      </c>
      <c r="G35" s="18">
        <f t="shared" si="1"/>
        <v>2</v>
      </c>
      <c r="H35" s="17" t="str">
        <f t="shared" si="2"/>
        <v>February</v>
      </c>
      <c r="I35" s="17" t="str">
        <f t="shared" si="3"/>
        <v>Delhi</v>
      </c>
      <c r="J35" s="17" t="str">
        <f t="shared" si="4"/>
        <v>NutriKid</v>
      </c>
      <c r="K35" s="18">
        <f t="shared" si="5"/>
        <v>19148</v>
      </c>
      <c r="L35" s="18">
        <f t="shared" si="6"/>
        <v>23361</v>
      </c>
      <c r="M35" s="17">
        <f t="shared" si="7"/>
        <v>60</v>
      </c>
      <c r="N35" s="18">
        <f t="shared" si="8"/>
        <v>1148880</v>
      </c>
      <c r="O35" s="17" t="str">
        <f t="shared" si="9"/>
        <v>North</v>
      </c>
      <c r="P35" s="17" t="str">
        <f t="shared" si="10"/>
        <v>Ajay Kumar</v>
      </c>
      <c r="Q35" s="19">
        <f t="shared" si="11"/>
        <v>0</v>
      </c>
      <c r="R35" s="18">
        <f t="shared" si="12"/>
        <v>1148880</v>
      </c>
      <c r="S35" s="18">
        <f t="shared" si="13"/>
        <v>1401660</v>
      </c>
      <c r="T35" s="20">
        <f t="shared" si="14"/>
        <v>24.108</v>
      </c>
      <c r="U35" s="20">
        <f t="shared" si="15"/>
        <v>29.892</v>
      </c>
      <c r="V35" s="21">
        <f t="shared" si="16"/>
        <v>461619.984</v>
      </c>
      <c r="W35" s="18">
        <f t="shared" si="17"/>
        <v>687260.016</v>
      </c>
      <c r="X35" s="17">
        <f t="shared" si="18"/>
        <v>698307.012</v>
      </c>
      <c r="Y35" s="15"/>
    </row>
    <row r="36">
      <c r="A36" s="16" t="s">
        <v>98</v>
      </c>
      <c r="B36" s="17" t="str">
        <f>IFERROR(__xludf.DUMMYFUNCTION("split(A36,""//"")"),"Month2 ")</f>
        <v>Month2 </v>
      </c>
      <c r="C36" s="17" t="str">
        <f>IFERROR(__xludf.DUMMYFUNCTION("""COMPUTED_VALUE"""),"City_Kolkata")</f>
        <v>City_Kolkata</v>
      </c>
      <c r="D36" s="17" t="str">
        <f>IFERROR(__xludf.DUMMYFUNCTION("""COMPUTED_VALUE"""),"PRD-ZestVita")</f>
        <v>PRD-ZestVita</v>
      </c>
      <c r="E36" s="17" t="str">
        <f>IFERROR(__xludf.DUMMYFUNCTION("""COMPUTED_VALUE"""),"OPQ  13535")</f>
        <v>OPQ  13535</v>
      </c>
      <c r="F36" s="17" t="str">
        <f>IFERROR(__xludf.DUMMYFUNCTION("""COMPUTED_VALUE"""),"NPQ[IPLMARKETTING]15159")</f>
        <v>NPQ[IPLMARKETTING]15159</v>
      </c>
      <c r="G36" s="18">
        <f t="shared" si="1"/>
        <v>2</v>
      </c>
      <c r="H36" s="17" t="str">
        <f t="shared" si="2"/>
        <v>February</v>
      </c>
      <c r="I36" s="17" t="str">
        <f t="shared" si="3"/>
        <v>Kolkata</v>
      </c>
      <c r="J36" s="17" t="str">
        <f t="shared" si="4"/>
        <v>ZestVita</v>
      </c>
      <c r="K36" s="18">
        <f t="shared" si="5"/>
        <v>13535</v>
      </c>
      <c r="L36" s="18">
        <f t="shared" si="6"/>
        <v>15159</v>
      </c>
      <c r="M36" s="17">
        <f t="shared" si="7"/>
        <v>135</v>
      </c>
      <c r="N36" s="18">
        <f t="shared" si="8"/>
        <v>1827225</v>
      </c>
      <c r="O36" s="17" t="str">
        <f t="shared" si="9"/>
        <v>East</v>
      </c>
      <c r="P36" s="17" t="str">
        <f t="shared" si="10"/>
        <v>Tanvi Sharma</v>
      </c>
      <c r="Q36" s="19">
        <f t="shared" si="11"/>
        <v>0</v>
      </c>
      <c r="R36" s="18">
        <f t="shared" si="12"/>
        <v>1827225</v>
      </c>
      <c r="S36" s="18">
        <f t="shared" si="13"/>
        <v>2046465</v>
      </c>
      <c r="T36" s="20">
        <f t="shared" si="14"/>
        <v>55.84</v>
      </c>
      <c r="U36" s="20">
        <f t="shared" si="15"/>
        <v>73.16</v>
      </c>
      <c r="V36" s="21">
        <f t="shared" si="16"/>
        <v>755794.4</v>
      </c>
      <c r="W36" s="18">
        <f t="shared" si="17"/>
        <v>1071430.6</v>
      </c>
      <c r="X36" s="17">
        <f t="shared" si="18"/>
        <v>1109032.44</v>
      </c>
      <c r="Y36" s="15"/>
    </row>
    <row r="37">
      <c r="A37" s="16" t="s">
        <v>99</v>
      </c>
      <c r="B37" s="17" t="str">
        <f>IFERROR(__xludf.DUMMYFUNCTION("split(A37,""//"")"),"Month2 ")</f>
        <v>Month2 </v>
      </c>
      <c r="C37" s="17" t="str">
        <f>IFERROR(__xludf.DUMMYFUNCTION("""COMPUTED_VALUE"""),"City_Kolkata")</f>
        <v>City_Kolkata</v>
      </c>
      <c r="D37" s="17" t="str">
        <f>IFERROR(__xludf.DUMMYFUNCTION("""COMPUTED_VALUE"""),"PRD-NutriKid")</f>
        <v>PRD-NutriKid</v>
      </c>
      <c r="E37" s="17" t="str">
        <f>IFERROR(__xludf.DUMMYFUNCTION("""COMPUTED_VALUE"""),"OPQ  25924")</f>
        <v>OPQ  25924</v>
      </c>
      <c r="F37" s="17" t="str">
        <f>IFERROR(__xludf.DUMMYFUNCTION("""COMPUTED_VALUE"""),"NPQ[IPLMARKETTING]30072")</f>
        <v>NPQ[IPLMARKETTING]30072</v>
      </c>
      <c r="G37" s="18">
        <f t="shared" si="1"/>
        <v>2</v>
      </c>
      <c r="H37" s="17" t="str">
        <f t="shared" si="2"/>
        <v>February</v>
      </c>
      <c r="I37" s="17" t="str">
        <f t="shared" si="3"/>
        <v>Kolkata</v>
      </c>
      <c r="J37" s="17" t="str">
        <f t="shared" si="4"/>
        <v>NutriKid</v>
      </c>
      <c r="K37" s="18">
        <f t="shared" si="5"/>
        <v>25924</v>
      </c>
      <c r="L37" s="18">
        <f t="shared" si="6"/>
        <v>30072</v>
      </c>
      <c r="M37" s="17">
        <f t="shared" si="7"/>
        <v>60</v>
      </c>
      <c r="N37" s="18">
        <f t="shared" si="8"/>
        <v>1555440</v>
      </c>
      <c r="O37" s="17" t="str">
        <f t="shared" si="9"/>
        <v>East</v>
      </c>
      <c r="P37" s="17" t="str">
        <f t="shared" si="10"/>
        <v>Tanvi Sharma</v>
      </c>
      <c r="Q37" s="19">
        <f t="shared" si="11"/>
        <v>0</v>
      </c>
      <c r="R37" s="18">
        <f t="shared" si="12"/>
        <v>1555440</v>
      </c>
      <c r="S37" s="18">
        <f t="shared" si="13"/>
        <v>1804320</v>
      </c>
      <c r="T37" s="20">
        <f t="shared" si="14"/>
        <v>24.108</v>
      </c>
      <c r="U37" s="20">
        <f t="shared" si="15"/>
        <v>29.892</v>
      </c>
      <c r="V37" s="21">
        <f t="shared" si="16"/>
        <v>624975.792</v>
      </c>
      <c r="W37" s="18">
        <f t="shared" si="17"/>
        <v>930464.208</v>
      </c>
      <c r="X37" s="17">
        <f t="shared" si="18"/>
        <v>898912.224</v>
      </c>
      <c r="Y37" s="15"/>
    </row>
    <row r="38">
      <c r="A38" s="16" t="s">
        <v>100</v>
      </c>
      <c r="B38" s="17" t="str">
        <f>IFERROR(__xludf.DUMMYFUNCTION("split(A38,""//"")"),"Month2 ")</f>
        <v>Month2 </v>
      </c>
      <c r="C38" s="17" t="str">
        <f>IFERROR(__xludf.DUMMYFUNCTION("""COMPUTED_VALUE"""),"City_Pune")</f>
        <v>City_Pune</v>
      </c>
      <c r="D38" s="17" t="str">
        <f>IFERROR(__xludf.DUMMYFUNCTION("""COMPUTED_VALUE"""),"PRD-ZestVita")</f>
        <v>PRD-ZestVita</v>
      </c>
      <c r="E38" s="17" t="str">
        <f>IFERROR(__xludf.DUMMYFUNCTION("""COMPUTED_VALUE"""),"OPQ  15923")</f>
        <v>OPQ  15923</v>
      </c>
      <c r="F38" s="17" t="str">
        <f>IFERROR(__xludf.DUMMYFUNCTION("""COMPUTED_VALUE"""),"NPQ[IPLMARKETTING]19267")</f>
        <v>NPQ[IPLMARKETTING]19267</v>
      </c>
      <c r="G38" s="18">
        <f t="shared" si="1"/>
        <v>2</v>
      </c>
      <c r="H38" s="17" t="str">
        <f t="shared" si="2"/>
        <v>February</v>
      </c>
      <c r="I38" s="17" t="str">
        <f t="shared" si="3"/>
        <v>Pune</v>
      </c>
      <c r="J38" s="17" t="str">
        <f t="shared" si="4"/>
        <v>ZestVita</v>
      </c>
      <c r="K38" s="18">
        <f t="shared" si="5"/>
        <v>15923</v>
      </c>
      <c r="L38" s="18">
        <f t="shared" si="6"/>
        <v>19267</v>
      </c>
      <c r="M38" s="17">
        <f t="shared" si="7"/>
        <v>135</v>
      </c>
      <c r="N38" s="18">
        <f t="shared" si="8"/>
        <v>2149605</v>
      </c>
      <c r="O38" s="17" t="str">
        <f t="shared" si="9"/>
        <v>West</v>
      </c>
      <c r="P38" s="17" t="str">
        <f t="shared" si="10"/>
        <v>Ajay Ghosh</v>
      </c>
      <c r="Q38" s="19">
        <f t="shared" si="11"/>
        <v>0</v>
      </c>
      <c r="R38" s="18">
        <f t="shared" si="12"/>
        <v>2149605</v>
      </c>
      <c r="S38" s="18">
        <f t="shared" si="13"/>
        <v>2601045</v>
      </c>
      <c r="T38" s="20">
        <f t="shared" si="14"/>
        <v>55.84</v>
      </c>
      <c r="U38" s="20">
        <f t="shared" si="15"/>
        <v>73.16</v>
      </c>
      <c r="V38" s="21">
        <f t="shared" si="16"/>
        <v>889140.32</v>
      </c>
      <c r="W38" s="18">
        <f t="shared" si="17"/>
        <v>1260464.68</v>
      </c>
      <c r="X38" s="17">
        <f t="shared" si="18"/>
        <v>1409573.72</v>
      </c>
      <c r="Y38" s="15"/>
    </row>
    <row r="39">
      <c r="A39" s="16" t="s">
        <v>101</v>
      </c>
      <c r="B39" s="17" t="str">
        <f>IFERROR(__xludf.DUMMYFUNCTION("split(A39,""//"")"),"Month2 ")</f>
        <v>Month2 </v>
      </c>
      <c r="C39" s="17" t="str">
        <f>IFERROR(__xludf.DUMMYFUNCTION("""COMPUTED_VALUE"""),"City_Pune")</f>
        <v>City_Pune</v>
      </c>
      <c r="D39" s="17" t="str">
        <f>IFERROR(__xludf.DUMMYFUNCTION("""COMPUTED_VALUE"""),"PRD-NutriKid")</f>
        <v>PRD-NutriKid</v>
      </c>
      <c r="E39" s="17" t="str">
        <f>IFERROR(__xludf.DUMMYFUNCTION("""COMPUTED_VALUE"""),"OPQ  18643")</f>
        <v>OPQ  18643</v>
      </c>
      <c r="F39" s="17" t="str">
        <f>IFERROR(__xludf.DUMMYFUNCTION("""COMPUTED_VALUE"""),"NPQ[IPLMARKETTING]21626")</f>
        <v>NPQ[IPLMARKETTING]21626</v>
      </c>
      <c r="G39" s="18">
        <f t="shared" si="1"/>
        <v>2</v>
      </c>
      <c r="H39" s="17" t="str">
        <f t="shared" si="2"/>
        <v>February</v>
      </c>
      <c r="I39" s="17" t="str">
        <f t="shared" si="3"/>
        <v>Pune</v>
      </c>
      <c r="J39" s="17" t="str">
        <f t="shared" si="4"/>
        <v>NutriKid</v>
      </c>
      <c r="K39" s="18">
        <f t="shared" si="5"/>
        <v>18643</v>
      </c>
      <c r="L39" s="18">
        <f t="shared" si="6"/>
        <v>21626</v>
      </c>
      <c r="M39" s="17">
        <f t="shared" si="7"/>
        <v>60</v>
      </c>
      <c r="N39" s="18">
        <f t="shared" si="8"/>
        <v>1118580</v>
      </c>
      <c r="O39" s="17" t="str">
        <f t="shared" si="9"/>
        <v>West</v>
      </c>
      <c r="P39" s="17" t="str">
        <f t="shared" si="10"/>
        <v>Ajay Ghosh</v>
      </c>
      <c r="Q39" s="19">
        <f t="shared" si="11"/>
        <v>0</v>
      </c>
      <c r="R39" s="18">
        <f t="shared" si="12"/>
        <v>1118580</v>
      </c>
      <c r="S39" s="18">
        <f t="shared" si="13"/>
        <v>1297560</v>
      </c>
      <c r="T39" s="20">
        <f t="shared" si="14"/>
        <v>24.108</v>
      </c>
      <c r="U39" s="20">
        <f t="shared" si="15"/>
        <v>29.892</v>
      </c>
      <c r="V39" s="21">
        <f t="shared" si="16"/>
        <v>449445.444</v>
      </c>
      <c r="W39" s="18">
        <f t="shared" si="17"/>
        <v>669134.556</v>
      </c>
      <c r="X39" s="17">
        <f t="shared" si="18"/>
        <v>646444.392</v>
      </c>
      <c r="Y39" s="15"/>
    </row>
    <row r="40">
      <c r="A40" s="16" t="s">
        <v>102</v>
      </c>
      <c r="B40" s="17" t="str">
        <f>IFERROR(__xludf.DUMMYFUNCTION("split(A40,""//"")"),"Month2 ")</f>
        <v>Month2 </v>
      </c>
      <c r="C40" s="17" t="str">
        <f>IFERROR(__xludf.DUMMYFUNCTION("""COMPUTED_VALUE"""),"City_Bengaluru")</f>
        <v>City_Bengaluru</v>
      </c>
      <c r="D40" s="17" t="str">
        <f>IFERROR(__xludf.DUMMYFUNCTION("""COMPUTED_VALUE"""),"PRD-ZestVita")</f>
        <v>PRD-ZestVita</v>
      </c>
      <c r="E40" s="17" t="str">
        <f>IFERROR(__xludf.DUMMYFUNCTION("""COMPUTED_VALUE"""),"OPQ  29296")</f>
        <v>OPQ  29296</v>
      </c>
      <c r="F40" s="17" t="str">
        <f>IFERROR(__xludf.DUMMYFUNCTION("""COMPUTED_VALUE"""),"NPQ[IPLMARKETTING]32812")</f>
        <v>NPQ[IPLMARKETTING]32812</v>
      </c>
      <c r="G40" s="18">
        <f t="shared" si="1"/>
        <v>2</v>
      </c>
      <c r="H40" s="17" t="str">
        <f t="shared" si="2"/>
        <v>February</v>
      </c>
      <c r="I40" s="17" t="str">
        <f t="shared" si="3"/>
        <v>Bengaluru</v>
      </c>
      <c r="J40" s="17" t="str">
        <f t="shared" si="4"/>
        <v>ZestVita</v>
      </c>
      <c r="K40" s="18">
        <f t="shared" si="5"/>
        <v>29296</v>
      </c>
      <c r="L40" s="18">
        <f t="shared" si="6"/>
        <v>32812</v>
      </c>
      <c r="M40" s="17">
        <f t="shared" si="7"/>
        <v>135</v>
      </c>
      <c r="N40" s="18">
        <f t="shared" si="8"/>
        <v>3954960</v>
      </c>
      <c r="O40" s="17" t="str">
        <f t="shared" si="9"/>
        <v>South</v>
      </c>
      <c r="P40" s="17" t="str">
        <f t="shared" si="10"/>
        <v>Anjali Krishna Murthy</v>
      </c>
      <c r="Q40" s="19">
        <f t="shared" si="11"/>
        <v>0</v>
      </c>
      <c r="R40" s="18">
        <f t="shared" si="12"/>
        <v>3954960</v>
      </c>
      <c r="S40" s="18">
        <f t="shared" si="13"/>
        <v>4429620</v>
      </c>
      <c r="T40" s="20">
        <f t="shared" si="14"/>
        <v>55.84</v>
      </c>
      <c r="U40" s="20">
        <f t="shared" si="15"/>
        <v>73.16</v>
      </c>
      <c r="V40" s="21">
        <f t="shared" si="16"/>
        <v>1635888.64</v>
      </c>
      <c r="W40" s="18">
        <f t="shared" si="17"/>
        <v>2319071.36</v>
      </c>
      <c r="X40" s="17">
        <f t="shared" si="18"/>
        <v>2400525.92</v>
      </c>
      <c r="Y40" s="15"/>
    </row>
    <row r="41">
      <c r="A41" s="16" t="s">
        <v>103</v>
      </c>
      <c r="B41" s="17" t="str">
        <f>IFERROR(__xludf.DUMMYFUNCTION("split(A41,""//"")"),"Month2 ")</f>
        <v>Month2 </v>
      </c>
      <c r="C41" s="17" t="str">
        <f>IFERROR(__xludf.DUMMYFUNCTION("""COMPUTED_VALUE"""),"City_Bengaluru")</f>
        <v>City_Bengaluru</v>
      </c>
      <c r="D41" s="17" t="str">
        <f>IFERROR(__xludf.DUMMYFUNCTION("""COMPUTED_VALUE"""),"PRD-NutriKid")</f>
        <v>PRD-NutriKid</v>
      </c>
      <c r="E41" s="17" t="str">
        <f>IFERROR(__xludf.DUMMYFUNCTION("""COMPUTED_VALUE"""),"OPQ  15623")</f>
        <v>OPQ  15623</v>
      </c>
      <c r="F41" s="17" t="str">
        <f>IFERROR(__xludf.DUMMYFUNCTION("""COMPUTED_VALUE"""),"NPQ[IPLMARKETTING]18748")</f>
        <v>NPQ[IPLMARKETTING]18748</v>
      </c>
      <c r="G41" s="18">
        <f t="shared" si="1"/>
        <v>2</v>
      </c>
      <c r="H41" s="17" t="str">
        <f t="shared" si="2"/>
        <v>February</v>
      </c>
      <c r="I41" s="17" t="str">
        <f t="shared" si="3"/>
        <v>Bengaluru</v>
      </c>
      <c r="J41" s="17" t="str">
        <f t="shared" si="4"/>
        <v>NutriKid</v>
      </c>
      <c r="K41" s="18">
        <f t="shared" si="5"/>
        <v>15623</v>
      </c>
      <c r="L41" s="18">
        <f t="shared" si="6"/>
        <v>18748</v>
      </c>
      <c r="M41" s="17">
        <f t="shared" si="7"/>
        <v>60</v>
      </c>
      <c r="N41" s="18">
        <f t="shared" si="8"/>
        <v>937380</v>
      </c>
      <c r="O41" s="17" t="str">
        <f t="shared" si="9"/>
        <v>South</v>
      </c>
      <c r="P41" s="17" t="str">
        <f t="shared" si="10"/>
        <v>Anjali Krishna Murthy</v>
      </c>
      <c r="Q41" s="19">
        <f t="shared" si="11"/>
        <v>0</v>
      </c>
      <c r="R41" s="18">
        <f t="shared" si="12"/>
        <v>937380</v>
      </c>
      <c r="S41" s="18">
        <f t="shared" si="13"/>
        <v>1124880</v>
      </c>
      <c r="T41" s="20">
        <f t="shared" si="14"/>
        <v>24.108</v>
      </c>
      <c r="U41" s="20">
        <f t="shared" si="15"/>
        <v>29.892</v>
      </c>
      <c r="V41" s="21">
        <f t="shared" si="16"/>
        <v>376639.284</v>
      </c>
      <c r="W41" s="18">
        <f t="shared" si="17"/>
        <v>560740.716</v>
      </c>
      <c r="X41" s="17">
        <f t="shared" si="18"/>
        <v>560415.216</v>
      </c>
      <c r="Y41" s="15"/>
    </row>
    <row r="42">
      <c r="A42" s="16" t="s">
        <v>104</v>
      </c>
      <c r="B42" s="17" t="str">
        <f>IFERROR(__xludf.DUMMYFUNCTION("split(A42,""//"")"),"Month2 ")</f>
        <v>Month2 </v>
      </c>
      <c r="C42" s="17" t="str">
        <f>IFERROR(__xludf.DUMMYFUNCTION("""COMPUTED_VALUE"""),"City_Chandigarh")</f>
        <v>City_Chandigarh</v>
      </c>
      <c r="D42" s="17" t="str">
        <f>IFERROR(__xludf.DUMMYFUNCTION("""COMPUTED_VALUE"""),"PRD-ZestVita")</f>
        <v>PRD-ZestVita</v>
      </c>
      <c r="E42" s="17" t="str">
        <f>IFERROR(__xludf.DUMMYFUNCTION("""COMPUTED_VALUE"""),"OPQ  25573")</f>
        <v>OPQ  25573</v>
      </c>
      <c r="F42" s="17" t="str">
        <f>IFERROR(__xludf.DUMMYFUNCTION("""COMPUTED_VALUE"""),"NPQ[IPLMARKETTING]29409")</f>
        <v>NPQ[IPLMARKETTING]29409</v>
      </c>
      <c r="G42" s="18">
        <f t="shared" si="1"/>
        <v>2</v>
      </c>
      <c r="H42" s="17" t="str">
        <f t="shared" si="2"/>
        <v>February</v>
      </c>
      <c r="I42" s="17" t="str">
        <f t="shared" si="3"/>
        <v>Chandigarh</v>
      </c>
      <c r="J42" s="17" t="str">
        <f t="shared" si="4"/>
        <v>ZestVita</v>
      </c>
      <c r="K42" s="18">
        <f t="shared" si="5"/>
        <v>25573</v>
      </c>
      <c r="L42" s="18">
        <f t="shared" si="6"/>
        <v>29409</v>
      </c>
      <c r="M42" s="17">
        <f t="shared" si="7"/>
        <v>135</v>
      </c>
      <c r="N42" s="18">
        <f t="shared" si="8"/>
        <v>3452355</v>
      </c>
      <c r="O42" s="17" t="str">
        <f t="shared" si="9"/>
        <v>North</v>
      </c>
      <c r="P42" s="17" t="str">
        <f t="shared" si="10"/>
        <v>Ajay Kumar</v>
      </c>
      <c r="Q42" s="19">
        <f t="shared" si="11"/>
        <v>0</v>
      </c>
      <c r="R42" s="18">
        <f t="shared" si="12"/>
        <v>3452355</v>
      </c>
      <c r="S42" s="18">
        <f t="shared" si="13"/>
        <v>3970215</v>
      </c>
      <c r="T42" s="20">
        <f t="shared" si="14"/>
        <v>55.84</v>
      </c>
      <c r="U42" s="20">
        <f t="shared" si="15"/>
        <v>73.16</v>
      </c>
      <c r="V42" s="21">
        <f t="shared" si="16"/>
        <v>1427996.32</v>
      </c>
      <c r="W42" s="18">
        <f t="shared" si="17"/>
        <v>2024358.68</v>
      </c>
      <c r="X42" s="17">
        <f t="shared" si="18"/>
        <v>2151562.44</v>
      </c>
      <c r="Y42" s="15"/>
    </row>
    <row r="43">
      <c r="A43" s="16" t="s">
        <v>105</v>
      </c>
      <c r="B43" s="17" t="str">
        <f>IFERROR(__xludf.DUMMYFUNCTION("split(A43,""//"")"),"Month2 ")</f>
        <v>Month2 </v>
      </c>
      <c r="C43" s="17" t="str">
        <f>IFERROR(__xludf.DUMMYFUNCTION("""COMPUTED_VALUE"""),"City_Chandigarh")</f>
        <v>City_Chandigarh</v>
      </c>
      <c r="D43" s="17" t="str">
        <f>IFERROR(__xludf.DUMMYFUNCTION("""COMPUTED_VALUE"""),"PRD-NutriKid")</f>
        <v>PRD-NutriKid</v>
      </c>
      <c r="E43" s="17" t="str">
        <f>IFERROR(__xludf.DUMMYFUNCTION("""COMPUTED_VALUE"""),"OPQ  27637")</f>
        <v>OPQ  27637</v>
      </c>
      <c r="F43" s="17" t="str">
        <f>IFERROR(__xludf.DUMMYFUNCTION("""COMPUTED_VALUE"""),"NPQ[IPLMARKETTING]32059")</f>
        <v>NPQ[IPLMARKETTING]32059</v>
      </c>
      <c r="G43" s="18">
        <f t="shared" si="1"/>
        <v>2</v>
      </c>
      <c r="H43" s="17" t="str">
        <f t="shared" si="2"/>
        <v>February</v>
      </c>
      <c r="I43" s="17" t="str">
        <f t="shared" si="3"/>
        <v>Chandigarh</v>
      </c>
      <c r="J43" s="17" t="str">
        <f t="shared" si="4"/>
        <v>NutriKid</v>
      </c>
      <c r="K43" s="18">
        <f t="shared" si="5"/>
        <v>27637</v>
      </c>
      <c r="L43" s="18">
        <f t="shared" si="6"/>
        <v>32059</v>
      </c>
      <c r="M43" s="17">
        <f t="shared" si="7"/>
        <v>60</v>
      </c>
      <c r="N43" s="18">
        <f t="shared" si="8"/>
        <v>1658220</v>
      </c>
      <c r="O43" s="17" t="str">
        <f t="shared" si="9"/>
        <v>North</v>
      </c>
      <c r="P43" s="17" t="str">
        <f t="shared" si="10"/>
        <v>Ajay Kumar</v>
      </c>
      <c r="Q43" s="19">
        <f t="shared" si="11"/>
        <v>0</v>
      </c>
      <c r="R43" s="18">
        <f t="shared" si="12"/>
        <v>1658220</v>
      </c>
      <c r="S43" s="18">
        <f t="shared" si="13"/>
        <v>1923540</v>
      </c>
      <c r="T43" s="20">
        <f t="shared" si="14"/>
        <v>24.108</v>
      </c>
      <c r="U43" s="20">
        <f t="shared" si="15"/>
        <v>29.892</v>
      </c>
      <c r="V43" s="21">
        <f t="shared" si="16"/>
        <v>666272.796</v>
      </c>
      <c r="W43" s="18">
        <f t="shared" si="17"/>
        <v>991947.204</v>
      </c>
      <c r="X43" s="17">
        <f t="shared" si="18"/>
        <v>958307.628</v>
      </c>
      <c r="Y43" s="15"/>
    </row>
    <row r="44">
      <c r="A44" s="16" t="s">
        <v>106</v>
      </c>
      <c r="B44" s="17" t="str">
        <f>IFERROR(__xludf.DUMMYFUNCTION("split(A44,""//"")"),"Month2 ")</f>
        <v>Month2 </v>
      </c>
      <c r="C44" s="17" t="str">
        <f>IFERROR(__xludf.DUMMYFUNCTION("""COMPUTED_VALUE"""),"City_Bhubaneswar")</f>
        <v>City_Bhubaneswar</v>
      </c>
      <c r="D44" s="17" t="str">
        <f>IFERROR(__xludf.DUMMYFUNCTION("""COMPUTED_VALUE"""),"PRD-ZestVita")</f>
        <v>PRD-ZestVita</v>
      </c>
      <c r="E44" s="17" t="str">
        <f>IFERROR(__xludf.DUMMYFUNCTION("""COMPUTED_VALUE"""),"OPQ  13878")</f>
        <v>OPQ  13878</v>
      </c>
      <c r="F44" s="17" t="str">
        <f>IFERROR(__xludf.DUMMYFUNCTION("""COMPUTED_VALUE"""),"NPQ[IPLMARKETTING]14433")</f>
        <v>NPQ[IPLMARKETTING]14433</v>
      </c>
      <c r="G44" s="18">
        <f t="shared" si="1"/>
        <v>2</v>
      </c>
      <c r="H44" s="17" t="str">
        <f t="shared" si="2"/>
        <v>February</v>
      </c>
      <c r="I44" s="17" t="str">
        <f t="shared" si="3"/>
        <v>Bhubaneswar</v>
      </c>
      <c r="J44" s="17" t="str">
        <f t="shared" si="4"/>
        <v>ZestVita</v>
      </c>
      <c r="K44" s="18">
        <f t="shared" si="5"/>
        <v>13878</v>
      </c>
      <c r="L44" s="18">
        <f t="shared" si="6"/>
        <v>14433</v>
      </c>
      <c r="M44" s="17">
        <f t="shared" si="7"/>
        <v>135</v>
      </c>
      <c r="N44" s="18">
        <f t="shared" si="8"/>
        <v>1873530</v>
      </c>
      <c r="O44" s="17" t="str">
        <f t="shared" si="9"/>
        <v>East</v>
      </c>
      <c r="P44" s="17" t="str">
        <f t="shared" si="10"/>
        <v>Tanvi Sharma</v>
      </c>
      <c r="Q44" s="19">
        <f t="shared" si="11"/>
        <v>0.125</v>
      </c>
      <c r="R44" s="17">
        <f t="shared" si="12"/>
        <v>1639338.75</v>
      </c>
      <c r="S44" s="18">
        <f t="shared" si="13"/>
        <v>1948455</v>
      </c>
      <c r="T44" s="20">
        <f t="shared" si="14"/>
        <v>55.84</v>
      </c>
      <c r="U44" s="20">
        <f t="shared" si="15"/>
        <v>73.16</v>
      </c>
      <c r="V44" s="21">
        <f t="shared" si="16"/>
        <v>774947.52</v>
      </c>
      <c r="W44" s="21">
        <f t="shared" si="17"/>
        <v>864391.23</v>
      </c>
      <c r="X44" s="17">
        <f t="shared" si="18"/>
        <v>1055918.28</v>
      </c>
      <c r="Y44" s="15"/>
    </row>
    <row r="45">
      <c r="A45" s="16" t="s">
        <v>107</v>
      </c>
      <c r="B45" s="17" t="str">
        <f>IFERROR(__xludf.DUMMYFUNCTION("split(A45,""//"")"),"Month2 ")</f>
        <v>Month2 </v>
      </c>
      <c r="C45" s="17" t="str">
        <f>IFERROR(__xludf.DUMMYFUNCTION("""COMPUTED_VALUE"""),"City_Bhubaneswar")</f>
        <v>City_Bhubaneswar</v>
      </c>
      <c r="D45" s="17" t="str">
        <f>IFERROR(__xludf.DUMMYFUNCTION("""COMPUTED_VALUE"""),"PRD-NutriKid")</f>
        <v>PRD-NutriKid</v>
      </c>
      <c r="E45" s="17" t="str">
        <f>IFERROR(__xludf.DUMMYFUNCTION("""COMPUTED_VALUE"""),"OPQ  18202")</f>
        <v>OPQ  18202</v>
      </c>
      <c r="F45" s="17" t="str">
        <f>IFERROR(__xludf.DUMMYFUNCTION("""COMPUTED_VALUE"""),"NPQ[IPLMARKETTING]19476")</f>
        <v>NPQ[IPLMARKETTING]19476</v>
      </c>
      <c r="G45" s="18">
        <f t="shared" si="1"/>
        <v>2</v>
      </c>
      <c r="H45" s="17" t="str">
        <f t="shared" si="2"/>
        <v>February</v>
      </c>
      <c r="I45" s="17" t="str">
        <f t="shared" si="3"/>
        <v>Bhubaneswar</v>
      </c>
      <c r="J45" s="17" t="str">
        <f t="shared" si="4"/>
        <v>NutriKid</v>
      </c>
      <c r="K45" s="18">
        <f t="shared" si="5"/>
        <v>18202</v>
      </c>
      <c r="L45" s="18">
        <f t="shared" si="6"/>
        <v>19476</v>
      </c>
      <c r="M45" s="17">
        <f t="shared" si="7"/>
        <v>60</v>
      </c>
      <c r="N45" s="18">
        <f t="shared" si="8"/>
        <v>1092120</v>
      </c>
      <c r="O45" s="17" t="str">
        <f t="shared" si="9"/>
        <v>East</v>
      </c>
      <c r="P45" s="17" t="str">
        <f t="shared" si="10"/>
        <v>Tanvi Sharma</v>
      </c>
      <c r="Q45" s="19">
        <f t="shared" si="11"/>
        <v>0.125</v>
      </c>
      <c r="R45" s="17">
        <f t="shared" si="12"/>
        <v>955605</v>
      </c>
      <c r="S45" s="18">
        <f t="shared" si="13"/>
        <v>1168560</v>
      </c>
      <c r="T45" s="20">
        <f t="shared" si="14"/>
        <v>24.108</v>
      </c>
      <c r="U45" s="20">
        <f t="shared" si="15"/>
        <v>29.892</v>
      </c>
      <c r="V45" s="21">
        <f t="shared" si="16"/>
        <v>438813.816</v>
      </c>
      <c r="W45" s="21">
        <f t="shared" si="17"/>
        <v>516791.184</v>
      </c>
      <c r="X45" s="17">
        <f t="shared" si="18"/>
        <v>582176.592</v>
      </c>
      <c r="Y45" s="15"/>
    </row>
    <row r="46">
      <c r="A46" s="16" t="s">
        <v>108</v>
      </c>
      <c r="B46" s="17" t="str">
        <f>IFERROR(__xludf.DUMMYFUNCTION("split(A46,""//"")"),"Month2 ")</f>
        <v>Month2 </v>
      </c>
      <c r="C46" s="17" t="str">
        <f>IFERROR(__xludf.DUMMYFUNCTION("""COMPUTED_VALUE"""),"City_Ahmedabad ")</f>
        <v>City_Ahmedabad </v>
      </c>
      <c r="D46" s="17" t="str">
        <f>IFERROR(__xludf.DUMMYFUNCTION("""COMPUTED_VALUE"""),"PRD-ZestVita")</f>
        <v>PRD-ZestVita</v>
      </c>
      <c r="E46" s="17" t="str">
        <f>IFERROR(__xludf.DUMMYFUNCTION("""COMPUTED_VALUE"""),"OPQ  22662")</f>
        <v>OPQ  22662</v>
      </c>
      <c r="F46" s="17" t="str">
        <f>IFERROR(__xludf.DUMMYFUNCTION("""COMPUTED_VALUE"""),"NPQ[IPLMARKETTING]28101")</f>
        <v>NPQ[IPLMARKETTING]28101</v>
      </c>
      <c r="G46" s="18">
        <f t="shared" si="1"/>
        <v>2</v>
      </c>
      <c r="H46" s="17" t="str">
        <f t="shared" si="2"/>
        <v>February</v>
      </c>
      <c r="I46" s="17" t="str">
        <f t="shared" si="3"/>
        <v>Ahmedabad </v>
      </c>
      <c r="J46" s="17" t="str">
        <f t="shared" si="4"/>
        <v>ZestVita</v>
      </c>
      <c r="K46" s="18">
        <f t="shared" si="5"/>
        <v>22662</v>
      </c>
      <c r="L46" s="18">
        <f t="shared" si="6"/>
        <v>28101</v>
      </c>
      <c r="M46" s="17">
        <f t="shared" si="7"/>
        <v>135</v>
      </c>
      <c r="N46" s="18">
        <f t="shared" si="8"/>
        <v>3059370</v>
      </c>
      <c r="O46" s="17" t="str">
        <f t="shared" si="9"/>
        <v>West</v>
      </c>
      <c r="P46" s="17" t="str">
        <f t="shared" si="10"/>
        <v>Ajay Ghosh</v>
      </c>
      <c r="Q46" s="19">
        <f t="shared" si="11"/>
        <v>0</v>
      </c>
      <c r="R46" s="18">
        <f t="shared" si="12"/>
        <v>3059370</v>
      </c>
      <c r="S46" s="18">
        <f t="shared" si="13"/>
        <v>3793635</v>
      </c>
      <c r="T46" s="20">
        <f t="shared" si="14"/>
        <v>55.84</v>
      </c>
      <c r="U46" s="20">
        <f t="shared" si="15"/>
        <v>73.16</v>
      </c>
      <c r="V46" s="21">
        <f t="shared" si="16"/>
        <v>1265446.08</v>
      </c>
      <c r="W46" s="18">
        <f t="shared" si="17"/>
        <v>1793923.92</v>
      </c>
      <c r="X46" s="17">
        <f t="shared" si="18"/>
        <v>2055869.16</v>
      </c>
      <c r="Y46" s="15"/>
    </row>
    <row r="47">
      <c r="A47" s="16" t="s">
        <v>109</v>
      </c>
      <c r="B47" s="17" t="str">
        <f>IFERROR(__xludf.DUMMYFUNCTION("split(A47,""//"")"),"Month2 ")</f>
        <v>Month2 </v>
      </c>
      <c r="C47" s="17" t="str">
        <f>IFERROR(__xludf.DUMMYFUNCTION("""COMPUTED_VALUE"""),"City_Ahmedabad ")</f>
        <v>City_Ahmedabad </v>
      </c>
      <c r="D47" s="17" t="str">
        <f>IFERROR(__xludf.DUMMYFUNCTION("""COMPUTED_VALUE"""),"PRD-NutriKid")</f>
        <v>PRD-NutriKid</v>
      </c>
      <c r="E47" s="17" t="str">
        <f>IFERROR(__xludf.DUMMYFUNCTION("""COMPUTED_VALUE"""),"OPQ  13063")</f>
        <v>OPQ  13063</v>
      </c>
      <c r="F47" s="17" t="str">
        <f>IFERROR(__xludf.DUMMYFUNCTION("""COMPUTED_VALUE"""),"NPQ[IPLMARKETTING]16329")</f>
        <v>NPQ[IPLMARKETTING]16329</v>
      </c>
      <c r="G47" s="18">
        <f t="shared" si="1"/>
        <v>2</v>
      </c>
      <c r="H47" s="17" t="str">
        <f t="shared" si="2"/>
        <v>February</v>
      </c>
      <c r="I47" s="17" t="str">
        <f t="shared" si="3"/>
        <v>Ahmedabad </v>
      </c>
      <c r="J47" s="17" t="str">
        <f t="shared" si="4"/>
        <v>NutriKid</v>
      </c>
      <c r="K47" s="18">
        <f t="shared" si="5"/>
        <v>13063</v>
      </c>
      <c r="L47" s="18">
        <f t="shared" si="6"/>
        <v>16329</v>
      </c>
      <c r="M47" s="17">
        <f t="shared" si="7"/>
        <v>60</v>
      </c>
      <c r="N47" s="18">
        <f t="shared" si="8"/>
        <v>783780</v>
      </c>
      <c r="O47" s="17" t="str">
        <f t="shared" si="9"/>
        <v>West</v>
      </c>
      <c r="P47" s="17" t="str">
        <f t="shared" si="10"/>
        <v>Ajay Ghosh</v>
      </c>
      <c r="Q47" s="19">
        <f t="shared" si="11"/>
        <v>0</v>
      </c>
      <c r="R47" s="18">
        <f t="shared" si="12"/>
        <v>783780</v>
      </c>
      <c r="S47" s="18">
        <f t="shared" si="13"/>
        <v>979740</v>
      </c>
      <c r="T47" s="20">
        <f t="shared" si="14"/>
        <v>24.108</v>
      </c>
      <c r="U47" s="20">
        <f t="shared" si="15"/>
        <v>29.892</v>
      </c>
      <c r="V47" s="21">
        <f t="shared" si="16"/>
        <v>314922.804</v>
      </c>
      <c r="W47" s="18">
        <f t="shared" si="17"/>
        <v>468857.196</v>
      </c>
      <c r="X47" s="17">
        <f t="shared" si="18"/>
        <v>488106.468</v>
      </c>
      <c r="Y47" s="15"/>
    </row>
    <row r="48">
      <c r="A48" s="16" t="s">
        <v>110</v>
      </c>
      <c r="B48" s="17" t="str">
        <f>IFERROR(__xludf.DUMMYFUNCTION("split(A48,""//"")"),"Month2 ")</f>
        <v>Month2 </v>
      </c>
      <c r="C48" s="17" t="str">
        <f>IFERROR(__xludf.DUMMYFUNCTION("""COMPUTED_VALUE"""),"City_Chennai")</f>
        <v>City_Chennai</v>
      </c>
      <c r="D48" s="17" t="str">
        <f>IFERROR(__xludf.DUMMYFUNCTION("""COMPUTED_VALUE"""),"PRD-ZestVita")</f>
        <v>PRD-ZestVita</v>
      </c>
      <c r="E48" s="17" t="str">
        <f>IFERROR(__xludf.DUMMYFUNCTION("""COMPUTED_VALUE"""),"OPQ  14233")</f>
        <v>OPQ  14233</v>
      </c>
      <c r="F48" s="17" t="str">
        <f>IFERROR(__xludf.DUMMYFUNCTION("""COMPUTED_VALUE"""),"NPQ[IPLMARKETTING]17364")</f>
        <v>NPQ[IPLMARKETTING]17364</v>
      </c>
      <c r="G48" s="18">
        <f t="shared" si="1"/>
        <v>2</v>
      </c>
      <c r="H48" s="17" t="str">
        <f t="shared" si="2"/>
        <v>February</v>
      </c>
      <c r="I48" s="17" t="str">
        <f t="shared" si="3"/>
        <v>Chennai</v>
      </c>
      <c r="J48" s="17" t="str">
        <f t="shared" si="4"/>
        <v>ZestVita</v>
      </c>
      <c r="K48" s="18">
        <f t="shared" si="5"/>
        <v>14233</v>
      </c>
      <c r="L48" s="18">
        <f t="shared" si="6"/>
        <v>17364</v>
      </c>
      <c r="M48" s="17">
        <f t="shared" si="7"/>
        <v>135</v>
      </c>
      <c r="N48" s="18">
        <f t="shared" si="8"/>
        <v>1921455</v>
      </c>
      <c r="O48" s="17" t="str">
        <f t="shared" si="9"/>
        <v>South</v>
      </c>
      <c r="P48" s="17" t="str">
        <f t="shared" si="10"/>
        <v>Anjali Krishna Murthy</v>
      </c>
      <c r="Q48" s="19">
        <f t="shared" si="11"/>
        <v>0</v>
      </c>
      <c r="R48" s="18">
        <f t="shared" si="12"/>
        <v>1921455</v>
      </c>
      <c r="S48" s="18">
        <f t="shared" si="13"/>
        <v>2344140</v>
      </c>
      <c r="T48" s="20">
        <f t="shared" si="14"/>
        <v>55.84</v>
      </c>
      <c r="U48" s="20">
        <f t="shared" si="15"/>
        <v>73.16</v>
      </c>
      <c r="V48" s="21">
        <f t="shared" si="16"/>
        <v>794770.72</v>
      </c>
      <c r="W48" s="18">
        <f t="shared" si="17"/>
        <v>1126684.28</v>
      </c>
      <c r="X48" s="17">
        <f t="shared" si="18"/>
        <v>1270350.24</v>
      </c>
      <c r="Y48" s="15"/>
    </row>
    <row r="49">
      <c r="A49" s="16" t="s">
        <v>111</v>
      </c>
      <c r="B49" s="17" t="str">
        <f>IFERROR(__xludf.DUMMYFUNCTION("split(A49,""//"")"),"Month2 ")</f>
        <v>Month2 </v>
      </c>
      <c r="C49" s="17" t="str">
        <f>IFERROR(__xludf.DUMMYFUNCTION("""COMPUTED_VALUE"""),"City_Chennai")</f>
        <v>City_Chennai</v>
      </c>
      <c r="D49" s="17" t="str">
        <f>IFERROR(__xludf.DUMMYFUNCTION("""COMPUTED_VALUE"""),"PRD-NutriKid")</f>
        <v>PRD-NutriKid</v>
      </c>
      <c r="E49" s="17" t="str">
        <f>IFERROR(__xludf.DUMMYFUNCTION("""COMPUTED_VALUE"""),"OPQ  15616")</f>
        <v>OPQ  15616</v>
      </c>
      <c r="F49" s="17" t="str">
        <f>IFERROR(__xludf.DUMMYFUNCTION("""COMPUTED_VALUE"""),"NPQ[IPLMARKETTING]18115")</f>
        <v>NPQ[IPLMARKETTING]18115</v>
      </c>
      <c r="G49" s="18">
        <f t="shared" si="1"/>
        <v>2</v>
      </c>
      <c r="H49" s="17" t="str">
        <f t="shared" si="2"/>
        <v>February</v>
      </c>
      <c r="I49" s="17" t="str">
        <f t="shared" si="3"/>
        <v>Chennai</v>
      </c>
      <c r="J49" s="17" t="str">
        <f t="shared" si="4"/>
        <v>NutriKid</v>
      </c>
      <c r="K49" s="18">
        <f t="shared" si="5"/>
        <v>15616</v>
      </c>
      <c r="L49" s="18">
        <f t="shared" si="6"/>
        <v>18115</v>
      </c>
      <c r="M49" s="17">
        <f t="shared" si="7"/>
        <v>60</v>
      </c>
      <c r="N49" s="18">
        <f t="shared" si="8"/>
        <v>936960</v>
      </c>
      <c r="O49" s="17" t="str">
        <f t="shared" si="9"/>
        <v>South</v>
      </c>
      <c r="P49" s="17" t="str">
        <f t="shared" si="10"/>
        <v>Anjali Krishna Murthy</v>
      </c>
      <c r="Q49" s="19">
        <f t="shared" si="11"/>
        <v>0</v>
      </c>
      <c r="R49" s="18">
        <f t="shared" si="12"/>
        <v>936960</v>
      </c>
      <c r="S49" s="18">
        <f t="shared" si="13"/>
        <v>1086900</v>
      </c>
      <c r="T49" s="20">
        <f t="shared" si="14"/>
        <v>24.108</v>
      </c>
      <c r="U49" s="20">
        <f t="shared" si="15"/>
        <v>29.892</v>
      </c>
      <c r="V49" s="21">
        <f t="shared" si="16"/>
        <v>376470.528</v>
      </c>
      <c r="W49" s="18">
        <f t="shared" si="17"/>
        <v>560489.472</v>
      </c>
      <c r="X49" s="17">
        <f t="shared" si="18"/>
        <v>541493.58</v>
      </c>
      <c r="Y49" s="15"/>
    </row>
    <row r="50">
      <c r="A50" s="16" t="s">
        <v>112</v>
      </c>
      <c r="B50" s="17" t="str">
        <f>IFERROR(__xludf.DUMMYFUNCTION("split(A50,""//"")"),"Month2 ")</f>
        <v>Month2 </v>
      </c>
      <c r="C50" s="17" t="str">
        <f>IFERROR(__xludf.DUMMYFUNCTION("""COMPUTED_VALUE"""),"City_Lucknow")</f>
        <v>City_Lucknow</v>
      </c>
      <c r="D50" s="17" t="str">
        <f>IFERROR(__xludf.DUMMYFUNCTION("""COMPUTED_VALUE"""),"PRD-ZestVita")</f>
        <v>PRD-ZestVita</v>
      </c>
      <c r="E50" s="17" t="str">
        <f>IFERROR(__xludf.DUMMYFUNCTION("""COMPUTED_VALUE"""),"OPQ  23233")</f>
        <v>OPQ  23233</v>
      </c>
      <c r="F50" s="17" t="str">
        <f>IFERROR(__xludf.DUMMYFUNCTION("""COMPUTED_VALUE"""),"NPQ[IPLMARKETTING]26718")</f>
        <v>NPQ[IPLMARKETTING]26718</v>
      </c>
      <c r="G50" s="18">
        <f t="shared" si="1"/>
        <v>2</v>
      </c>
      <c r="H50" s="17" t="str">
        <f t="shared" si="2"/>
        <v>February</v>
      </c>
      <c r="I50" s="17" t="str">
        <f t="shared" si="3"/>
        <v>Lucknow</v>
      </c>
      <c r="J50" s="17" t="str">
        <f t="shared" si="4"/>
        <v>ZestVita</v>
      </c>
      <c r="K50" s="18">
        <f t="shared" si="5"/>
        <v>23233</v>
      </c>
      <c r="L50" s="18">
        <f t="shared" si="6"/>
        <v>26718</v>
      </c>
      <c r="M50" s="17">
        <f t="shared" si="7"/>
        <v>135</v>
      </c>
      <c r="N50" s="18">
        <f t="shared" si="8"/>
        <v>3136455</v>
      </c>
      <c r="O50" s="17" t="str">
        <f t="shared" si="9"/>
        <v>North</v>
      </c>
      <c r="P50" s="17" t="str">
        <f t="shared" si="10"/>
        <v>Ajay Kumar</v>
      </c>
      <c r="Q50" s="19">
        <f t="shared" si="11"/>
        <v>0.1</v>
      </c>
      <c r="R50" s="17">
        <f t="shared" si="12"/>
        <v>2822809.5</v>
      </c>
      <c r="S50" s="18">
        <f t="shared" si="13"/>
        <v>3606930</v>
      </c>
      <c r="T50" s="20">
        <f t="shared" si="14"/>
        <v>55.84</v>
      </c>
      <c r="U50" s="20">
        <f t="shared" si="15"/>
        <v>73.16</v>
      </c>
      <c r="V50" s="21">
        <f t="shared" si="16"/>
        <v>1297330.72</v>
      </c>
      <c r="W50" s="21">
        <f t="shared" si="17"/>
        <v>1525478.78</v>
      </c>
      <c r="X50" s="17">
        <f t="shared" si="18"/>
        <v>1954688.88</v>
      </c>
      <c r="Y50" s="15"/>
    </row>
    <row r="51">
      <c r="A51" s="16" t="s">
        <v>113</v>
      </c>
      <c r="B51" s="17" t="str">
        <f>IFERROR(__xludf.DUMMYFUNCTION("split(A51,""//"")"),"Month2 ")</f>
        <v>Month2 </v>
      </c>
      <c r="C51" s="17" t="str">
        <f>IFERROR(__xludf.DUMMYFUNCTION("""COMPUTED_VALUE"""),"City_Lucknow")</f>
        <v>City_Lucknow</v>
      </c>
      <c r="D51" s="17" t="str">
        <f>IFERROR(__xludf.DUMMYFUNCTION("""COMPUTED_VALUE"""),"PRD-NutriKid")</f>
        <v>PRD-NutriKid</v>
      </c>
      <c r="E51" s="17" t="str">
        <f>IFERROR(__xludf.DUMMYFUNCTION("""COMPUTED_VALUE"""),"OPQ  20324")</f>
        <v>OPQ  20324</v>
      </c>
      <c r="F51" s="17" t="str">
        <f>IFERROR(__xludf.DUMMYFUNCTION("""COMPUTED_VALUE"""),"NPQ[IPLMARKETTING]22763")</f>
        <v>NPQ[IPLMARKETTING]22763</v>
      </c>
      <c r="G51" s="18">
        <f t="shared" si="1"/>
        <v>2</v>
      </c>
      <c r="H51" s="17" t="str">
        <f t="shared" si="2"/>
        <v>February</v>
      </c>
      <c r="I51" s="17" t="str">
        <f t="shared" si="3"/>
        <v>Lucknow</v>
      </c>
      <c r="J51" s="17" t="str">
        <f t="shared" si="4"/>
        <v>NutriKid</v>
      </c>
      <c r="K51" s="18">
        <f t="shared" si="5"/>
        <v>20324</v>
      </c>
      <c r="L51" s="18">
        <f t="shared" si="6"/>
        <v>22763</v>
      </c>
      <c r="M51" s="17">
        <f t="shared" si="7"/>
        <v>60</v>
      </c>
      <c r="N51" s="18">
        <f t="shared" si="8"/>
        <v>1219440</v>
      </c>
      <c r="O51" s="17" t="str">
        <f t="shared" si="9"/>
        <v>North</v>
      </c>
      <c r="P51" s="17" t="str">
        <f t="shared" si="10"/>
        <v>Ajay Kumar</v>
      </c>
      <c r="Q51" s="19">
        <f t="shared" si="11"/>
        <v>0.1</v>
      </c>
      <c r="R51" s="17">
        <f t="shared" si="12"/>
        <v>1097496</v>
      </c>
      <c r="S51" s="18">
        <f t="shared" si="13"/>
        <v>1365780</v>
      </c>
      <c r="T51" s="20">
        <f t="shared" si="14"/>
        <v>24.108</v>
      </c>
      <c r="U51" s="20">
        <f t="shared" si="15"/>
        <v>29.892</v>
      </c>
      <c r="V51" s="21">
        <f t="shared" si="16"/>
        <v>489970.992</v>
      </c>
      <c r="W51" s="21">
        <f t="shared" si="17"/>
        <v>607525.008</v>
      </c>
      <c r="X51" s="17">
        <f t="shared" si="18"/>
        <v>680431.596</v>
      </c>
      <c r="Y51" s="15"/>
    </row>
    <row r="52">
      <c r="A52" s="16" t="s">
        <v>114</v>
      </c>
      <c r="B52" s="17" t="str">
        <f>IFERROR(__xludf.DUMMYFUNCTION("split(A52,""//"")"),"Month2 ")</f>
        <v>Month2 </v>
      </c>
      <c r="C52" s="17" t="str">
        <f>IFERROR(__xludf.DUMMYFUNCTION("""COMPUTED_VALUE"""),"City_Ranchi")</f>
        <v>City_Ranchi</v>
      </c>
      <c r="D52" s="17" t="str">
        <f>IFERROR(__xludf.DUMMYFUNCTION("""COMPUTED_VALUE"""),"PRD-ZestVita")</f>
        <v>PRD-ZestVita</v>
      </c>
      <c r="E52" s="17" t="str">
        <f>IFERROR(__xludf.DUMMYFUNCTION("""COMPUTED_VALUE"""),"OPQ  26263")</f>
        <v>OPQ  26263</v>
      </c>
      <c r="F52" s="17" t="str">
        <f>IFERROR(__xludf.DUMMYFUNCTION("""COMPUTED_VALUE"""),"NPQ[IPLMARKETTING]27839")</f>
        <v>NPQ[IPLMARKETTING]27839</v>
      </c>
      <c r="G52" s="18">
        <f t="shared" si="1"/>
        <v>2</v>
      </c>
      <c r="H52" s="17" t="str">
        <f t="shared" si="2"/>
        <v>February</v>
      </c>
      <c r="I52" s="17" t="str">
        <f t="shared" si="3"/>
        <v>Ranchi</v>
      </c>
      <c r="J52" s="17" t="str">
        <f t="shared" si="4"/>
        <v>ZestVita</v>
      </c>
      <c r="K52" s="18">
        <f t="shared" si="5"/>
        <v>26263</v>
      </c>
      <c r="L52" s="18">
        <f t="shared" si="6"/>
        <v>27839</v>
      </c>
      <c r="M52" s="17">
        <f t="shared" si="7"/>
        <v>135</v>
      </c>
      <c r="N52" s="18">
        <f t="shared" si="8"/>
        <v>3545505</v>
      </c>
      <c r="O52" s="17" t="str">
        <f t="shared" si="9"/>
        <v>East</v>
      </c>
      <c r="P52" s="17" t="str">
        <f t="shared" si="10"/>
        <v>Tanvi Sharma</v>
      </c>
      <c r="Q52" s="19">
        <f t="shared" si="11"/>
        <v>0.05</v>
      </c>
      <c r="R52" s="17">
        <f t="shared" si="12"/>
        <v>3368229.75</v>
      </c>
      <c r="S52" s="18">
        <f t="shared" si="13"/>
        <v>3758265</v>
      </c>
      <c r="T52" s="20">
        <f t="shared" si="14"/>
        <v>55.84</v>
      </c>
      <c r="U52" s="20">
        <f t="shared" si="15"/>
        <v>73.16</v>
      </c>
      <c r="V52" s="21">
        <f t="shared" si="16"/>
        <v>1466525.92</v>
      </c>
      <c r="W52" s="21">
        <f t="shared" si="17"/>
        <v>1901703.83</v>
      </c>
      <c r="X52" s="17">
        <f t="shared" si="18"/>
        <v>2036701.24</v>
      </c>
      <c r="Y52" s="15"/>
    </row>
    <row r="53">
      <c r="A53" s="16" t="s">
        <v>115</v>
      </c>
      <c r="B53" s="17" t="str">
        <f>IFERROR(__xludf.DUMMYFUNCTION("split(A53,""//"")"),"Month2 ")</f>
        <v>Month2 </v>
      </c>
      <c r="C53" s="17" t="str">
        <f>IFERROR(__xludf.DUMMYFUNCTION("""COMPUTED_VALUE"""),"City_Ranchi")</f>
        <v>City_Ranchi</v>
      </c>
      <c r="D53" s="17" t="str">
        <f>IFERROR(__xludf.DUMMYFUNCTION("""COMPUTED_VALUE"""),"PRD-NutriKid")</f>
        <v>PRD-NutriKid</v>
      </c>
      <c r="E53" s="17" t="str">
        <f>IFERROR(__xludf.DUMMYFUNCTION("""COMPUTED_VALUE"""),"OPQ  16526")</f>
        <v>OPQ  16526</v>
      </c>
      <c r="F53" s="17" t="str">
        <f>IFERROR(__xludf.DUMMYFUNCTION("""COMPUTED_VALUE"""),"NPQ[IPLMARKETTING]17022")</f>
        <v>NPQ[IPLMARKETTING]17022</v>
      </c>
      <c r="G53" s="18">
        <f t="shared" si="1"/>
        <v>2</v>
      </c>
      <c r="H53" s="17" t="str">
        <f t="shared" si="2"/>
        <v>February</v>
      </c>
      <c r="I53" s="17" t="str">
        <f t="shared" si="3"/>
        <v>Ranchi</v>
      </c>
      <c r="J53" s="17" t="str">
        <f t="shared" si="4"/>
        <v>NutriKid</v>
      </c>
      <c r="K53" s="18">
        <f t="shared" si="5"/>
        <v>16526</v>
      </c>
      <c r="L53" s="18">
        <f t="shared" si="6"/>
        <v>17022</v>
      </c>
      <c r="M53" s="17">
        <f t="shared" si="7"/>
        <v>60</v>
      </c>
      <c r="N53" s="18">
        <f t="shared" si="8"/>
        <v>991560</v>
      </c>
      <c r="O53" s="17" t="str">
        <f t="shared" si="9"/>
        <v>East</v>
      </c>
      <c r="P53" s="17" t="str">
        <f t="shared" si="10"/>
        <v>Tanvi Sharma</v>
      </c>
      <c r="Q53" s="19">
        <f t="shared" si="11"/>
        <v>0.05</v>
      </c>
      <c r="R53" s="17">
        <f t="shared" si="12"/>
        <v>941982</v>
      </c>
      <c r="S53" s="18">
        <f t="shared" si="13"/>
        <v>1021320</v>
      </c>
      <c r="T53" s="20">
        <f t="shared" si="14"/>
        <v>24.108</v>
      </c>
      <c r="U53" s="20">
        <f t="shared" si="15"/>
        <v>29.892</v>
      </c>
      <c r="V53" s="21">
        <f t="shared" si="16"/>
        <v>398408.808</v>
      </c>
      <c r="W53" s="21">
        <f t="shared" si="17"/>
        <v>543573.192</v>
      </c>
      <c r="X53" s="17">
        <f t="shared" si="18"/>
        <v>508821.624</v>
      </c>
      <c r="Y53" s="15"/>
    </row>
    <row r="54">
      <c r="A54" s="16" t="s">
        <v>116</v>
      </c>
      <c r="B54" s="17" t="str">
        <f>IFERROR(__xludf.DUMMYFUNCTION("split(A54,""//"")"),"Month2 ")</f>
        <v>Month2 </v>
      </c>
      <c r="C54" s="17" t="str">
        <f>IFERROR(__xludf.DUMMYFUNCTION("""COMPUTED_VALUE"""),"City_Surat")</f>
        <v>City_Surat</v>
      </c>
      <c r="D54" s="17" t="str">
        <f>IFERROR(__xludf.DUMMYFUNCTION("""COMPUTED_VALUE"""),"PRD-ZestVita")</f>
        <v>PRD-ZestVita</v>
      </c>
      <c r="E54" s="17" t="str">
        <f>IFERROR(__xludf.DUMMYFUNCTION("""COMPUTED_VALUE"""),"OPQ  20866")</f>
        <v>OPQ  20866</v>
      </c>
      <c r="F54" s="17" t="str">
        <f>IFERROR(__xludf.DUMMYFUNCTION("""COMPUTED_VALUE"""),"NPQ[IPLMARKETTING]21283")</f>
        <v>NPQ[IPLMARKETTING]21283</v>
      </c>
      <c r="G54" s="18">
        <f t="shared" si="1"/>
        <v>2</v>
      </c>
      <c r="H54" s="17" t="str">
        <f t="shared" si="2"/>
        <v>February</v>
      </c>
      <c r="I54" s="17" t="str">
        <f t="shared" si="3"/>
        <v>Surat</v>
      </c>
      <c r="J54" s="17" t="str">
        <f t="shared" si="4"/>
        <v>ZestVita</v>
      </c>
      <c r="K54" s="18">
        <f t="shared" si="5"/>
        <v>20866</v>
      </c>
      <c r="L54" s="18">
        <f t="shared" si="6"/>
        <v>21283</v>
      </c>
      <c r="M54" s="17">
        <f t="shared" si="7"/>
        <v>135</v>
      </c>
      <c r="N54" s="18">
        <f t="shared" si="8"/>
        <v>2816910</v>
      </c>
      <c r="O54" s="17" t="str">
        <f t="shared" si="9"/>
        <v>West</v>
      </c>
      <c r="P54" s="17" t="str">
        <f t="shared" si="10"/>
        <v>Ajay Ghosh</v>
      </c>
      <c r="Q54" s="19">
        <f t="shared" si="11"/>
        <v>0.05</v>
      </c>
      <c r="R54" s="17">
        <f t="shared" si="12"/>
        <v>2676064.5</v>
      </c>
      <c r="S54" s="18">
        <f t="shared" si="13"/>
        <v>2873205</v>
      </c>
      <c r="T54" s="20">
        <f t="shared" si="14"/>
        <v>55.84</v>
      </c>
      <c r="U54" s="20">
        <f t="shared" si="15"/>
        <v>73.16</v>
      </c>
      <c r="V54" s="21">
        <f t="shared" si="16"/>
        <v>1165157.44</v>
      </c>
      <c r="W54" s="21">
        <f t="shared" si="17"/>
        <v>1510907.06</v>
      </c>
      <c r="X54" s="17">
        <f t="shared" si="18"/>
        <v>1557064.28</v>
      </c>
      <c r="Y54" s="15"/>
    </row>
    <row r="55">
      <c r="A55" s="16" t="s">
        <v>117</v>
      </c>
      <c r="B55" s="17" t="str">
        <f>IFERROR(__xludf.DUMMYFUNCTION("split(A55,""//"")"),"Month2 ")</f>
        <v>Month2 </v>
      </c>
      <c r="C55" s="17" t="str">
        <f>IFERROR(__xludf.DUMMYFUNCTION("""COMPUTED_VALUE"""),"City_Surat")</f>
        <v>City_Surat</v>
      </c>
      <c r="D55" s="17" t="str">
        <f>IFERROR(__xludf.DUMMYFUNCTION("""COMPUTED_VALUE"""),"PRD-NutriKid")</f>
        <v>PRD-NutriKid</v>
      </c>
      <c r="E55" s="17" t="str">
        <f>IFERROR(__xludf.DUMMYFUNCTION("""COMPUTED_VALUE"""),"OPQ  16493")</f>
        <v>OPQ  16493</v>
      </c>
      <c r="F55" s="17" t="str">
        <f>IFERROR(__xludf.DUMMYFUNCTION("""COMPUTED_VALUE"""),"NPQ[IPLMARKETTING]16988")</f>
        <v>NPQ[IPLMARKETTING]16988</v>
      </c>
      <c r="G55" s="18">
        <f t="shared" si="1"/>
        <v>2</v>
      </c>
      <c r="H55" s="17" t="str">
        <f t="shared" si="2"/>
        <v>February</v>
      </c>
      <c r="I55" s="17" t="str">
        <f t="shared" si="3"/>
        <v>Surat</v>
      </c>
      <c r="J55" s="17" t="str">
        <f t="shared" si="4"/>
        <v>NutriKid</v>
      </c>
      <c r="K55" s="18">
        <f t="shared" si="5"/>
        <v>16493</v>
      </c>
      <c r="L55" s="18">
        <f t="shared" si="6"/>
        <v>16988</v>
      </c>
      <c r="M55" s="17">
        <f t="shared" si="7"/>
        <v>60</v>
      </c>
      <c r="N55" s="18">
        <f t="shared" si="8"/>
        <v>989580</v>
      </c>
      <c r="O55" s="17" t="str">
        <f t="shared" si="9"/>
        <v>West</v>
      </c>
      <c r="P55" s="17" t="str">
        <f t="shared" si="10"/>
        <v>Ajay Ghosh</v>
      </c>
      <c r="Q55" s="19">
        <f t="shared" si="11"/>
        <v>0.05</v>
      </c>
      <c r="R55" s="17">
        <f t="shared" si="12"/>
        <v>940101</v>
      </c>
      <c r="S55" s="18">
        <f t="shared" si="13"/>
        <v>1019280</v>
      </c>
      <c r="T55" s="20">
        <f t="shared" si="14"/>
        <v>24.108</v>
      </c>
      <c r="U55" s="20">
        <f t="shared" si="15"/>
        <v>29.892</v>
      </c>
      <c r="V55" s="21">
        <f t="shared" si="16"/>
        <v>397613.244</v>
      </c>
      <c r="W55" s="21">
        <f t="shared" si="17"/>
        <v>542487.756</v>
      </c>
      <c r="X55" s="17">
        <f t="shared" si="18"/>
        <v>507805.296</v>
      </c>
      <c r="Y55" s="15"/>
    </row>
    <row r="56">
      <c r="A56" s="16" t="s">
        <v>118</v>
      </c>
      <c r="B56" s="17" t="str">
        <f>IFERROR(__xludf.DUMMYFUNCTION("split(A56,""//"")"),"Month2 ")</f>
        <v>Month2 </v>
      </c>
      <c r="C56" s="17" t="str">
        <f>IFERROR(__xludf.DUMMYFUNCTION("""COMPUTED_VALUE"""),"City_Hyderabad")</f>
        <v>City_Hyderabad</v>
      </c>
      <c r="D56" s="17" t="str">
        <f>IFERROR(__xludf.DUMMYFUNCTION("""COMPUTED_VALUE"""),"PRD-ZestVita")</f>
        <v>PRD-ZestVita</v>
      </c>
      <c r="E56" s="17" t="str">
        <f>IFERROR(__xludf.DUMMYFUNCTION("""COMPUTED_VALUE"""),"OPQ  29078")</f>
        <v>OPQ  29078</v>
      </c>
      <c r="F56" s="17" t="str">
        <f>IFERROR(__xludf.DUMMYFUNCTION("""COMPUTED_VALUE"""),"NPQ[IPLMARKETTING]33730")</f>
        <v>NPQ[IPLMARKETTING]33730</v>
      </c>
      <c r="G56" s="18">
        <f t="shared" si="1"/>
        <v>2</v>
      </c>
      <c r="H56" s="17" t="str">
        <f t="shared" si="2"/>
        <v>February</v>
      </c>
      <c r="I56" s="17" t="str">
        <f t="shared" si="3"/>
        <v>Hyderabad</v>
      </c>
      <c r="J56" s="17" t="str">
        <f t="shared" si="4"/>
        <v>ZestVita</v>
      </c>
      <c r="K56" s="18">
        <f t="shared" si="5"/>
        <v>29078</v>
      </c>
      <c r="L56" s="18">
        <f t="shared" si="6"/>
        <v>33730</v>
      </c>
      <c r="M56" s="17">
        <f t="shared" si="7"/>
        <v>135</v>
      </c>
      <c r="N56" s="18">
        <f t="shared" si="8"/>
        <v>3925530</v>
      </c>
      <c r="O56" s="17" t="str">
        <f t="shared" si="9"/>
        <v>South</v>
      </c>
      <c r="P56" s="17" t="str">
        <f t="shared" si="10"/>
        <v>Anjali Krishna Murthy</v>
      </c>
      <c r="Q56" s="19">
        <f t="shared" si="11"/>
        <v>0</v>
      </c>
      <c r="R56" s="18">
        <f t="shared" si="12"/>
        <v>3925530</v>
      </c>
      <c r="S56" s="18">
        <f t="shared" si="13"/>
        <v>4553550</v>
      </c>
      <c r="T56" s="20">
        <f t="shared" si="14"/>
        <v>55.84</v>
      </c>
      <c r="U56" s="20">
        <f t="shared" si="15"/>
        <v>73.16</v>
      </c>
      <c r="V56" s="21">
        <f t="shared" si="16"/>
        <v>1623715.52</v>
      </c>
      <c r="W56" s="18">
        <f t="shared" si="17"/>
        <v>2301814.48</v>
      </c>
      <c r="X56" s="17">
        <f t="shared" si="18"/>
        <v>2467686.8</v>
      </c>
      <c r="Y56" s="15"/>
    </row>
    <row r="57">
      <c r="A57" s="16" t="s">
        <v>119</v>
      </c>
      <c r="B57" s="17" t="str">
        <f>IFERROR(__xludf.DUMMYFUNCTION("split(A57,""//"")"),"Month2 ")</f>
        <v>Month2 </v>
      </c>
      <c r="C57" s="17" t="str">
        <f>IFERROR(__xludf.DUMMYFUNCTION("""COMPUTED_VALUE"""),"City_Hyderabad")</f>
        <v>City_Hyderabad</v>
      </c>
      <c r="D57" s="17" t="str">
        <f>IFERROR(__xludf.DUMMYFUNCTION("""COMPUTED_VALUE"""),"PRD-NutriKid")</f>
        <v>PRD-NutriKid</v>
      </c>
      <c r="E57" s="17" t="str">
        <f>IFERROR(__xludf.DUMMYFUNCTION("""COMPUTED_VALUE"""),"OPQ  28842")</f>
        <v>OPQ  28842</v>
      </c>
      <c r="F57" s="17" t="str">
        <f>IFERROR(__xludf.DUMMYFUNCTION("""COMPUTED_VALUE"""),"NPQ[IPLMARKETTING]31726")</f>
        <v>NPQ[IPLMARKETTING]31726</v>
      </c>
      <c r="G57" s="18">
        <f t="shared" si="1"/>
        <v>2</v>
      </c>
      <c r="H57" s="17" t="str">
        <f t="shared" si="2"/>
        <v>February</v>
      </c>
      <c r="I57" s="17" t="str">
        <f t="shared" si="3"/>
        <v>Hyderabad</v>
      </c>
      <c r="J57" s="17" t="str">
        <f t="shared" si="4"/>
        <v>NutriKid</v>
      </c>
      <c r="K57" s="18">
        <f t="shared" si="5"/>
        <v>28842</v>
      </c>
      <c r="L57" s="18">
        <f t="shared" si="6"/>
        <v>31726</v>
      </c>
      <c r="M57" s="17">
        <f t="shared" si="7"/>
        <v>60</v>
      </c>
      <c r="N57" s="18">
        <f t="shared" si="8"/>
        <v>1730520</v>
      </c>
      <c r="O57" s="17" t="str">
        <f t="shared" si="9"/>
        <v>South</v>
      </c>
      <c r="P57" s="17" t="str">
        <f t="shared" si="10"/>
        <v>Anjali Krishna Murthy</v>
      </c>
      <c r="Q57" s="19">
        <f t="shared" si="11"/>
        <v>0</v>
      </c>
      <c r="R57" s="18">
        <f t="shared" si="12"/>
        <v>1730520</v>
      </c>
      <c r="S57" s="18">
        <f t="shared" si="13"/>
        <v>1903560</v>
      </c>
      <c r="T57" s="20">
        <f t="shared" si="14"/>
        <v>24.108</v>
      </c>
      <c r="U57" s="20">
        <f t="shared" si="15"/>
        <v>29.892</v>
      </c>
      <c r="V57" s="21">
        <f t="shared" si="16"/>
        <v>695322.936</v>
      </c>
      <c r="W57" s="18">
        <f t="shared" si="17"/>
        <v>1035197.064</v>
      </c>
      <c r="X57" s="17">
        <f t="shared" si="18"/>
        <v>948353.592</v>
      </c>
      <c r="Y57" s="15"/>
    </row>
    <row r="58">
      <c r="A58" s="16" t="s">
        <v>120</v>
      </c>
      <c r="B58" s="17" t="str">
        <f>IFERROR(__xludf.DUMMYFUNCTION("split(A58,""//"")"),"Month2 ")</f>
        <v>Month2 </v>
      </c>
      <c r="C58" s="17" t="str">
        <f>IFERROR(__xludf.DUMMYFUNCTION("""COMPUTED_VALUE"""),"City_Dehradun")</f>
        <v>City_Dehradun</v>
      </c>
      <c r="D58" s="17" t="str">
        <f>IFERROR(__xludf.DUMMYFUNCTION("""COMPUTED_VALUE"""),"PRD-ZestVita")</f>
        <v>PRD-ZestVita</v>
      </c>
      <c r="E58" s="17" t="str">
        <f>IFERROR(__xludf.DUMMYFUNCTION("""COMPUTED_VALUE"""),"OPQ  21865")</f>
        <v>OPQ  21865</v>
      </c>
      <c r="F58" s="17" t="str">
        <f>IFERROR(__xludf.DUMMYFUNCTION("""COMPUTED_VALUE"""),"NPQ[IPLMARKETTING]23614")</f>
        <v>NPQ[IPLMARKETTING]23614</v>
      </c>
      <c r="G58" s="18">
        <f t="shared" si="1"/>
        <v>2</v>
      </c>
      <c r="H58" s="17" t="str">
        <f t="shared" si="2"/>
        <v>February</v>
      </c>
      <c r="I58" s="17" t="str">
        <f t="shared" si="3"/>
        <v>Dehradun</v>
      </c>
      <c r="J58" s="17" t="str">
        <f t="shared" si="4"/>
        <v>ZestVita</v>
      </c>
      <c r="K58" s="18">
        <f t="shared" si="5"/>
        <v>21865</v>
      </c>
      <c r="L58" s="18">
        <f t="shared" si="6"/>
        <v>23614</v>
      </c>
      <c r="M58" s="17">
        <f t="shared" si="7"/>
        <v>135</v>
      </c>
      <c r="N58" s="18">
        <f t="shared" si="8"/>
        <v>2951775</v>
      </c>
      <c r="O58" s="17" t="str">
        <f t="shared" si="9"/>
        <v>North</v>
      </c>
      <c r="P58" s="17" t="str">
        <f t="shared" si="10"/>
        <v>Ajay Kumar</v>
      </c>
      <c r="Q58" s="19">
        <f t="shared" si="11"/>
        <v>0.125</v>
      </c>
      <c r="R58" s="17">
        <f t="shared" si="12"/>
        <v>2582803.125</v>
      </c>
      <c r="S58" s="18">
        <f t="shared" si="13"/>
        <v>3187890</v>
      </c>
      <c r="T58" s="20">
        <f t="shared" si="14"/>
        <v>55.84</v>
      </c>
      <c r="U58" s="20">
        <f t="shared" si="15"/>
        <v>73.16</v>
      </c>
      <c r="V58" s="21">
        <f t="shared" si="16"/>
        <v>1220941.6</v>
      </c>
      <c r="W58" s="21">
        <f t="shared" si="17"/>
        <v>1361861.525</v>
      </c>
      <c r="X58" s="17">
        <f t="shared" si="18"/>
        <v>1727600.24</v>
      </c>
      <c r="Y58" s="15"/>
    </row>
    <row r="59">
      <c r="A59" s="16" t="s">
        <v>121</v>
      </c>
      <c r="B59" s="17" t="str">
        <f>IFERROR(__xludf.DUMMYFUNCTION("split(A59,""//"")"),"Month2 ")</f>
        <v>Month2 </v>
      </c>
      <c r="C59" s="17" t="str">
        <f>IFERROR(__xludf.DUMMYFUNCTION("""COMPUTED_VALUE"""),"City_Dehradun")</f>
        <v>City_Dehradun</v>
      </c>
      <c r="D59" s="17" t="str">
        <f>IFERROR(__xludf.DUMMYFUNCTION("""COMPUTED_VALUE"""),"PRD-NutriKid")</f>
        <v>PRD-NutriKid</v>
      </c>
      <c r="E59" s="17" t="str">
        <f>IFERROR(__xludf.DUMMYFUNCTION("""COMPUTED_VALUE"""),"OPQ  13454")</f>
        <v>OPQ  13454</v>
      </c>
      <c r="F59" s="17" t="str">
        <f>IFERROR(__xludf.DUMMYFUNCTION("""COMPUTED_VALUE"""),"NPQ[IPLMARKETTING]14530")</f>
        <v>NPQ[IPLMARKETTING]14530</v>
      </c>
      <c r="G59" s="18">
        <f t="shared" si="1"/>
        <v>2</v>
      </c>
      <c r="H59" s="17" t="str">
        <f t="shared" si="2"/>
        <v>February</v>
      </c>
      <c r="I59" s="17" t="str">
        <f t="shared" si="3"/>
        <v>Dehradun</v>
      </c>
      <c r="J59" s="17" t="str">
        <f t="shared" si="4"/>
        <v>NutriKid</v>
      </c>
      <c r="K59" s="18">
        <f t="shared" si="5"/>
        <v>13454</v>
      </c>
      <c r="L59" s="18">
        <f t="shared" si="6"/>
        <v>14530</v>
      </c>
      <c r="M59" s="17">
        <f t="shared" si="7"/>
        <v>60</v>
      </c>
      <c r="N59" s="18">
        <f t="shared" si="8"/>
        <v>807240</v>
      </c>
      <c r="O59" s="17" t="str">
        <f t="shared" si="9"/>
        <v>North</v>
      </c>
      <c r="P59" s="17" t="str">
        <f t="shared" si="10"/>
        <v>Ajay Kumar</v>
      </c>
      <c r="Q59" s="19">
        <f t="shared" si="11"/>
        <v>0.125</v>
      </c>
      <c r="R59" s="17">
        <f t="shared" si="12"/>
        <v>706335</v>
      </c>
      <c r="S59" s="18">
        <f t="shared" si="13"/>
        <v>871800</v>
      </c>
      <c r="T59" s="20">
        <f t="shared" si="14"/>
        <v>24.108</v>
      </c>
      <c r="U59" s="20">
        <f t="shared" si="15"/>
        <v>29.892</v>
      </c>
      <c r="V59" s="21">
        <f t="shared" si="16"/>
        <v>324349.032</v>
      </c>
      <c r="W59" s="21">
        <f t="shared" si="17"/>
        <v>381985.968</v>
      </c>
      <c r="X59" s="17">
        <f t="shared" si="18"/>
        <v>434330.76</v>
      </c>
      <c r="Y59" s="15"/>
    </row>
    <row r="60">
      <c r="A60" s="16" t="s">
        <v>122</v>
      </c>
      <c r="B60" s="17" t="str">
        <f>IFERROR(__xludf.DUMMYFUNCTION("split(A60,""//"")"),"Month2 ")</f>
        <v>Month2 </v>
      </c>
      <c r="C60" s="17" t="str">
        <f>IFERROR(__xludf.DUMMYFUNCTION("""COMPUTED_VALUE"""),"City_Kochi")</f>
        <v>City_Kochi</v>
      </c>
      <c r="D60" s="17" t="str">
        <f>IFERROR(__xludf.DUMMYFUNCTION("""COMPUTED_VALUE"""),"PRD-ZestVita")</f>
        <v>PRD-ZestVita</v>
      </c>
      <c r="E60" s="17" t="str">
        <f>IFERROR(__xludf.DUMMYFUNCTION("""COMPUTED_VALUE"""),"OPQ  24236")</f>
        <v>OPQ  24236</v>
      </c>
      <c r="F60" s="17" t="str">
        <f>IFERROR(__xludf.DUMMYFUNCTION("""COMPUTED_VALUE"""),"NPQ[IPLMARKETTING]24721")</f>
        <v>NPQ[IPLMARKETTING]24721</v>
      </c>
      <c r="G60" s="18">
        <f t="shared" si="1"/>
        <v>2</v>
      </c>
      <c r="H60" s="17" t="str">
        <f t="shared" si="2"/>
        <v>February</v>
      </c>
      <c r="I60" s="17" t="str">
        <f t="shared" si="3"/>
        <v>Kochi</v>
      </c>
      <c r="J60" s="17" t="str">
        <f t="shared" si="4"/>
        <v>ZestVita</v>
      </c>
      <c r="K60" s="18">
        <f t="shared" si="5"/>
        <v>24236</v>
      </c>
      <c r="L60" s="18">
        <f t="shared" si="6"/>
        <v>24721</v>
      </c>
      <c r="M60" s="17">
        <f t="shared" si="7"/>
        <v>135</v>
      </c>
      <c r="N60" s="18">
        <f t="shared" si="8"/>
        <v>3271860</v>
      </c>
      <c r="O60" s="17" t="str">
        <f t="shared" si="9"/>
        <v>South</v>
      </c>
      <c r="P60" s="17" t="str">
        <f t="shared" si="10"/>
        <v>Anjali Krishna Murthy</v>
      </c>
      <c r="Q60" s="19">
        <f t="shared" si="11"/>
        <v>0.1</v>
      </c>
      <c r="R60" s="17">
        <f t="shared" si="12"/>
        <v>2944674</v>
      </c>
      <c r="S60" s="18">
        <f t="shared" si="13"/>
        <v>3337335</v>
      </c>
      <c r="T60" s="20">
        <f t="shared" si="14"/>
        <v>55.84</v>
      </c>
      <c r="U60" s="20">
        <f t="shared" si="15"/>
        <v>73.16</v>
      </c>
      <c r="V60" s="21">
        <f t="shared" si="16"/>
        <v>1353338.24</v>
      </c>
      <c r="W60" s="21">
        <f t="shared" si="17"/>
        <v>1591335.76</v>
      </c>
      <c r="X60" s="17">
        <f t="shared" si="18"/>
        <v>1808588.36</v>
      </c>
      <c r="Y60" s="15"/>
    </row>
    <row r="61">
      <c r="A61" s="16" t="s">
        <v>123</v>
      </c>
      <c r="B61" s="17" t="str">
        <f>IFERROR(__xludf.DUMMYFUNCTION("split(A61,""//"")"),"Month2 ")</f>
        <v>Month2 </v>
      </c>
      <c r="C61" s="17" t="str">
        <f>IFERROR(__xludf.DUMMYFUNCTION("""COMPUTED_VALUE"""),"City_Kochi")</f>
        <v>City_Kochi</v>
      </c>
      <c r="D61" s="17" t="str">
        <f>IFERROR(__xludf.DUMMYFUNCTION("""COMPUTED_VALUE"""),"PRD-NutriKid")</f>
        <v>PRD-NutriKid</v>
      </c>
      <c r="E61" s="17" t="str">
        <f>IFERROR(__xludf.DUMMYFUNCTION("""COMPUTED_VALUE"""),"OPQ  14406")</f>
        <v>OPQ  14406</v>
      </c>
      <c r="F61" s="17" t="str">
        <f>IFERROR(__xludf.DUMMYFUNCTION("""COMPUTED_VALUE"""),"NPQ[IPLMARKETTING]15270")</f>
        <v>NPQ[IPLMARKETTING]15270</v>
      </c>
      <c r="G61" s="18">
        <f t="shared" si="1"/>
        <v>2</v>
      </c>
      <c r="H61" s="17" t="str">
        <f t="shared" si="2"/>
        <v>February</v>
      </c>
      <c r="I61" s="17" t="str">
        <f t="shared" si="3"/>
        <v>Kochi</v>
      </c>
      <c r="J61" s="17" t="str">
        <f t="shared" si="4"/>
        <v>NutriKid</v>
      </c>
      <c r="K61" s="18">
        <f t="shared" si="5"/>
        <v>14406</v>
      </c>
      <c r="L61" s="18">
        <f t="shared" si="6"/>
        <v>15270</v>
      </c>
      <c r="M61" s="17">
        <f t="shared" si="7"/>
        <v>60</v>
      </c>
      <c r="N61" s="18">
        <f t="shared" si="8"/>
        <v>864360</v>
      </c>
      <c r="O61" s="17" t="str">
        <f t="shared" si="9"/>
        <v>South</v>
      </c>
      <c r="P61" s="17" t="str">
        <f t="shared" si="10"/>
        <v>Anjali Krishna Murthy</v>
      </c>
      <c r="Q61" s="19">
        <f t="shared" si="11"/>
        <v>0.1</v>
      </c>
      <c r="R61" s="17">
        <f t="shared" si="12"/>
        <v>777924</v>
      </c>
      <c r="S61" s="18">
        <f t="shared" si="13"/>
        <v>916200</v>
      </c>
      <c r="T61" s="20">
        <f t="shared" si="14"/>
        <v>24.108</v>
      </c>
      <c r="U61" s="20">
        <f t="shared" si="15"/>
        <v>29.892</v>
      </c>
      <c r="V61" s="21">
        <f t="shared" si="16"/>
        <v>347299.848</v>
      </c>
      <c r="W61" s="21">
        <f t="shared" si="17"/>
        <v>430624.152</v>
      </c>
      <c r="X61" s="17">
        <f t="shared" si="18"/>
        <v>456450.84</v>
      </c>
      <c r="Y61" s="15"/>
    </row>
    <row r="62">
      <c r="A62" s="16" t="s">
        <v>124</v>
      </c>
      <c r="B62" s="17" t="str">
        <f>IFERROR(__xludf.DUMMYFUNCTION("split(A62,""//"")"),"Month2 ")</f>
        <v>Month2 </v>
      </c>
      <c r="C62" s="17" t="str">
        <f>IFERROR(__xludf.DUMMYFUNCTION("""COMPUTED_VALUE"""),"City_Jaipur")</f>
        <v>City_Jaipur</v>
      </c>
      <c r="D62" s="17" t="str">
        <f>IFERROR(__xludf.DUMMYFUNCTION("""COMPUTED_VALUE"""),"PRD-ZestVita")</f>
        <v>PRD-ZestVita</v>
      </c>
      <c r="E62" s="17" t="str">
        <f>IFERROR(__xludf.DUMMYFUNCTION("""COMPUTED_VALUE"""),"OPQ  23105")</f>
        <v>OPQ  23105</v>
      </c>
      <c r="F62" s="17" t="str">
        <f>IFERROR(__xludf.DUMMYFUNCTION("""COMPUTED_VALUE"""),"NPQ[IPLMARKETTING]28188")</f>
        <v>NPQ[IPLMARKETTING]28188</v>
      </c>
      <c r="G62" s="18">
        <f t="shared" si="1"/>
        <v>2</v>
      </c>
      <c r="H62" s="17" t="str">
        <f t="shared" si="2"/>
        <v>February</v>
      </c>
      <c r="I62" s="17" t="str">
        <f t="shared" si="3"/>
        <v>Jaipur</v>
      </c>
      <c r="J62" s="17" t="str">
        <f t="shared" si="4"/>
        <v>ZestVita</v>
      </c>
      <c r="K62" s="18">
        <f t="shared" si="5"/>
        <v>23105</v>
      </c>
      <c r="L62" s="18">
        <f t="shared" si="6"/>
        <v>28188</v>
      </c>
      <c r="M62" s="17">
        <f t="shared" si="7"/>
        <v>135</v>
      </c>
      <c r="N62" s="18">
        <f t="shared" si="8"/>
        <v>3119175</v>
      </c>
      <c r="O62" s="17" t="str">
        <f t="shared" si="9"/>
        <v>West</v>
      </c>
      <c r="P62" s="17" t="str">
        <f t="shared" si="10"/>
        <v>Ajay Ghosh</v>
      </c>
      <c r="Q62" s="19">
        <f t="shared" si="11"/>
        <v>0</v>
      </c>
      <c r="R62" s="18">
        <f t="shared" si="12"/>
        <v>3119175</v>
      </c>
      <c r="S62" s="18">
        <f t="shared" si="13"/>
        <v>3805380</v>
      </c>
      <c r="T62" s="20">
        <f t="shared" si="14"/>
        <v>55.84</v>
      </c>
      <c r="U62" s="20">
        <f t="shared" si="15"/>
        <v>73.16</v>
      </c>
      <c r="V62" s="21">
        <f t="shared" si="16"/>
        <v>1290183.2</v>
      </c>
      <c r="W62" s="18">
        <f t="shared" si="17"/>
        <v>1828991.8</v>
      </c>
      <c r="X62" s="17">
        <f t="shared" si="18"/>
        <v>2062234.08</v>
      </c>
      <c r="Y62" s="15"/>
    </row>
    <row r="63">
      <c r="A63" s="16" t="s">
        <v>125</v>
      </c>
      <c r="B63" s="17" t="str">
        <f>IFERROR(__xludf.DUMMYFUNCTION("split(A63,""//"")"),"Month2 ")</f>
        <v>Month2 </v>
      </c>
      <c r="C63" s="17" t="str">
        <f>IFERROR(__xludf.DUMMYFUNCTION("""COMPUTED_VALUE"""),"City_Jaipur")</f>
        <v>City_Jaipur</v>
      </c>
      <c r="D63" s="17" t="str">
        <f>IFERROR(__xludf.DUMMYFUNCTION("""COMPUTED_VALUE"""),"PRD-NutriKid")</f>
        <v>PRD-NutriKid</v>
      </c>
      <c r="E63" s="17" t="str">
        <f>IFERROR(__xludf.DUMMYFUNCTION("""COMPUTED_VALUE"""),"OPQ  17683")</f>
        <v>OPQ  17683</v>
      </c>
      <c r="F63" s="17" t="str">
        <f>IFERROR(__xludf.DUMMYFUNCTION("""COMPUTED_VALUE"""),"NPQ[IPLMARKETTING]21573")</f>
        <v>NPQ[IPLMARKETTING]21573</v>
      </c>
      <c r="G63" s="18">
        <f t="shared" si="1"/>
        <v>2</v>
      </c>
      <c r="H63" s="17" t="str">
        <f t="shared" si="2"/>
        <v>February</v>
      </c>
      <c r="I63" s="17" t="str">
        <f t="shared" si="3"/>
        <v>Jaipur</v>
      </c>
      <c r="J63" s="17" t="str">
        <f t="shared" si="4"/>
        <v>NutriKid</v>
      </c>
      <c r="K63" s="18">
        <f t="shared" si="5"/>
        <v>17683</v>
      </c>
      <c r="L63" s="18">
        <f t="shared" si="6"/>
        <v>21573</v>
      </c>
      <c r="M63" s="17">
        <f t="shared" si="7"/>
        <v>60</v>
      </c>
      <c r="N63" s="18">
        <f t="shared" si="8"/>
        <v>1060980</v>
      </c>
      <c r="O63" s="17" t="str">
        <f t="shared" si="9"/>
        <v>West</v>
      </c>
      <c r="P63" s="17" t="str">
        <f t="shared" si="10"/>
        <v>Ajay Ghosh</v>
      </c>
      <c r="Q63" s="19">
        <f t="shared" si="11"/>
        <v>0</v>
      </c>
      <c r="R63" s="18">
        <f t="shared" si="12"/>
        <v>1060980</v>
      </c>
      <c r="S63" s="18">
        <f t="shared" si="13"/>
        <v>1294380</v>
      </c>
      <c r="T63" s="20">
        <f t="shared" si="14"/>
        <v>24.108</v>
      </c>
      <c r="U63" s="20">
        <f t="shared" si="15"/>
        <v>29.892</v>
      </c>
      <c r="V63" s="21">
        <f t="shared" si="16"/>
        <v>426301.764</v>
      </c>
      <c r="W63" s="18">
        <f t="shared" si="17"/>
        <v>634678.236</v>
      </c>
      <c r="X63" s="17">
        <f t="shared" si="18"/>
        <v>644860.116</v>
      </c>
      <c r="Y63" s="15"/>
    </row>
    <row r="64">
      <c r="A64" s="16" t="s">
        <v>126</v>
      </c>
      <c r="B64" s="17" t="str">
        <f>IFERROR(__xludf.DUMMYFUNCTION("split(A64,""//"")"),"Month2 ")</f>
        <v>Month2 </v>
      </c>
      <c r="C64" s="17" t="str">
        <f>IFERROR(__xludf.DUMMYFUNCTION("""COMPUTED_VALUE"""),"City_Patna")</f>
        <v>City_Patna</v>
      </c>
      <c r="D64" s="17" t="str">
        <f>IFERROR(__xludf.DUMMYFUNCTION("""COMPUTED_VALUE"""),"PRD-ZestVita")</f>
        <v>PRD-ZestVita</v>
      </c>
      <c r="E64" s="17" t="str">
        <f>IFERROR(__xludf.DUMMYFUNCTION("""COMPUTED_VALUE"""),"OPQ  20260")</f>
        <v>OPQ  20260</v>
      </c>
      <c r="F64" s="17" t="str">
        <f>IFERROR(__xludf.DUMMYFUNCTION("""COMPUTED_VALUE"""),"NPQ[IPLMARKETTING]23907")</f>
        <v>NPQ[IPLMARKETTING]23907</v>
      </c>
      <c r="G64" s="18">
        <f t="shared" si="1"/>
        <v>2</v>
      </c>
      <c r="H64" s="17" t="str">
        <f t="shared" si="2"/>
        <v>February</v>
      </c>
      <c r="I64" s="17" t="str">
        <f t="shared" si="3"/>
        <v>Patna</v>
      </c>
      <c r="J64" s="17" t="str">
        <f t="shared" si="4"/>
        <v>ZestVita</v>
      </c>
      <c r="K64" s="18">
        <f t="shared" si="5"/>
        <v>20260</v>
      </c>
      <c r="L64" s="18">
        <f t="shared" si="6"/>
        <v>23907</v>
      </c>
      <c r="M64" s="17">
        <f t="shared" si="7"/>
        <v>135</v>
      </c>
      <c r="N64" s="18">
        <f t="shared" si="8"/>
        <v>2735100</v>
      </c>
      <c r="O64" s="17" t="str">
        <f t="shared" si="9"/>
        <v>East</v>
      </c>
      <c r="P64" s="17" t="str">
        <f t="shared" si="10"/>
        <v>Tanvi Sharma</v>
      </c>
      <c r="Q64" s="19">
        <f t="shared" si="11"/>
        <v>0.05</v>
      </c>
      <c r="R64" s="17">
        <f t="shared" si="12"/>
        <v>2598345</v>
      </c>
      <c r="S64" s="18">
        <f t="shared" si="13"/>
        <v>3227445</v>
      </c>
      <c r="T64" s="20">
        <f t="shared" si="14"/>
        <v>55.84</v>
      </c>
      <c r="U64" s="20">
        <f t="shared" si="15"/>
        <v>73.16</v>
      </c>
      <c r="V64" s="21">
        <f t="shared" si="16"/>
        <v>1131318.4</v>
      </c>
      <c r="W64" s="21">
        <f t="shared" si="17"/>
        <v>1467026.6</v>
      </c>
      <c r="X64" s="17">
        <f t="shared" si="18"/>
        <v>1749036.12</v>
      </c>
      <c r="Y64" s="15"/>
    </row>
    <row r="65">
      <c r="A65" s="16" t="s">
        <v>127</v>
      </c>
      <c r="B65" s="17" t="str">
        <f>IFERROR(__xludf.DUMMYFUNCTION("split(A65,""//"")"),"Month2 ")</f>
        <v>Month2 </v>
      </c>
      <c r="C65" s="17" t="str">
        <f>IFERROR(__xludf.DUMMYFUNCTION("""COMPUTED_VALUE"""),"City_Patna")</f>
        <v>City_Patna</v>
      </c>
      <c r="D65" s="17" t="str">
        <f>IFERROR(__xludf.DUMMYFUNCTION("""COMPUTED_VALUE"""),"PRD-NutriKid")</f>
        <v>PRD-NutriKid</v>
      </c>
      <c r="E65" s="17" t="str">
        <f>IFERROR(__xludf.DUMMYFUNCTION("""COMPUTED_VALUE"""),"OPQ  26296")</f>
        <v>OPQ  26296</v>
      </c>
      <c r="F65" s="17" t="str">
        <f>IFERROR(__xludf.DUMMYFUNCTION("""COMPUTED_VALUE"""),"NPQ[IPLMARKETTING]32607")</f>
        <v>NPQ[IPLMARKETTING]32607</v>
      </c>
      <c r="G65" s="18">
        <f t="shared" si="1"/>
        <v>2</v>
      </c>
      <c r="H65" s="17" t="str">
        <f t="shared" si="2"/>
        <v>February</v>
      </c>
      <c r="I65" s="17" t="str">
        <f t="shared" si="3"/>
        <v>Patna</v>
      </c>
      <c r="J65" s="17" t="str">
        <f t="shared" si="4"/>
        <v>NutriKid</v>
      </c>
      <c r="K65" s="18">
        <f t="shared" si="5"/>
        <v>26296</v>
      </c>
      <c r="L65" s="18">
        <f t="shared" si="6"/>
        <v>32607</v>
      </c>
      <c r="M65" s="17">
        <f t="shared" si="7"/>
        <v>60</v>
      </c>
      <c r="N65" s="18">
        <f t="shared" si="8"/>
        <v>1577760</v>
      </c>
      <c r="O65" s="17" t="str">
        <f t="shared" si="9"/>
        <v>East</v>
      </c>
      <c r="P65" s="17" t="str">
        <f t="shared" si="10"/>
        <v>Tanvi Sharma</v>
      </c>
      <c r="Q65" s="19">
        <f t="shared" si="11"/>
        <v>0.05</v>
      </c>
      <c r="R65" s="17">
        <f t="shared" si="12"/>
        <v>1498872</v>
      </c>
      <c r="S65" s="18">
        <f t="shared" si="13"/>
        <v>1956420</v>
      </c>
      <c r="T65" s="20">
        <f t="shared" si="14"/>
        <v>24.108</v>
      </c>
      <c r="U65" s="20">
        <f t="shared" si="15"/>
        <v>29.892</v>
      </c>
      <c r="V65" s="21">
        <f t="shared" si="16"/>
        <v>633943.968</v>
      </c>
      <c r="W65" s="21">
        <f t="shared" si="17"/>
        <v>864928.032</v>
      </c>
      <c r="X65" s="17">
        <f t="shared" si="18"/>
        <v>974688.444</v>
      </c>
      <c r="Y65" s="15"/>
    </row>
    <row r="66">
      <c r="A66" s="16" t="s">
        <v>128</v>
      </c>
      <c r="B66" s="17" t="str">
        <f>IFERROR(__xludf.DUMMYFUNCTION("split(A66,""//"")"),"Month3 ")</f>
        <v>Month3 </v>
      </c>
      <c r="C66" s="17" t="str">
        <f>IFERROR(__xludf.DUMMYFUNCTION("""COMPUTED_VALUE"""),"City_Delhi")</f>
        <v>City_Delhi</v>
      </c>
      <c r="D66" s="17" t="str">
        <f>IFERROR(__xludf.DUMMYFUNCTION("""COMPUTED_VALUE"""),"PRD-ZestVita")</f>
        <v>PRD-ZestVita</v>
      </c>
      <c r="E66" s="17" t="str">
        <f>IFERROR(__xludf.DUMMYFUNCTION("""COMPUTED_VALUE"""),"OPQ  28430")</f>
        <v>OPQ  28430</v>
      </c>
      <c r="F66" s="17" t="str">
        <f>IFERROR(__xludf.DUMMYFUNCTION("""COMPUTED_VALUE"""),"NPQ[IPLMARKETTING]33832")</f>
        <v>NPQ[IPLMARKETTING]33832</v>
      </c>
      <c r="G66" s="18">
        <f t="shared" si="1"/>
        <v>3</v>
      </c>
      <c r="H66" s="17" t="str">
        <f t="shared" si="2"/>
        <v>March</v>
      </c>
      <c r="I66" s="17" t="str">
        <f t="shared" si="3"/>
        <v>Delhi</v>
      </c>
      <c r="J66" s="17" t="str">
        <f t="shared" si="4"/>
        <v>ZestVita</v>
      </c>
      <c r="K66" s="18">
        <f t="shared" si="5"/>
        <v>28430</v>
      </c>
      <c r="L66" s="18">
        <f t="shared" si="6"/>
        <v>33832</v>
      </c>
      <c r="M66" s="17">
        <f t="shared" si="7"/>
        <v>135</v>
      </c>
      <c r="N66" s="18">
        <f t="shared" si="8"/>
        <v>3838050</v>
      </c>
      <c r="O66" s="17" t="str">
        <f t="shared" si="9"/>
        <v>North</v>
      </c>
      <c r="P66" s="17" t="str">
        <f t="shared" si="10"/>
        <v>Ajay Kumar</v>
      </c>
      <c r="Q66" s="19">
        <f t="shared" si="11"/>
        <v>0</v>
      </c>
      <c r="R66" s="18">
        <f t="shared" si="12"/>
        <v>3838050</v>
      </c>
      <c r="S66" s="18">
        <f t="shared" si="13"/>
        <v>4567320</v>
      </c>
      <c r="T66" s="20">
        <f t="shared" si="14"/>
        <v>55.84</v>
      </c>
      <c r="U66" s="20">
        <f t="shared" si="15"/>
        <v>73.16</v>
      </c>
      <c r="V66" s="21">
        <f t="shared" si="16"/>
        <v>1587531.2</v>
      </c>
      <c r="W66" s="18">
        <f t="shared" si="17"/>
        <v>2250518.8</v>
      </c>
      <c r="X66" s="17">
        <f t="shared" si="18"/>
        <v>2475149.12</v>
      </c>
      <c r="Y66" s="15"/>
    </row>
    <row r="67">
      <c r="A67" s="16" t="s">
        <v>129</v>
      </c>
      <c r="B67" s="17" t="str">
        <f>IFERROR(__xludf.DUMMYFUNCTION("split(A67,""//"")"),"Month3 ")</f>
        <v>Month3 </v>
      </c>
      <c r="C67" s="17" t="str">
        <f>IFERROR(__xludf.DUMMYFUNCTION("""COMPUTED_VALUE"""),"City_Delhi")</f>
        <v>City_Delhi</v>
      </c>
      <c r="D67" s="17" t="str">
        <f>IFERROR(__xludf.DUMMYFUNCTION("""COMPUTED_VALUE"""),"PRD-NutriKid")</f>
        <v>PRD-NutriKid</v>
      </c>
      <c r="E67" s="17" t="str">
        <f>IFERROR(__xludf.DUMMYFUNCTION("""COMPUTED_VALUE"""),"OPQ  22212")</f>
        <v>OPQ  22212</v>
      </c>
      <c r="F67" s="17" t="str">
        <f>IFERROR(__xludf.DUMMYFUNCTION("""COMPUTED_VALUE"""),"NPQ[IPLMARKETTING]25988")</f>
        <v>NPQ[IPLMARKETTING]25988</v>
      </c>
      <c r="G67" s="18">
        <f t="shared" si="1"/>
        <v>3</v>
      </c>
      <c r="H67" s="17" t="str">
        <f t="shared" si="2"/>
        <v>March</v>
      </c>
      <c r="I67" s="17" t="str">
        <f t="shared" si="3"/>
        <v>Delhi</v>
      </c>
      <c r="J67" s="17" t="str">
        <f t="shared" si="4"/>
        <v>NutriKid</v>
      </c>
      <c r="K67" s="18">
        <f t="shared" si="5"/>
        <v>22212</v>
      </c>
      <c r="L67" s="18">
        <f t="shared" si="6"/>
        <v>25988</v>
      </c>
      <c r="M67" s="17">
        <f t="shared" si="7"/>
        <v>60</v>
      </c>
      <c r="N67" s="18">
        <f t="shared" si="8"/>
        <v>1332720</v>
      </c>
      <c r="O67" s="17" t="str">
        <f t="shared" si="9"/>
        <v>North</v>
      </c>
      <c r="P67" s="17" t="str">
        <f t="shared" si="10"/>
        <v>Ajay Kumar</v>
      </c>
      <c r="Q67" s="19">
        <f t="shared" si="11"/>
        <v>0</v>
      </c>
      <c r="R67" s="18">
        <f t="shared" si="12"/>
        <v>1332720</v>
      </c>
      <c r="S67" s="18">
        <f t="shared" si="13"/>
        <v>1559280</v>
      </c>
      <c r="T67" s="20">
        <f t="shared" si="14"/>
        <v>24.108</v>
      </c>
      <c r="U67" s="20">
        <f t="shared" si="15"/>
        <v>29.892</v>
      </c>
      <c r="V67" s="21">
        <f t="shared" si="16"/>
        <v>535486.896</v>
      </c>
      <c r="W67" s="18">
        <f t="shared" si="17"/>
        <v>797233.104</v>
      </c>
      <c r="X67" s="17">
        <f t="shared" si="18"/>
        <v>776833.296</v>
      </c>
      <c r="Y67" s="15"/>
    </row>
    <row r="68">
      <c r="A68" s="16" t="s">
        <v>130</v>
      </c>
      <c r="B68" s="17" t="str">
        <f>IFERROR(__xludf.DUMMYFUNCTION("split(A68,""//"")"),"Month3 ")</f>
        <v>Month3 </v>
      </c>
      <c r="C68" s="17" t="str">
        <f>IFERROR(__xludf.DUMMYFUNCTION("""COMPUTED_VALUE"""),"City_Kolkata")</f>
        <v>City_Kolkata</v>
      </c>
      <c r="D68" s="17" t="str">
        <f>IFERROR(__xludf.DUMMYFUNCTION("""COMPUTED_VALUE"""),"PRD-ZestVita")</f>
        <v>PRD-ZestVita</v>
      </c>
      <c r="E68" s="17" t="str">
        <f>IFERROR(__xludf.DUMMYFUNCTION("""COMPUTED_VALUE"""),"OPQ  15565")</f>
        <v>OPQ  15565</v>
      </c>
      <c r="F68" s="17" t="str">
        <f>IFERROR(__xludf.DUMMYFUNCTION("""COMPUTED_VALUE"""),"NPQ[IPLMARKETTING]17900")</f>
        <v>NPQ[IPLMARKETTING]17900</v>
      </c>
      <c r="G68" s="18">
        <f t="shared" si="1"/>
        <v>3</v>
      </c>
      <c r="H68" s="17" t="str">
        <f t="shared" si="2"/>
        <v>March</v>
      </c>
      <c r="I68" s="17" t="str">
        <f t="shared" si="3"/>
        <v>Kolkata</v>
      </c>
      <c r="J68" s="17" t="str">
        <f t="shared" si="4"/>
        <v>ZestVita</v>
      </c>
      <c r="K68" s="18">
        <f t="shared" si="5"/>
        <v>15565</v>
      </c>
      <c r="L68" s="18">
        <f t="shared" si="6"/>
        <v>17900</v>
      </c>
      <c r="M68" s="17">
        <f t="shared" si="7"/>
        <v>135</v>
      </c>
      <c r="N68" s="18">
        <f t="shared" si="8"/>
        <v>2101275</v>
      </c>
      <c r="O68" s="17" t="str">
        <f t="shared" si="9"/>
        <v>East</v>
      </c>
      <c r="P68" s="17" t="str">
        <f t="shared" si="10"/>
        <v>Tanvi Sharma</v>
      </c>
      <c r="Q68" s="19">
        <f t="shared" si="11"/>
        <v>0</v>
      </c>
      <c r="R68" s="18">
        <f t="shared" si="12"/>
        <v>2101275</v>
      </c>
      <c r="S68" s="18">
        <f t="shared" si="13"/>
        <v>2416500</v>
      </c>
      <c r="T68" s="20">
        <f t="shared" si="14"/>
        <v>55.84</v>
      </c>
      <c r="U68" s="20">
        <f t="shared" si="15"/>
        <v>73.16</v>
      </c>
      <c r="V68" s="21">
        <f t="shared" si="16"/>
        <v>869149.6</v>
      </c>
      <c r="W68" s="18">
        <f t="shared" si="17"/>
        <v>1232125.4</v>
      </c>
      <c r="X68" s="17">
        <f t="shared" si="18"/>
        <v>1309564</v>
      </c>
      <c r="Y68" s="15"/>
    </row>
    <row r="69">
      <c r="A69" s="16" t="s">
        <v>131</v>
      </c>
      <c r="B69" s="17" t="str">
        <f>IFERROR(__xludf.DUMMYFUNCTION("split(A69,""//"")"),"Month3 ")</f>
        <v>Month3 </v>
      </c>
      <c r="C69" s="17" t="str">
        <f>IFERROR(__xludf.DUMMYFUNCTION("""COMPUTED_VALUE"""),"City_Kolkata")</f>
        <v>City_Kolkata</v>
      </c>
      <c r="D69" s="17" t="str">
        <f>IFERROR(__xludf.DUMMYFUNCTION("""COMPUTED_VALUE"""),"PRD-NutriKid")</f>
        <v>PRD-NutriKid</v>
      </c>
      <c r="E69" s="17" t="str">
        <f>IFERROR(__xludf.DUMMYFUNCTION("""COMPUTED_VALUE"""),"OPQ  29813")</f>
        <v>OPQ  29813</v>
      </c>
      <c r="F69" s="17" t="str">
        <f>IFERROR(__xludf.DUMMYFUNCTION("""COMPUTED_VALUE"""),"NPQ[IPLMARKETTING]34285")</f>
        <v>NPQ[IPLMARKETTING]34285</v>
      </c>
      <c r="G69" s="18">
        <f t="shared" si="1"/>
        <v>3</v>
      </c>
      <c r="H69" s="17" t="str">
        <f t="shared" si="2"/>
        <v>March</v>
      </c>
      <c r="I69" s="17" t="str">
        <f t="shared" si="3"/>
        <v>Kolkata</v>
      </c>
      <c r="J69" s="17" t="str">
        <f t="shared" si="4"/>
        <v>NutriKid</v>
      </c>
      <c r="K69" s="18">
        <f t="shared" si="5"/>
        <v>29813</v>
      </c>
      <c r="L69" s="18">
        <f t="shared" si="6"/>
        <v>34285</v>
      </c>
      <c r="M69" s="17">
        <f t="shared" si="7"/>
        <v>60</v>
      </c>
      <c r="N69" s="18">
        <f t="shared" si="8"/>
        <v>1788780</v>
      </c>
      <c r="O69" s="17" t="str">
        <f t="shared" si="9"/>
        <v>East</v>
      </c>
      <c r="P69" s="17" t="str">
        <f t="shared" si="10"/>
        <v>Tanvi Sharma</v>
      </c>
      <c r="Q69" s="19">
        <f t="shared" si="11"/>
        <v>0</v>
      </c>
      <c r="R69" s="18">
        <f t="shared" si="12"/>
        <v>1788780</v>
      </c>
      <c r="S69" s="18">
        <f t="shared" si="13"/>
        <v>2057100</v>
      </c>
      <c r="T69" s="20">
        <f t="shared" si="14"/>
        <v>24.108</v>
      </c>
      <c r="U69" s="20">
        <f t="shared" si="15"/>
        <v>29.892</v>
      </c>
      <c r="V69" s="21">
        <f t="shared" si="16"/>
        <v>718731.804</v>
      </c>
      <c r="W69" s="18">
        <f t="shared" si="17"/>
        <v>1070048.196</v>
      </c>
      <c r="X69" s="17">
        <f t="shared" si="18"/>
        <v>1024847.22</v>
      </c>
      <c r="Y69" s="15"/>
    </row>
    <row r="70">
      <c r="A70" s="16" t="s">
        <v>132</v>
      </c>
      <c r="B70" s="17" t="str">
        <f>IFERROR(__xludf.DUMMYFUNCTION("split(A70,""//"")"),"Month3 ")</f>
        <v>Month3 </v>
      </c>
      <c r="C70" s="17" t="str">
        <f>IFERROR(__xludf.DUMMYFUNCTION("""COMPUTED_VALUE"""),"City_Pune")</f>
        <v>City_Pune</v>
      </c>
      <c r="D70" s="17" t="str">
        <f>IFERROR(__xludf.DUMMYFUNCTION("""COMPUTED_VALUE"""),"PRD-ZestVita")</f>
        <v>PRD-ZestVita</v>
      </c>
      <c r="E70" s="17" t="str">
        <f>IFERROR(__xludf.DUMMYFUNCTION("""COMPUTED_VALUE"""),"OPQ  18789")</f>
        <v>OPQ  18789</v>
      </c>
      <c r="F70" s="17" t="str">
        <f>IFERROR(__xludf.DUMMYFUNCTION("""COMPUTED_VALUE"""),"NPQ[IPLMARKETTING]23110")</f>
        <v>NPQ[IPLMARKETTING]23110</v>
      </c>
      <c r="G70" s="18">
        <f t="shared" si="1"/>
        <v>3</v>
      </c>
      <c r="H70" s="17" t="str">
        <f t="shared" si="2"/>
        <v>March</v>
      </c>
      <c r="I70" s="17" t="str">
        <f t="shared" si="3"/>
        <v>Pune</v>
      </c>
      <c r="J70" s="17" t="str">
        <f t="shared" si="4"/>
        <v>ZestVita</v>
      </c>
      <c r="K70" s="18">
        <f t="shared" si="5"/>
        <v>18789</v>
      </c>
      <c r="L70" s="18">
        <f t="shared" si="6"/>
        <v>23110</v>
      </c>
      <c r="M70" s="17">
        <f t="shared" si="7"/>
        <v>135</v>
      </c>
      <c r="N70" s="18">
        <f t="shared" si="8"/>
        <v>2536515</v>
      </c>
      <c r="O70" s="17" t="str">
        <f t="shared" si="9"/>
        <v>West</v>
      </c>
      <c r="P70" s="17" t="str">
        <f t="shared" si="10"/>
        <v>Ajay Ghosh</v>
      </c>
      <c r="Q70" s="19">
        <f t="shared" si="11"/>
        <v>0</v>
      </c>
      <c r="R70" s="18">
        <f t="shared" si="12"/>
        <v>2536515</v>
      </c>
      <c r="S70" s="18">
        <f t="shared" si="13"/>
        <v>3119850</v>
      </c>
      <c r="T70" s="20">
        <f t="shared" si="14"/>
        <v>55.84</v>
      </c>
      <c r="U70" s="20">
        <f t="shared" si="15"/>
        <v>73.16</v>
      </c>
      <c r="V70" s="21">
        <f t="shared" si="16"/>
        <v>1049177.76</v>
      </c>
      <c r="W70" s="18">
        <f t="shared" si="17"/>
        <v>1487337.24</v>
      </c>
      <c r="X70" s="17">
        <f t="shared" si="18"/>
        <v>1690727.6</v>
      </c>
      <c r="Y70" s="15"/>
    </row>
    <row r="71">
      <c r="A71" s="16" t="s">
        <v>133</v>
      </c>
      <c r="B71" s="17" t="str">
        <f>IFERROR(__xludf.DUMMYFUNCTION("split(A71,""//"")"),"Month3 ")</f>
        <v>Month3 </v>
      </c>
      <c r="C71" s="17" t="str">
        <f>IFERROR(__xludf.DUMMYFUNCTION("""COMPUTED_VALUE"""),"City_Pune")</f>
        <v>City_Pune</v>
      </c>
      <c r="D71" s="17" t="str">
        <f>IFERROR(__xludf.DUMMYFUNCTION("""COMPUTED_VALUE"""),"PRD-NutriKid")</f>
        <v>PRD-NutriKid</v>
      </c>
      <c r="E71" s="17" t="str">
        <f>IFERROR(__xludf.DUMMYFUNCTION("""COMPUTED_VALUE"""),"OPQ  21999")</f>
        <v>OPQ  21999</v>
      </c>
      <c r="F71" s="17" t="str">
        <f>IFERROR(__xludf.DUMMYFUNCTION("""COMPUTED_VALUE"""),"NPQ[IPLMARKETTING]24199")</f>
        <v>NPQ[IPLMARKETTING]24199</v>
      </c>
      <c r="G71" s="18">
        <f t="shared" si="1"/>
        <v>3</v>
      </c>
      <c r="H71" s="17" t="str">
        <f t="shared" si="2"/>
        <v>March</v>
      </c>
      <c r="I71" s="17" t="str">
        <f t="shared" si="3"/>
        <v>Pune</v>
      </c>
      <c r="J71" s="17" t="str">
        <f t="shared" si="4"/>
        <v>NutriKid</v>
      </c>
      <c r="K71" s="18">
        <f t="shared" si="5"/>
        <v>21999</v>
      </c>
      <c r="L71" s="18">
        <f t="shared" si="6"/>
        <v>24199</v>
      </c>
      <c r="M71" s="17">
        <f t="shared" si="7"/>
        <v>60</v>
      </c>
      <c r="N71" s="18">
        <f t="shared" si="8"/>
        <v>1319940</v>
      </c>
      <c r="O71" s="17" t="str">
        <f t="shared" si="9"/>
        <v>West</v>
      </c>
      <c r="P71" s="17" t="str">
        <f t="shared" si="10"/>
        <v>Ajay Ghosh</v>
      </c>
      <c r="Q71" s="19">
        <f t="shared" si="11"/>
        <v>0</v>
      </c>
      <c r="R71" s="18">
        <f t="shared" si="12"/>
        <v>1319940</v>
      </c>
      <c r="S71" s="18">
        <f t="shared" si="13"/>
        <v>1451940</v>
      </c>
      <c r="T71" s="20">
        <f t="shared" si="14"/>
        <v>24.108</v>
      </c>
      <c r="U71" s="20">
        <f t="shared" si="15"/>
        <v>29.892</v>
      </c>
      <c r="V71" s="21">
        <f t="shared" si="16"/>
        <v>530351.892</v>
      </c>
      <c r="W71" s="18">
        <f t="shared" si="17"/>
        <v>789588.108</v>
      </c>
      <c r="X71" s="17">
        <f t="shared" si="18"/>
        <v>723356.508</v>
      </c>
      <c r="Y71" s="15"/>
    </row>
    <row r="72">
      <c r="A72" s="16" t="s">
        <v>134</v>
      </c>
      <c r="B72" s="17" t="str">
        <f>IFERROR(__xludf.DUMMYFUNCTION("split(A72,""//"")"),"Month3 ")</f>
        <v>Month3 </v>
      </c>
      <c r="C72" s="17" t="str">
        <f>IFERROR(__xludf.DUMMYFUNCTION("""COMPUTED_VALUE"""),"City_Bengaluru")</f>
        <v>City_Bengaluru</v>
      </c>
      <c r="D72" s="17" t="str">
        <f>IFERROR(__xludf.DUMMYFUNCTION("""COMPUTED_VALUE"""),"PRD-ZestVita")</f>
        <v>PRD-ZestVita</v>
      </c>
      <c r="E72" s="17" t="str">
        <f>IFERROR(__xludf.DUMMYFUNCTION("""COMPUTED_VALUE"""),"OPQ  34569")</f>
        <v>OPQ  34569</v>
      </c>
      <c r="F72" s="17" t="str">
        <f>IFERROR(__xludf.DUMMYFUNCTION("""COMPUTED_VALUE"""),"NPQ[IPLMARKETTING]41483")</f>
        <v>NPQ[IPLMARKETTING]41483</v>
      </c>
      <c r="G72" s="18">
        <f t="shared" si="1"/>
        <v>3</v>
      </c>
      <c r="H72" s="17" t="str">
        <f t="shared" si="2"/>
        <v>March</v>
      </c>
      <c r="I72" s="17" t="str">
        <f t="shared" si="3"/>
        <v>Bengaluru</v>
      </c>
      <c r="J72" s="17" t="str">
        <f t="shared" si="4"/>
        <v>ZestVita</v>
      </c>
      <c r="K72" s="18">
        <f t="shared" si="5"/>
        <v>34569</v>
      </c>
      <c r="L72" s="18">
        <f t="shared" si="6"/>
        <v>41483</v>
      </c>
      <c r="M72" s="17">
        <f t="shared" si="7"/>
        <v>135</v>
      </c>
      <c r="N72" s="18">
        <f t="shared" si="8"/>
        <v>4666815</v>
      </c>
      <c r="O72" s="17" t="str">
        <f t="shared" si="9"/>
        <v>South</v>
      </c>
      <c r="P72" s="17" t="str">
        <f t="shared" si="10"/>
        <v>Anjali Krishna Murthy</v>
      </c>
      <c r="Q72" s="19">
        <f t="shared" si="11"/>
        <v>0</v>
      </c>
      <c r="R72" s="18">
        <f t="shared" si="12"/>
        <v>4666815</v>
      </c>
      <c r="S72" s="18">
        <f t="shared" si="13"/>
        <v>5600205</v>
      </c>
      <c r="T72" s="20">
        <f t="shared" si="14"/>
        <v>55.84</v>
      </c>
      <c r="U72" s="20">
        <f t="shared" si="15"/>
        <v>73.16</v>
      </c>
      <c r="V72" s="21">
        <f t="shared" si="16"/>
        <v>1930332.96</v>
      </c>
      <c r="W72" s="18">
        <f t="shared" si="17"/>
        <v>2736482.04</v>
      </c>
      <c r="X72" s="17">
        <f t="shared" si="18"/>
        <v>3034896.28</v>
      </c>
      <c r="Y72" s="15"/>
    </row>
    <row r="73">
      <c r="A73" s="16" t="s">
        <v>135</v>
      </c>
      <c r="B73" s="17" t="str">
        <f>IFERROR(__xludf.DUMMYFUNCTION("split(A73,""//"")"),"Month3 ")</f>
        <v>Month3 </v>
      </c>
      <c r="C73" s="17" t="str">
        <f>IFERROR(__xludf.DUMMYFUNCTION("""COMPUTED_VALUE"""),"City_Bengaluru")</f>
        <v>City_Bengaluru</v>
      </c>
      <c r="D73" s="17" t="str">
        <f>IFERROR(__xludf.DUMMYFUNCTION("""COMPUTED_VALUE"""),"PRD-NutriKid")</f>
        <v>PRD-NutriKid</v>
      </c>
      <c r="E73" s="17" t="str">
        <f>IFERROR(__xludf.DUMMYFUNCTION("""COMPUTED_VALUE"""),"OPQ  18435")</f>
        <v>OPQ  18435</v>
      </c>
      <c r="F73" s="17" t="str">
        <f>IFERROR(__xludf.DUMMYFUNCTION("""COMPUTED_VALUE"""),"NPQ[IPLMARKETTING]22306")</f>
        <v>NPQ[IPLMARKETTING]22306</v>
      </c>
      <c r="G73" s="18">
        <f t="shared" si="1"/>
        <v>3</v>
      </c>
      <c r="H73" s="17" t="str">
        <f t="shared" si="2"/>
        <v>March</v>
      </c>
      <c r="I73" s="17" t="str">
        <f t="shared" si="3"/>
        <v>Bengaluru</v>
      </c>
      <c r="J73" s="17" t="str">
        <f t="shared" si="4"/>
        <v>NutriKid</v>
      </c>
      <c r="K73" s="18">
        <f t="shared" si="5"/>
        <v>18435</v>
      </c>
      <c r="L73" s="18">
        <f t="shared" si="6"/>
        <v>22306</v>
      </c>
      <c r="M73" s="17">
        <f t="shared" si="7"/>
        <v>60</v>
      </c>
      <c r="N73" s="18">
        <f t="shared" si="8"/>
        <v>1106100</v>
      </c>
      <c r="O73" s="17" t="str">
        <f t="shared" si="9"/>
        <v>South</v>
      </c>
      <c r="P73" s="17" t="str">
        <f t="shared" si="10"/>
        <v>Anjali Krishna Murthy</v>
      </c>
      <c r="Q73" s="19">
        <f t="shared" si="11"/>
        <v>0</v>
      </c>
      <c r="R73" s="18">
        <f t="shared" si="12"/>
        <v>1106100</v>
      </c>
      <c r="S73" s="18">
        <f t="shared" si="13"/>
        <v>1338360</v>
      </c>
      <c r="T73" s="20">
        <f t="shared" si="14"/>
        <v>24.108</v>
      </c>
      <c r="U73" s="20">
        <f t="shared" si="15"/>
        <v>29.892</v>
      </c>
      <c r="V73" s="21">
        <f t="shared" si="16"/>
        <v>444430.98</v>
      </c>
      <c r="W73" s="18">
        <f t="shared" si="17"/>
        <v>661669.02</v>
      </c>
      <c r="X73" s="17">
        <f t="shared" si="18"/>
        <v>666770.952</v>
      </c>
      <c r="Y73" s="15"/>
    </row>
    <row r="74">
      <c r="A74" s="16" t="s">
        <v>136</v>
      </c>
      <c r="B74" s="17" t="str">
        <f>IFERROR(__xludf.DUMMYFUNCTION("split(A74,""//"")"),"Month3 ")</f>
        <v>Month3 </v>
      </c>
      <c r="C74" s="17" t="str">
        <f>IFERROR(__xludf.DUMMYFUNCTION("""COMPUTED_VALUE"""),"City_Chandigarh")</f>
        <v>City_Chandigarh</v>
      </c>
      <c r="D74" s="17" t="str">
        <f>IFERROR(__xludf.DUMMYFUNCTION("""COMPUTED_VALUE"""),"PRD-ZestVita")</f>
        <v>PRD-ZestVita</v>
      </c>
      <c r="E74" s="17" t="str">
        <f>IFERROR(__xludf.DUMMYFUNCTION("""COMPUTED_VALUE"""),"OPQ  29920")</f>
        <v>OPQ  29920</v>
      </c>
      <c r="F74" s="17" t="str">
        <f>IFERROR(__xludf.DUMMYFUNCTION("""COMPUTED_VALUE"""),"NPQ[IPLMARKETTING]37101")</f>
        <v>NPQ[IPLMARKETTING]37101</v>
      </c>
      <c r="G74" s="18">
        <f t="shared" si="1"/>
        <v>3</v>
      </c>
      <c r="H74" s="17" t="str">
        <f t="shared" si="2"/>
        <v>March</v>
      </c>
      <c r="I74" s="17" t="str">
        <f t="shared" si="3"/>
        <v>Chandigarh</v>
      </c>
      <c r="J74" s="17" t="str">
        <f t="shared" si="4"/>
        <v>ZestVita</v>
      </c>
      <c r="K74" s="18">
        <f t="shared" si="5"/>
        <v>29920</v>
      </c>
      <c r="L74" s="18">
        <f t="shared" si="6"/>
        <v>37101</v>
      </c>
      <c r="M74" s="17">
        <f t="shared" si="7"/>
        <v>135</v>
      </c>
      <c r="N74" s="18">
        <f t="shared" si="8"/>
        <v>4039200</v>
      </c>
      <c r="O74" s="17" t="str">
        <f t="shared" si="9"/>
        <v>North</v>
      </c>
      <c r="P74" s="17" t="str">
        <f t="shared" si="10"/>
        <v>Ajay Kumar</v>
      </c>
      <c r="Q74" s="19">
        <f t="shared" si="11"/>
        <v>0</v>
      </c>
      <c r="R74" s="18">
        <f t="shared" si="12"/>
        <v>4039200</v>
      </c>
      <c r="S74" s="18">
        <f t="shared" si="13"/>
        <v>5008635</v>
      </c>
      <c r="T74" s="20">
        <f t="shared" si="14"/>
        <v>55.84</v>
      </c>
      <c r="U74" s="20">
        <f t="shared" si="15"/>
        <v>73.16</v>
      </c>
      <c r="V74" s="21">
        <f t="shared" si="16"/>
        <v>1670732.8</v>
      </c>
      <c r="W74" s="18">
        <f t="shared" si="17"/>
        <v>2368467.2</v>
      </c>
      <c r="X74" s="17">
        <f t="shared" si="18"/>
        <v>2714309.16</v>
      </c>
      <c r="Y74" s="15"/>
    </row>
    <row r="75">
      <c r="A75" s="16" t="s">
        <v>137</v>
      </c>
      <c r="B75" s="17" t="str">
        <f>IFERROR(__xludf.DUMMYFUNCTION("split(A75,""//"")"),"Month3 ")</f>
        <v>Month3 </v>
      </c>
      <c r="C75" s="17" t="str">
        <f>IFERROR(__xludf.DUMMYFUNCTION("""COMPUTED_VALUE"""),"City_Chandigarh")</f>
        <v>City_Chandigarh</v>
      </c>
      <c r="D75" s="17" t="str">
        <f>IFERROR(__xludf.DUMMYFUNCTION("""COMPUTED_VALUE"""),"PRD-NutriKid")</f>
        <v>PRD-NutriKid</v>
      </c>
      <c r="E75" s="17" t="str">
        <f>IFERROR(__xludf.DUMMYFUNCTION("""COMPUTED_VALUE"""),"OPQ  31783")</f>
        <v>OPQ  31783</v>
      </c>
      <c r="F75" s="17" t="str">
        <f>IFERROR(__xludf.DUMMYFUNCTION("""COMPUTED_VALUE"""),"NPQ[IPLMARKETTING]37504")</f>
        <v>NPQ[IPLMARKETTING]37504</v>
      </c>
      <c r="G75" s="18">
        <f t="shared" si="1"/>
        <v>3</v>
      </c>
      <c r="H75" s="17" t="str">
        <f t="shared" si="2"/>
        <v>March</v>
      </c>
      <c r="I75" s="17" t="str">
        <f t="shared" si="3"/>
        <v>Chandigarh</v>
      </c>
      <c r="J75" s="17" t="str">
        <f t="shared" si="4"/>
        <v>NutriKid</v>
      </c>
      <c r="K75" s="18">
        <f t="shared" si="5"/>
        <v>31783</v>
      </c>
      <c r="L75" s="18">
        <f t="shared" si="6"/>
        <v>37504</v>
      </c>
      <c r="M75" s="17">
        <f t="shared" si="7"/>
        <v>60</v>
      </c>
      <c r="N75" s="18">
        <f t="shared" si="8"/>
        <v>1906980</v>
      </c>
      <c r="O75" s="17" t="str">
        <f t="shared" si="9"/>
        <v>North</v>
      </c>
      <c r="P75" s="17" t="str">
        <f t="shared" si="10"/>
        <v>Ajay Kumar</v>
      </c>
      <c r="Q75" s="19">
        <f t="shared" si="11"/>
        <v>0</v>
      </c>
      <c r="R75" s="18">
        <f t="shared" si="12"/>
        <v>1906980</v>
      </c>
      <c r="S75" s="18">
        <f t="shared" si="13"/>
        <v>2250240</v>
      </c>
      <c r="T75" s="20">
        <f t="shared" si="14"/>
        <v>24.108</v>
      </c>
      <c r="U75" s="20">
        <f t="shared" si="15"/>
        <v>29.892</v>
      </c>
      <c r="V75" s="21">
        <f t="shared" si="16"/>
        <v>766224.564</v>
      </c>
      <c r="W75" s="18">
        <f t="shared" si="17"/>
        <v>1140755.436</v>
      </c>
      <c r="X75" s="17">
        <f t="shared" si="18"/>
        <v>1121069.568</v>
      </c>
      <c r="Y75" s="15"/>
    </row>
    <row r="76">
      <c r="A76" s="16" t="s">
        <v>138</v>
      </c>
      <c r="B76" s="17" t="str">
        <f>IFERROR(__xludf.DUMMYFUNCTION("split(A76,""//"")"),"Month3 ")</f>
        <v>Month3 </v>
      </c>
      <c r="C76" s="17" t="str">
        <f>IFERROR(__xludf.DUMMYFUNCTION("""COMPUTED_VALUE"""),"City_Bhubaneswar")</f>
        <v>City_Bhubaneswar</v>
      </c>
      <c r="D76" s="17" t="str">
        <f>IFERROR(__xludf.DUMMYFUNCTION("""COMPUTED_VALUE"""),"PRD-ZestVita")</f>
        <v>PRD-ZestVita</v>
      </c>
      <c r="E76" s="17" t="str">
        <f>IFERROR(__xludf.DUMMYFUNCTION("""COMPUTED_VALUE"""),"OPQ  14433")</f>
        <v>OPQ  14433</v>
      </c>
      <c r="F76" s="17" t="str">
        <f>IFERROR(__xludf.DUMMYFUNCTION("""COMPUTED_VALUE"""),"NPQ[IPLMARKETTING]14866")</f>
        <v>NPQ[IPLMARKETTING]14866</v>
      </c>
      <c r="G76" s="18">
        <f t="shared" si="1"/>
        <v>3</v>
      </c>
      <c r="H76" s="17" t="str">
        <f t="shared" si="2"/>
        <v>March</v>
      </c>
      <c r="I76" s="17" t="str">
        <f t="shared" si="3"/>
        <v>Bhubaneswar</v>
      </c>
      <c r="J76" s="17" t="str">
        <f t="shared" si="4"/>
        <v>ZestVita</v>
      </c>
      <c r="K76" s="18">
        <f t="shared" si="5"/>
        <v>14433</v>
      </c>
      <c r="L76" s="18">
        <f t="shared" si="6"/>
        <v>14866</v>
      </c>
      <c r="M76" s="17">
        <f t="shared" si="7"/>
        <v>135</v>
      </c>
      <c r="N76" s="18">
        <f t="shared" si="8"/>
        <v>1948455</v>
      </c>
      <c r="O76" s="17" t="str">
        <f t="shared" si="9"/>
        <v>East</v>
      </c>
      <c r="P76" s="17" t="str">
        <f t="shared" si="10"/>
        <v>Tanvi Sharma</v>
      </c>
      <c r="Q76" s="19">
        <f t="shared" si="11"/>
        <v>0.125</v>
      </c>
      <c r="R76" s="17">
        <f t="shared" si="12"/>
        <v>1704898.125</v>
      </c>
      <c r="S76" s="18">
        <f t="shared" si="13"/>
        <v>2006910</v>
      </c>
      <c r="T76" s="20">
        <f t="shared" si="14"/>
        <v>55.84</v>
      </c>
      <c r="U76" s="20">
        <f t="shared" si="15"/>
        <v>73.16</v>
      </c>
      <c r="V76" s="21">
        <f t="shared" si="16"/>
        <v>805938.72</v>
      </c>
      <c r="W76" s="21">
        <f t="shared" si="17"/>
        <v>898959.405</v>
      </c>
      <c r="X76" s="17">
        <f t="shared" si="18"/>
        <v>1087596.56</v>
      </c>
      <c r="Y76" s="15"/>
    </row>
    <row r="77">
      <c r="A77" s="16" t="s">
        <v>139</v>
      </c>
      <c r="B77" s="17" t="str">
        <f>IFERROR(__xludf.DUMMYFUNCTION("split(A77,""//"")"),"Month3 ")</f>
        <v>Month3 </v>
      </c>
      <c r="C77" s="17" t="str">
        <f>IFERROR(__xludf.DUMMYFUNCTION("""COMPUTED_VALUE"""),"City_Bhubaneswar")</f>
        <v>City_Bhubaneswar</v>
      </c>
      <c r="D77" s="17" t="str">
        <f>IFERROR(__xludf.DUMMYFUNCTION("""COMPUTED_VALUE"""),"PRD-NutriKid")</f>
        <v>PRD-NutriKid</v>
      </c>
      <c r="E77" s="17" t="str">
        <f>IFERROR(__xludf.DUMMYFUNCTION("""COMPUTED_VALUE"""),"OPQ  19294")</f>
        <v>OPQ  19294</v>
      </c>
      <c r="F77" s="17" t="str">
        <f>IFERROR(__xludf.DUMMYFUNCTION("""COMPUTED_VALUE"""),"NPQ[IPLMARKETTING]19680")</f>
        <v>NPQ[IPLMARKETTING]19680</v>
      </c>
      <c r="G77" s="18">
        <f t="shared" si="1"/>
        <v>3</v>
      </c>
      <c r="H77" s="17" t="str">
        <f t="shared" si="2"/>
        <v>March</v>
      </c>
      <c r="I77" s="17" t="str">
        <f t="shared" si="3"/>
        <v>Bhubaneswar</v>
      </c>
      <c r="J77" s="17" t="str">
        <f t="shared" si="4"/>
        <v>NutriKid</v>
      </c>
      <c r="K77" s="18">
        <f t="shared" si="5"/>
        <v>19294</v>
      </c>
      <c r="L77" s="18">
        <f t="shared" si="6"/>
        <v>19680</v>
      </c>
      <c r="M77" s="17">
        <f t="shared" si="7"/>
        <v>60</v>
      </c>
      <c r="N77" s="18">
        <f t="shared" si="8"/>
        <v>1157640</v>
      </c>
      <c r="O77" s="17" t="str">
        <f t="shared" si="9"/>
        <v>East</v>
      </c>
      <c r="P77" s="17" t="str">
        <f t="shared" si="10"/>
        <v>Tanvi Sharma</v>
      </c>
      <c r="Q77" s="19">
        <f t="shared" si="11"/>
        <v>0.125</v>
      </c>
      <c r="R77" s="17">
        <f t="shared" si="12"/>
        <v>1012935</v>
      </c>
      <c r="S77" s="18">
        <f t="shared" si="13"/>
        <v>1180800</v>
      </c>
      <c r="T77" s="20">
        <f t="shared" si="14"/>
        <v>24.108</v>
      </c>
      <c r="U77" s="20">
        <f t="shared" si="15"/>
        <v>29.892</v>
      </c>
      <c r="V77" s="21">
        <f t="shared" si="16"/>
        <v>465139.752</v>
      </c>
      <c r="W77" s="21">
        <f t="shared" si="17"/>
        <v>547795.248</v>
      </c>
      <c r="X77" s="17">
        <f t="shared" si="18"/>
        <v>588274.56</v>
      </c>
      <c r="Y77" s="15"/>
    </row>
    <row r="78">
      <c r="A78" s="16" t="s">
        <v>140</v>
      </c>
      <c r="B78" s="17" t="str">
        <f>IFERROR(__xludf.DUMMYFUNCTION("split(A78,""//"")"),"Month3 ")</f>
        <v>Month3 </v>
      </c>
      <c r="C78" s="17" t="str">
        <f>IFERROR(__xludf.DUMMYFUNCTION("""COMPUTED_VALUE"""),"City_Ahmedabad ")</f>
        <v>City_Ahmedabad </v>
      </c>
      <c r="D78" s="17" t="str">
        <f>IFERROR(__xludf.DUMMYFUNCTION("""COMPUTED_VALUE"""),"PRD-ZestVita")</f>
        <v>PRD-ZestVita</v>
      </c>
      <c r="E78" s="17" t="str">
        <f>IFERROR(__xludf.DUMMYFUNCTION("""COMPUTED_VALUE"""),"OPQ  26741")</f>
        <v>OPQ  26741</v>
      </c>
      <c r="F78" s="17" t="str">
        <f>IFERROR(__xludf.DUMMYFUNCTION("""COMPUTED_VALUE"""),"NPQ[IPLMARKETTING]32624")</f>
        <v>NPQ[IPLMARKETTING]32624</v>
      </c>
      <c r="G78" s="18">
        <f t="shared" si="1"/>
        <v>3</v>
      </c>
      <c r="H78" s="17" t="str">
        <f t="shared" si="2"/>
        <v>March</v>
      </c>
      <c r="I78" s="17" t="str">
        <f t="shared" si="3"/>
        <v>Ahmedabad </v>
      </c>
      <c r="J78" s="17" t="str">
        <f t="shared" si="4"/>
        <v>ZestVita</v>
      </c>
      <c r="K78" s="18">
        <f t="shared" si="5"/>
        <v>26741</v>
      </c>
      <c r="L78" s="18">
        <f t="shared" si="6"/>
        <v>32624</v>
      </c>
      <c r="M78" s="17">
        <f t="shared" si="7"/>
        <v>135</v>
      </c>
      <c r="N78" s="18">
        <f t="shared" si="8"/>
        <v>3610035</v>
      </c>
      <c r="O78" s="17" t="str">
        <f t="shared" si="9"/>
        <v>West</v>
      </c>
      <c r="P78" s="17" t="str">
        <f t="shared" si="10"/>
        <v>Ajay Ghosh</v>
      </c>
      <c r="Q78" s="19">
        <f t="shared" si="11"/>
        <v>0</v>
      </c>
      <c r="R78" s="18">
        <f t="shared" si="12"/>
        <v>3610035</v>
      </c>
      <c r="S78" s="18">
        <f t="shared" si="13"/>
        <v>4404240</v>
      </c>
      <c r="T78" s="20">
        <f t="shared" si="14"/>
        <v>55.84</v>
      </c>
      <c r="U78" s="20">
        <f t="shared" si="15"/>
        <v>73.16</v>
      </c>
      <c r="V78" s="21">
        <f t="shared" si="16"/>
        <v>1493217.44</v>
      </c>
      <c r="W78" s="18">
        <f t="shared" si="17"/>
        <v>2116817.56</v>
      </c>
      <c r="X78" s="17">
        <f t="shared" si="18"/>
        <v>2386771.84</v>
      </c>
      <c r="Y78" s="15"/>
    </row>
    <row r="79">
      <c r="A79" s="16" t="s">
        <v>141</v>
      </c>
      <c r="B79" s="17" t="str">
        <f>IFERROR(__xludf.DUMMYFUNCTION("split(A79,""//"")"),"Month3 ")</f>
        <v>Month3 </v>
      </c>
      <c r="C79" s="17" t="str">
        <f>IFERROR(__xludf.DUMMYFUNCTION("""COMPUTED_VALUE"""),"City_Ahmedabad ")</f>
        <v>City_Ahmedabad </v>
      </c>
      <c r="D79" s="17" t="str">
        <f>IFERROR(__xludf.DUMMYFUNCTION("""COMPUTED_VALUE"""),"PRD-NutriKid")</f>
        <v>PRD-NutriKid</v>
      </c>
      <c r="E79" s="17" t="str">
        <f>IFERROR(__xludf.DUMMYFUNCTION("""COMPUTED_VALUE"""),"OPQ  15153")</f>
        <v>OPQ  15153</v>
      </c>
      <c r="F79" s="17" t="str">
        <f>IFERROR(__xludf.DUMMYFUNCTION("""COMPUTED_VALUE"""),"NPQ[IPLMARKETTING]18941")</f>
        <v>NPQ[IPLMARKETTING]18941</v>
      </c>
      <c r="G79" s="18">
        <f t="shared" si="1"/>
        <v>3</v>
      </c>
      <c r="H79" s="17" t="str">
        <f t="shared" si="2"/>
        <v>March</v>
      </c>
      <c r="I79" s="17" t="str">
        <f t="shared" si="3"/>
        <v>Ahmedabad </v>
      </c>
      <c r="J79" s="17" t="str">
        <f t="shared" si="4"/>
        <v>NutriKid</v>
      </c>
      <c r="K79" s="18">
        <f t="shared" si="5"/>
        <v>15153</v>
      </c>
      <c r="L79" s="18">
        <f t="shared" si="6"/>
        <v>18941</v>
      </c>
      <c r="M79" s="17">
        <f t="shared" si="7"/>
        <v>60</v>
      </c>
      <c r="N79" s="18">
        <f t="shared" si="8"/>
        <v>909180</v>
      </c>
      <c r="O79" s="17" t="str">
        <f t="shared" si="9"/>
        <v>West</v>
      </c>
      <c r="P79" s="17" t="str">
        <f t="shared" si="10"/>
        <v>Ajay Ghosh</v>
      </c>
      <c r="Q79" s="19">
        <f t="shared" si="11"/>
        <v>0</v>
      </c>
      <c r="R79" s="18">
        <f t="shared" si="12"/>
        <v>909180</v>
      </c>
      <c r="S79" s="18">
        <f t="shared" si="13"/>
        <v>1136460</v>
      </c>
      <c r="T79" s="20">
        <f t="shared" si="14"/>
        <v>24.108</v>
      </c>
      <c r="U79" s="20">
        <f t="shared" si="15"/>
        <v>29.892</v>
      </c>
      <c r="V79" s="21">
        <f t="shared" si="16"/>
        <v>365308.524</v>
      </c>
      <c r="W79" s="18">
        <f t="shared" si="17"/>
        <v>543871.476</v>
      </c>
      <c r="X79" s="17">
        <f t="shared" si="18"/>
        <v>566184.372</v>
      </c>
      <c r="Y79" s="15"/>
    </row>
    <row r="80">
      <c r="A80" s="16" t="s">
        <v>142</v>
      </c>
      <c r="B80" s="17" t="str">
        <f>IFERROR(__xludf.DUMMYFUNCTION("split(A80,""//"")"),"Month3 ")</f>
        <v>Month3 </v>
      </c>
      <c r="C80" s="17" t="str">
        <f>IFERROR(__xludf.DUMMYFUNCTION("""COMPUTED_VALUE"""),"City_Chennai")</f>
        <v>City_Chennai</v>
      </c>
      <c r="D80" s="17" t="str">
        <f>IFERROR(__xludf.DUMMYFUNCTION("""COMPUTED_VALUE"""),"PRD-ZestVita")</f>
        <v>PRD-ZestVita</v>
      </c>
      <c r="E80" s="17" t="str">
        <f>IFERROR(__xludf.DUMMYFUNCTION("""COMPUTED_VALUE"""),"OPQ  16653")</f>
        <v>OPQ  16653</v>
      </c>
      <c r="F80" s="17" t="str">
        <f>IFERROR(__xludf.DUMMYFUNCTION("""COMPUTED_VALUE"""),"NPQ[IPLMARKETTING]19484")</f>
        <v>NPQ[IPLMARKETTING]19484</v>
      </c>
      <c r="G80" s="18">
        <f t="shared" si="1"/>
        <v>3</v>
      </c>
      <c r="H80" s="17" t="str">
        <f t="shared" si="2"/>
        <v>March</v>
      </c>
      <c r="I80" s="17" t="str">
        <f t="shared" si="3"/>
        <v>Chennai</v>
      </c>
      <c r="J80" s="17" t="str">
        <f t="shared" si="4"/>
        <v>ZestVita</v>
      </c>
      <c r="K80" s="18">
        <f t="shared" si="5"/>
        <v>16653</v>
      </c>
      <c r="L80" s="18">
        <f t="shared" si="6"/>
        <v>19484</v>
      </c>
      <c r="M80" s="17">
        <f t="shared" si="7"/>
        <v>135</v>
      </c>
      <c r="N80" s="18">
        <f t="shared" si="8"/>
        <v>2248155</v>
      </c>
      <c r="O80" s="17" t="str">
        <f t="shared" si="9"/>
        <v>South</v>
      </c>
      <c r="P80" s="17" t="str">
        <f t="shared" si="10"/>
        <v>Anjali Krishna Murthy</v>
      </c>
      <c r="Q80" s="19">
        <f t="shared" si="11"/>
        <v>0</v>
      </c>
      <c r="R80" s="18">
        <f t="shared" si="12"/>
        <v>2248155</v>
      </c>
      <c r="S80" s="18">
        <f t="shared" si="13"/>
        <v>2630340</v>
      </c>
      <c r="T80" s="20">
        <f t="shared" si="14"/>
        <v>55.84</v>
      </c>
      <c r="U80" s="20">
        <f t="shared" si="15"/>
        <v>73.16</v>
      </c>
      <c r="V80" s="21">
        <f t="shared" si="16"/>
        <v>929903.52</v>
      </c>
      <c r="W80" s="18">
        <f t="shared" si="17"/>
        <v>1318251.48</v>
      </c>
      <c r="X80" s="17">
        <f t="shared" si="18"/>
        <v>1425449.44</v>
      </c>
      <c r="Y80" s="15"/>
    </row>
    <row r="81">
      <c r="A81" s="16" t="s">
        <v>143</v>
      </c>
      <c r="B81" s="17" t="str">
        <f>IFERROR(__xludf.DUMMYFUNCTION("split(A81,""//"")"),"Month3 ")</f>
        <v>Month3 </v>
      </c>
      <c r="C81" s="17" t="str">
        <f>IFERROR(__xludf.DUMMYFUNCTION("""COMPUTED_VALUE"""),"City_Chennai")</f>
        <v>City_Chennai</v>
      </c>
      <c r="D81" s="17" t="str">
        <f>IFERROR(__xludf.DUMMYFUNCTION("""COMPUTED_VALUE"""),"PRD-NutriKid")</f>
        <v>PRD-NutriKid</v>
      </c>
      <c r="E81" s="17" t="str">
        <f>IFERROR(__xludf.DUMMYFUNCTION("""COMPUTED_VALUE"""),"OPQ  17958")</f>
        <v>OPQ  17958</v>
      </c>
      <c r="F81" s="17" t="str">
        <f>IFERROR(__xludf.DUMMYFUNCTION("""COMPUTED_VALUE"""),"NPQ[IPLMARKETTING]20472")</f>
        <v>NPQ[IPLMARKETTING]20472</v>
      </c>
      <c r="G81" s="18">
        <f t="shared" si="1"/>
        <v>3</v>
      </c>
      <c r="H81" s="17" t="str">
        <f t="shared" si="2"/>
        <v>March</v>
      </c>
      <c r="I81" s="17" t="str">
        <f t="shared" si="3"/>
        <v>Chennai</v>
      </c>
      <c r="J81" s="17" t="str">
        <f t="shared" si="4"/>
        <v>NutriKid</v>
      </c>
      <c r="K81" s="18">
        <f t="shared" si="5"/>
        <v>17958</v>
      </c>
      <c r="L81" s="18">
        <f t="shared" si="6"/>
        <v>20472</v>
      </c>
      <c r="M81" s="17">
        <f t="shared" si="7"/>
        <v>60</v>
      </c>
      <c r="N81" s="18">
        <f t="shared" si="8"/>
        <v>1077480</v>
      </c>
      <c r="O81" s="17" t="str">
        <f t="shared" si="9"/>
        <v>South</v>
      </c>
      <c r="P81" s="17" t="str">
        <f t="shared" si="10"/>
        <v>Anjali Krishna Murthy</v>
      </c>
      <c r="Q81" s="19">
        <f t="shared" si="11"/>
        <v>0</v>
      </c>
      <c r="R81" s="18">
        <f t="shared" si="12"/>
        <v>1077480</v>
      </c>
      <c r="S81" s="18">
        <f t="shared" si="13"/>
        <v>1228320</v>
      </c>
      <c r="T81" s="20">
        <f t="shared" si="14"/>
        <v>24.108</v>
      </c>
      <c r="U81" s="20">
        <f t="shared" si="15"/>
        <v>29.892</v>
      </c>
      <c r="V81" s="21">
        <f t="shared" si="16"/>
        <v>432931.464</v>
      </c>
      <c r="W81" s="18">
        <f t="shared" si="17"/>
        <v>644548.536</v>
      </c>
      <c r="X81" s="17">
        <f t="shared" si="18"/>
        <v>611949.024</v>
      </c>
      <c r="Y81" s="15"/>
    </row>
    <row r="82">
      <c r="A82" s="16" t="s">
        <v>144</v>
      </c>
      <c r="B82" s="17" t="str">
        <f>IFERROR(__xludf.DUMMYFUNCTION("split(A82,""//"")"),"Month3 ")</f>
        <v>Month3 </v>
      </c>
      <c r="C82" s="17" t="str">
        <f>IFERROR(__xludf.DUMMYFUNCTION("""COMPUTED_VALUE"""),"City_Lucknow")</f>
        <v>City_Lucknow</v>
      </c>
      <c r="D82" s="17" t="str">
        <f>IFERROR(__xludf.DUMMYFUNCTION("""COMPUTED_VALUE"""),"PRD-ZestVita")</f>
        <v>PRD-ZestVita</v>
      </c>
      <c r="E82" s="17" t="str">
        <f>IFERROR(__xludf.DUMMYFUNCTION("""COMPUTED_VALUE"""),"OPQ  23930")</f>
        <v>OPQ  23930</v>
      </c>
      <c r="F82" s="17" t="str">
        <f>IFERROR(__xludf.DUMMYFUNCTION("""COMPUTED_VALUE"""),"NPQ[IPLMARKETTING]29673")</f>
        <v>NPQ[IPLMARKETTING]29673</v>
      </c>
      <c r="G82" s="18">
        <f t="shared" si="1"/>
        <v>3</v>
      </c>
      <c r="H82" s="17" t="str">
        <f t="shared" si="2"/>
        <v>March</v>
      </c>
      <c r="I82" s="17" t="str">
        <f t="shared" si="3"/>
        <v>Lucknow</v>
      </c>
      <c r="J82" s="17" t="str">
        <f t="shared" si="4"/>
        <v>ZestVita</v>
      </c>
      <c r="K82" s="18">
        <f t="shared" si="5"/>
        <v>23930</v>
      </c>
      <c r="L82" s="18">
        <f t="shared" si="6"/>
        <v>29673</v>
      </c>
      <c r="M82" s="17">
        <f t="shared" si="7"/>
        <v>135</v>
      </c>
      <c r="N82" s="18">
        <f t="shared" si="8"/>
        <v>3230550</v>
      </c>
      <c r="O82" s="17" t="str">
        <f t="shared" si="9"/>
        <v>North</v>
      </c>
      <c r="P82" s="17" t="str">
        <f t="shared" si="10"/>
        <v>Ajay Kumar</v>
      </c>
      <c r="Q82" s="19">
        <f t="shared" si="11"/>
        <v>0.1</v>
      </c>
      <c r="R82" s="17">
        <f t="shared" si="12"/>
        <v>2907495</v>
      </c>
      <c r="S82" s="18">
        <f t="shared" si="13"/>
        <v>4005855</v>
      </c>
      <c r="T82" s="20">
        <f t="shared" si="14"/>
        <v>55.84</v>
      </c>
      <c r="U82" s="20">
        <f t="shared" si="15"/>
        <v>73.16</v>
      </c>
      <c r="V82" s="21">
        <f t="shared" si="16"/>
        <v>1336251.2</v>
      </c>
      <c r="W82" s="21">
        <f t="shared" si="17"/>
        <v>1571243.8</v>
      </c>
      <c r="X82" s="17">
        <f t="shared" si="18"/>
        <v>2170876.68</v>
      </c>
      <c r="Y82" s="15"/>
    </row>
    <row r="83">
      <c r="A83" s="16" t="s">
        <v>145</v>
      </c>
      <c r="B83" s="17" t="str">
        <f>IFERROR(__xludf.DUMMYFUNCTION("split(A83,""//"")"),"Month3 ")</f>
        <v>Month3 </v>
      </c>
      <c r="C83" s="17" t="str">
        <f>IFERROR(__xludf.DUMMYFUNCTION("""COMPUTED_VALUE"""),"City_Lucknow")</f>
        <v>City_Lucknow</v>
      </c>
      <c r="D83" s="17" t="str">
        <f>IFERROR(__xludf.DUMMYFUNCTION("""COMPUTED_VALUE"""),"PRD-NutriKid")</f>
        <v>PRD-NutriKid</v>
      </c>
      <c r="E83" s="17" t="str">
        <f>IFERROR(__xludf.DUMMYFUNCTION("""COMPUTED_VALUE"""),"OPQ  21340")</f>
        <v>OPQ  21340</v>
      </c>
      <c r="F83" s="17" t="str">
        <f>IFERROR(__xludf.DUMMYFUNCTION("""COMPUTED_VALUE"""),"NPQ[IPLMARKETTING]25181")</f>
        <v>NPQ[IPLMARKETTING]25181</v>
      </c>
      <c r="G83" s="18">
        <f t="shared" si="1"/>
        <v>3</v>
      </c>
      <c r="H83" s="17" t="str">
        <f t="shared" si="2"/>
        <v>March</v>
      </c>
      <c r="I83" s="17" t="str">
        <f t="shared" si="3"/>
        <v>Lucknow</v>
      </c>
      <c r="J83" s="17" t="str">
        <f t="shared" si="4"/>
        <v>NutriKid</v>
      </c>
      <c r="K83" s="18">
        <f t="shared" si="5"/>
        <v>21340</v>
      </c>
      <c r="L83" s="18">
        <f t="shared" si="6"/>
        <v>25181</v>
      </c>
      <c r="M83" s="17">
        <f t="shared" si="7"/>
        <v>60</v>
      </c>
      <c r="N83" s="18">
        <f t="shared" si="8"/>
        <v>1280400</v>
      </c>
      <c r="O83" s="17" t="str">
        <f t="shared" si="9"/>
        <v>North</v>
      </c>
      <c r="P83" s="17" t="str">
        <f t="shared" si="10"/>
        <v>Ajay Kumar</v>
      </c>
      <c r="Q83" s="19">
        <f t="shared" si="11"/>
        <v>0.1</v>
      </c>
      <c r="R83" s="17">
        <f t="shared" si="12"/>
        <v>1152360</v>
      </c>
      <c r="S83" s="18">
        <f t="shared" si="13"/>
        <v>1510860</v>
      </c>
      <c r="T83" s="20">
        <f t="shared" si="14"/>
        <v>24.108</v>
      </c>
      <c r="U83" s="20">
        <f t="shared" si="15"/>
        <v>29.892</v>
      </c>
      <c r="V83" s="21">
        <f t="shared" si="16"/>
        <v>514464.72</v>
      </c>
      <c r="W83" s="21">
        <f t="shared" si="17"/>
        <v>637895.28</v>
      </c>
      <c r="X83" s="17">
        <f t="shared" si="18"/>
        <v>752710.452</v>
      </c>
      <c r="Y83" s="15"/>
    </row>
    <row r="84">
      <c r="A84" s="16" t="s">
        <v>146</v>
      </c>
      <c r="B84" s="17" t="str">
        <f>IFERROR(__xludf.DUMMYFUNCTION("split(A84,""//"")"),"Month3 ")</f>
        <v>Month3 </v>
      </c>
      <c r="C84" s="17" t="str">
        <f>IFERROR(__xludf.DUMMYFUNCTION("""COMPUTED_VALUE"""),"City_Ranchi")</f>
        <v>City_Ranchi</v>
      </c>
      <c r="D84" s="17" t="str">
        <f>IFERROR(__xludf.DUMMYFUNCTION("""COMPUTED_VALUE"""),"PRD-ZestVita")</f>
        <v>PRD-ZestVita</v>
      </c>
      <c r="E84" s="17" t="str">
        <f>IFERROR(__xludf.DUMMYFUNCTION("""COMPUTED_VALUE"""),"OPQ  28364")</f>
        <v>OPQ  28364</v>
      </c>
      <c r="F84" s="17" t="str">
        <f>IFERROR(__xludf.DUMMYFUNCTION("""COMPUTED_VALUE"""),"NPQ[IPLMARKETTING]30349")</f>
        <v>NPQ[IPLMARKETTING]30349</v>
      </c>
      <c r="G84" s="18">
        <f t="shared" si="1"/>
        <v>3</v>
      </c>
      <c r="H84" s="17" t="str">
        <f t="shared" si="2"/>
        <v>March</v>
      </c>
      <c r="I84" s="17" t="str">
        <f t="shared" si="3"/>
        <v>Ranchi</v>
      </c>
      <c r="J84" s="17" t="str">
        <f t="shared" si="4"/>
        <v>ZestVita</v>
      </c>
      <c r="K84" s="18">
        <f t="shared" si="5"/>
        <v>28364</v>
      </c>
      <c r="L84" s="18">
        <f t="shared" si="6"/>
        <v>30349</v>
      </c>
      <c r="M84" s="17">
        <f t="shared" si="7"/>
        <v>135</v>
      </c>
      <c r="N84" s="18">
        <f t="shared" si="8"/>
        <v>3829140</v>
      </c>
      <c r="O84" s="17" t="str">
        <f t="shared" si="9"/>
        <v>East</v>
      </c>
      <c r="P84" s="17" t="str">
        <f t="shared" si="10"/>
        <v>Tanvi Sharma</v>
      </c>
      <c r="Q84" s="19">
        <f t="shared" si="11"/>
        <v>0.05</v>
      </c>
      <c r="R84" s="17">
        <f t="shared" si="12"/>
        <v>3637683</v>
      </c>
      <c r="S84" s="18">
        <f t="shared" si="13"/>
        <v>4097115</v>
      </c>
      <c r="T84" s="20">
        <f t="shared" si="14"/>
        <v>55.84</v>
      </c>
      <c r="U84" s="20">
        <f t="shared" si="15"/>
        <v>73.16</v>
      </c>
      <c r="V84" s="21">
        <f t="shared" si="16"/>
        <v>1583845.76</v>
      </c>
      <c r="W84" s="21">
        <f t="shared" si="17"/>
        <v>2053837.24</v>
      </c>
      <c r="X84" s="17">
        <f t="shared" si="18"/>
        <v>2220332.84</v>
      </c>
      <c r="Y84" s="15"/>
    </row>
    <row r="85">
      <c r="A85" s="16" t="s">
        <v>147</v>
      </c>
      <c r="B85" s="17" t="str">
        <f>IFERROR(__xludf.DUMMYFUNCTION("split(A85,""//"")"),"Month3 ")</f>
        <v>Month3 </v>
      </c>
      <c r="C85" s="17" t="str">
        <f>IFERROR(__xludf.DUMMYFUNCTION("""COMPUTED_VALUE"""),"City_Ranchi")</f>
        <v>City_Ranchi</v>
      </c>
      <c r="D85" s="17" t="str">
        <f>IFERROR(__xludf.DUMMYFUNCTION("""COMPUTED_VALUE"""),"PRD-NutriKid")</f>
        <v>PRD-NutriKid</v>
      </c>
      <c r="E85" s="17" t="str">
        <f>IFERROR(__xludf.DUMMYFUNCTION("""COMPUTED_VALUE"""),"OPQ  17848")</f>
        <v>OPQ  17848</v>
      </c>
      <c r="F85" s="17" t="str">
        <f>IFERROR(__xludf.DUMMYFUNCTION("""COMPUTED_VALUE"""),"NPQ[IPLMARKETTING]18919")</f>
        <v>NPQ[IPLMARKETTING]18919</v>
      </c>
      <c r="G85" s="18">
        <f t="shared" si="1"/>
        <v>3</v>
      </c>
      <c r="H85" s="17" t="str">
        <f t="shared" si="2"/>
        <v>March</v>
      </c>
      <c r="I85" s="17" t="str">
        <f t="shared" si="3"/>
        <v>Ranchi</v>
      </c>
      <c r="J85" s="17" t="str">
        <f t="shared" si="4"/>
        <v>NutriKid</v>
      </c>
      <c r="K85" s="18">
        <f t="shared" si="5"/>
        <v>17848</v>
      </c>
      <c r="L85" s="18">
        <f t="shared" si="6"/>
        <v>18919</v>
      </c>
      <c r="M85" s="17">
        <f t="shared" si="7"/>
        <v>60</v>
      </c>
      <c r="N85" s="18">
        <f t="shared" si="8"/>
        <v>1070880</v>
      </c>
      <c r="O85" s="17" t="str">
        <f t="shared" si="9"/>
        <v>East</v>
      </c>
      <c r="P85" s="17" t="str">
        <f t="shared" si="10"/>
        <v>Tanvi Sharma</v>
      </c>
      <c r="Q85" s="19">
        <f t="shared" si="11"/>
        <v>0.05</v>
      </c>
      <c r="R85" s="17">
        <f t="shared" si="12"/>
        <v>1017336</v>
      </c>
      <c r="S85" s="18">
        <f t="shared" si="13"/>
        <v>1135140</v>
      </c>
      <c r="T85" s="20">
        <f t="shared" si="14"/>
        <v>24.108</v>
      </c>
      <c r="U85" s="20">
        <f t="shared" si="15"/>
        <v>29.892</v>
      </c>
      <c r="V85" s="21">
        <f t="shared" si="16"/>
        <v>430279.584</v>
      </c>
      <c r="W85" s="21">
        <f t="shared" si="17"/>
        <v>587056.416</v>
      </c>
      <c r="X85" s="17">
        <f t="shared" si="18"/>
        <v>565526.748</v>
      </c>
      <c r="Y85" s="15"/>
    </row>
    <row r="86">
      <c r="A86" s="16" t="s">
        <v>148</v>
      </c>
      <c r="B86" s="17" t="str">
        <f>IFERROR(__xludf.DUMMYFUNCTION("split(A86,""//"")"),"Month3 ")</f>
        <v>Month3 </v>
      </c>
      <c r="C86" s="17" t="str">
        <f>IFERROR(__xludf.DUMMYFUNCTION("""COMPUTED_VALUE"""),"City_Surat")</f>
        <v>City_Surat</v>
      </c>
      <c r="D86" s="17" t="str">
        <f>IFERROR(__xludf.DUMMYFUNCTION("""COMPUTED_VALUE"""),"PRD-ZestVita")</f>
        <v>PRD-ZestVita</v>
      </c>
      <c r="E86" s="17" t="str">
        <f>IFERROR(__xludf.DUMMYFUNCTION("""COMPUTED_VALUE"""),"OPQ  24205")</f>
        <v>OPQ  24205</v>
      </c>
      <c r="F86" s="17" t="str">
        <f>IFERROR(__xludf.DUMMYFUNCTION("""COMPUTED_VALUE"""),"NPQ[IPLMARKETTING]25657")</f>
        <v>NPQ[IPLMARKETTING]25657</v>
      </c>
      <c r="G86" s="18">
        <f t="shared" si="1"/>
        <v>3</v>
      </c>
      <c r="H86" s="17" t="str">
        <f t="shared" si="2"/>
        <v>March</v>
      </c>
      <c r="I86" s="17" t="str">
        <f t="shared" si="3"/>
        <v>Surat</v>
      </c>
      <c r="J86" s="17" t="str">
        <f t="shared" si="4"/>
        <v>ZestVita</v>
      </c>
      <c r="K86" s="18">
        <f t="shared" si="5"/>
        <v>24205</v>
      </c>
      <c r="L86" s="18">
        <f t="shared" si="6"/>
        <v>25657</v>
      </c>
      <c r="M86" s="17">
        <f t="shared" si="7"/>
        <v>135</v>
      </c>
      <c r="N86" s="18">
        <f t="shared" si="8"/>
        <v>3267675</v>
      </c>
      <c r="O86" s="17" t="str">
        <f t="shared" si="9"/>
        <v>West</v>
      </c>
      <c r="P86" s="17" t="str">
        <f t="shared" si="10"/>
        <v>Ajay Ghosh</v>
      </c>
      <c r="Q86" s="19">
        <f t="shared" si="11"/>
        <v>0.05</v>
      </c>
      <c r="R86" s="17">
        <f t="shared" si="12"/>
        <v>3104291.25</v>
      </c>
      <c r="S86" s="18">
        <f t="shared" si="13"/>
        <v>3463695</v>
      </c>
      <c r="T86" s="20">
        <f t="shared" si="14"/>
        <v>55.84</v>
      </c>
      <c r="U86" s="20">
        <f t="shared" si="15"/>
        <v>73.16</v>
      </c>
      <c r="V86" s="21">
        <f t="shared" si="16"/>
        <v>1351607.2</v>
      </c>
      <c r="W86" s="21">
        <f t="shared" si="17"/>
        <v>1752684.05</v>
      </c>
      <c r="X86" s="17">
        <f t="shared" si="18"/>
        <v>1877066.12</v>
      </c>
      <c r="Y86" s="15"/>
    </row>
    <row r="87">
      <c r="A87" s="16" t="s">
        <v>149</v>
      </c>
      <c r="B87" s="17" t="str">
        <f>IFERROR(__xludf.DUMMYFUNCTION("split(A87,""//"")"),"Month3 ")</f>
        <v>Month3 </v>
      </c>
      <c r="C87" s="17" t="str">
        <f>IFERROR(__xludf.DUMMYFUNCTION("""COMPUTED_VALUE"""),"City_Surat")</f>
        <v>City_Surat</v>
      </c>
      <c r="D87" s="17" t="str">
        <f>IFERROR(__xludf.DUMMYFUNCTION("""COMPUTED_VALUE"""),"PRD-NutriKid")</f>
        <v>PRD-NutriKid</v>
      </c>
      <c r="E87" s="17" t="str">
        <f>IFERROR(__xludf.DUMMYFUNCTION("""COMPUTED_VALUE"""),"OPQ  19132")</f>
        <v>OPQ  19132</v>
      </c>
      <c r="F87" s="17" t="str">
        <f>IFERROR(__xludf.DUMMYFUNCTION("""COMPUTED_VALUE"""),"NPQ[IPLMARKETTING]20280")</f>
        <v>NPQ[IPLMARKETTING]20280</v>
      </c>
      <c r="G87" s="18">
        <f t="shared" si="1"/>
        <v>3</v>
      </c>
      <c r="H87" s="17" t="str">
        <f t="shared" si="2"/>
        <v>March</v>
      </c>
      <c r="I87" s="17" t="str">
        <f t="shared" si="3"/>
        <v>Surat</v>
      </c>
      <c r="J87" s="17" t="str">
        <f t="shared" si="4"/>
        <v>NutriKid</v>
      </c>
      <c r="K87" s="18">
        <f t="shared" si="5"/>
        <v>19132</v>
      </c>
      <c r="L87" s="18">
        <f t="shared" si="6"/>
        <v>20280</v>
      </c>
      <c r="M87" s="17">
        <f t="shared" si="7"/>
        <v>60</v>
      </c>
      <c r="N87" s="18">
        <f t="shared" si="8"/>
        <v>1147920</v>
      </c>
      <c r="O87" s="17" t="str">
        <f t="shared" si="9"/>
        <v>West</v>
      </c>
      <c r="P87" s="17" t="str">
        <f t="shared" si="10"/>
        <v>Ajay Ghosh</v>
      </c>
      <c r="Q87" s="19">
        <f t="shared" si="11"/>
        <v>0.05</v>
      </c>
      <c r="R87" s="17">
        <f t="shared" si="12"/>
        <v>1090524</v>
      </c>
      <c r="S87" s="18">
        <f t="shared" si="13"/>
        <v>1216800</v>
      </c>
      <c r="T87" s="20">
        <f t="shared" si="14"/>
        <v>24.108</v>
      </c>
      <c r="U87" s="20">
        <f t="shared" si="15"/>
        <v>29.892</v>
      </c>
      <c r="V87" s="21">
        <f t="shared" si="16"/>
        <v>461234.256</v>
      </c>
      <c r="W87" s="21">
        <f t="shared" si="17"/>
        <v>629289.744</v>
      </c>
      <c r="X87" s="17">
        <f t="shared" si="18"/>
        <v>606209.76</v>
      </c>
      <c r="Y87" s="15"/>
    </row>
    <row r="88">
      <c r="A88" s="16" t="s">
        <v>150</v>
      </c>
      <c r="B88" s="17" t="str">
        <f>IFERROR(__xludf.DUMMYFUNCTION("split(A88,""//"")"),"Month3 ")</f>
        <v>Month3 </v>
      </c>
      <c r="C88" s="17" t="str">
        <f>IFERROR(__xludf.DUMMYFUNCTION("""COMPUTED_VALUE"""),"City_Hyderabad")</f>
        <v>City_Hyderabad</v>
      </c>
      <c r="D88" s="17" t="str">
        <f>IFERROR(__xludf.DUMMYFUNCTION("""COMPUTED_VALUE"""),"PRD-ZestVita")</f>
        <v>PRD-ZestVita</v>
      </c>
      <c r="E88" s="17" t="str">
        <f>IFERROR(__xludf.DUMMYFUNCTION("""COMPUTED_VALUE"""),"OPQ  34021")</f>
        <v>OPQ  34021</v>
      </c>
      <c r="F88" s="17" t="str">
        <f>IFERROR(__xludf.DUMMYFUNCTION("""COMPUTED_VALUE"""),"NPQ[IPLMARKETTING]40825")</f>
        <v>NPQ[IPLMARKETTING]40825</v>
      </c>
      <c r="G88" s="18">
        <f t="shared" si="1"/>
        <v>3</v>
      </c>
      <c r="H88" s="17" t="str">
        <f t="shared" si="2"/>
        <v>March</v>
      </c>
      <c r="I88" s="17" t="str">
        <f t="shared" si="3"/>
        <v>Hyderabad</v>
      </c>
      <c r="J88" s="17" t="str">
        <f t="shared" si="4"/>
        <v>ZestVita</v>
      </c>
      <c r="K88" s="18">
        <f t="shared" si="5"/>
        <v>34021</v>
      </c>
      <c r="L88" s="18">
        <f t="shared" si="6"/>
        <v>40825</v>
      </c>
      <c r="M88" s="17">
        <f t="shared" si="7"/>
        <v>135</v>
      </c>
      <c r="N88" s="18">
        <f t="shared" si="8"/>
        <v>4592835</v>
      </c>
      <c r="O88" s="17" t="str">
        <f t="shared" si="9"/>
        <v>South</v>
      </c>
      <c r="P88" s="17" t="str">
        <f t="shared" si="10"/>
        <v>Anjali Krishna Murthy</v>
      </c>
      <c r="Q88" s="19">
        <f t="shared" si="11"/>
        <v>0</v>
      </c>
      <c r="R88" s="18">
        <f t="shared" si="12"/>
        <v>4592835</v>
      </c>
      <c r="S88" s="18">
        <f t="shared" si="13"/>
        <v>5511375</v>
      </c>
      <c r="T88" s="20">
        <f t="shared" si="14"/>
        <v>55.84</v>
      </c>
      <c r="U88" s="20">
        <f t="shared" si="15"/>
        <v>73.16</v>
      </c>
      <c r="V88" s="21">
        <f t="shared" si="16"/>
        <v>1899732.64</v>
      </c>
      <c r="W88" s="18">
        <f t="shared" si="17"/>
        <v>2693102.36</v>
      </c>
      <c r="X88" s="17">
        <f t="shared" si="18"/>
        <v>2986757</v>
      </c>
      <c r="Y88" s="15"/>
    </row>
    <row r="89">
      <c r="A89" s="16" t="s">
        <v>151</v>
      </c>
      <c r="B89" s="17" t="str">
        <f>IFERROR(__xludf.DUMMYFUNCTION("split(A89,""//"")"),"Month3 ")</f>
        <v>Month3 </v>
      </c>
      <c r="C89" s="17" t="str">
        <f>IFERROR(__xludf.DUMMYFUNCTION("""COMPUTED_VALUE"""),"City_Hyderabad")</f>
        <v>City_Hyderabad</v>
      </c>
      <c r="D89" s="17" t="str">
        <f>IFERROR(__xludf.DUMMYFUNCTION("""COMPUTED_VALUE"""),"PRD-NutriKid")</f>
        <v>PRD-NutriKid</v>
      </c>
      <c r="E89" s="17" t="str">
        <f>IFERROR(__xludf.DUMMYFUNCTION("""COMPUTED_VALUE"""),"OPQ  33168")</f>
        <v>OPQ  33168</v>
      </c>
      <c r="F89" s="17" t="str">
        <f>IFERROR(__xludf.DUMMYFUNCTION("""COMPUTED_VALUE"""),"NPQ[IPLMARKETTING]41460")</f>
        <v>NPQ[IPLMARKETTING]41460</v>
      </c>
      <c r="G89" s="18">
        <f t="shared" si="1"/>
        <v>3</v>
      </c>
      <c r="H89" s="17" t="str">
        <f t="shared" si="2"/>
        <v>March</v>
      </c>
      <c r="I89" s="17" t="str">
        <f t="shared" si="3"/>
        <v>Hyderabad</v>
      </c>
      <c r="J89" s="17" t="str">
        <f t="shared" si="4"/>
        <v>NutriKid</v>
      </c>
      <c r="K89" s="18">
        <f t="shared" si="5"/>
        <v>33168</v>
      </c>
      <c r="L89" s="18">
        <f t="shared" si="6"/>
        <v>41460</v>
      </c>
      <c r="M89" s="17">
        <f t="shared" si="7"/>
        <v>60</v>
      </c>
      <c r="N89" s="18">
        <f t="shared" si="8"/>
        <v>1990080</v>
      </c>
      <c r="O89" s="17" t="str">
        <f t="shared" si="9"/>
        <v>South</v>
      </c>
      <c r="P89" s="17" t="str">
        <f t="shared" si="10"/>
        <v>Anjali Krishna Murthy</v>
      </c>
      <c r="Q89" s="19">
        <f t="shared" si="11"/>
        <v>0</v>
      </c>
      <c r="R89" s="18">
        <f t="shared" si="12"/>
        <v>1990080</v>
      </c>
      <c r="S89" s="18">
        <f t="shared" si="13"/>
        <v>2487600</v>
      </c>
      <c r="T89" s="20">
        <f t="shared" si="14"/>
        <v>24.108</v>
      </c>
      <c r="U89" s="20">
        <f t="shared" si="15"/>
        <v>29.892</v>
      </c>
      <c r="V89" s="21">
        <f t="shared" si="16"/>
        <v>799614.144</v>
      </c>
      <c r="W89" s="18">
        <f t="shared" si="17"/>
        <v>1190465.856</v>
      </c>
      <c r="X89" s="17">
        <f t="shared" si="18"/>
        <v>1239322.32</v>
      </c>
      <c r="Y89" s="15"/>
    </row>
    <row r="90">
      <c r="A90" s="16" t="s">
        <v>152</v>
      </c>
      <c r="B90" s="17" t="str">
        <f>IFERROR(__xludf.DUMMYFUNCTION("split(A90,""//"")"),"Month3 ")</f>
        <v>Month3 </v>
      </c>
      <c r="C90" s="17" t="str">
        <f>IFERROR(__xludf.DUMMYFUNCTION("""COMPUTED_VALUE"""),"City_Dehradun")</f>
        <v>City_Dehradun</v>
      </c>
      <c r="D90" s="17" t="str">
        <f>IFERROR(__xludf.DUMMYFUNCTION("""COMPUTED_VALUE"""),"PRD-ZestVita")</f>
        <v>PRD-ZestVita</v>
      </c>
      <c r="E90" s="17" t="str">
        <f>IFERROR(__xludf.DUMMYFUNCTION("""COMPUTED_VALUE"""),"OPQ  22958")</f>
        <v>OPQ  22958</v>
      </c>
      <c r="F90" s="17" t="str">
        <f>IFERROR(__xludf.DUMMYFUNCTION("""COMPUTED_VALUE"""),"NPQ[IPLMARKETTING]23647")</f>
        <v>NPQ[IPLMARKETTING]23647</v>
      </c>
      <c r="G90" s="18">
        <f t="shared" si="1"/>
        <v>3</v>
      </c>
      <c r="H90" s="17" t="str">
        <f t="shared" si="2"/>
        <v>March</v>
      </c>
      <c r="I90" s="17" t="str">
        <f t="shared" si="3"/>
        <v>Dehradun</v>
      </c>
      <c r="J90" s="17" t="str">
        <f t="shared" si="4"/>
        <v>ZestVita</v>
      </c>
      <c r="K90" s="18">
        <f t="shared" si="5"/>
        <v>22958</v>
      </c>
      <c r="L90" s="18">
        <f t="shared" si="6"/>
        <v>23647</v>
      </c>
      <c r="M90" s="17">
        <f t="shared" si="7"/>
        <v>135</v>
      </c>
      <c r="N90" s="18">
        <f t="shared" si="8"/>
        <v>3099330</v>
      </c>
      <c r="O90" s="17" t="str">
        <f t="shared" si="9"/>
        <v>North</v>
      </c>
      <c r="P90" s="17" t="str">
        <f t="shared" si="10"/>
        <v>Ajay Kumar</v>
      </c>
      <c r="Q90" s="19">
        <f t="shared" si="11"/>
        <v>0.125</v>
      </c>
      <c r="R90" s="17">
        <f t="shared" si="12"/>
        <v>2711913.75</v>
      </c>
      <c r="S90" s="18">
        <f t="shared" si="13"/>
        <v>3192345</v>
      </c>
      <c r="T90" s="20">
        <f t="shared" si="14"/>
        <v>55.84</v>
      </c>
      <c r="U90" s="20">
        <f t="shared" si="15"/>
        <v>73.16</v>
      </c>
      <c r="V90" s="21">
        <f t="shared" si="16"/>
        <v>1281974.72</v>
      </c>
      <c r="W90" s="21">
        <f t="shared" si="17"/>
        <v>1429939.03</v>
      </c>
      <c r="X90" s="17">
        <f t="shared" si="18"/>
        <v>1730014.52</v>
      </c>
      <c r="Y90" s="15"/>
    </row>
    <row r="91">
      <c r="A91" s="16" t="s">
        <v>153</v>
      </c>
      <c r="B91" s="17" t="str">
        <f>IFERROR(__xludf.DUMMYFUNCTION("split(A91,""//"")"),"Month3 ")</f>
        <v>Month3 </v>
      </c>
      <c r="C91" s="17" t="str">
        <f>IFERROR(__xludf.DUMMYFUNCTION("""COMPUTED_VALUE"""),"City_Dehradun")</f>
        <v>City_Dehradun</v>
      </c>
      <c r="D91" s="17" t="str">
        <f>IFERROR(__xludf.DUMMYFUNCTION("""COMPUTED_VALUE"""),"PRD-NutriKid")</f>
        <v>PRD-NutriKid</v>
      </c>
      <c r="E91" s="17" t="str">
        <f>IFERROR(__xludf.DUMMYFUNCTION("""COMPUTED_VALUE"""),"OPQ  14396")</f>
        <v>OPQ  14396</v>
      </c>
      <c r="F91" s="17" t="str">
        <f>IFERROR(__xludf.DUMMYFUNCTION("""COMPUTED_VALUE"""),"NPQ[IPLMARKETTING]15548")</f>
        <v>NPQ[IPLMARKETTING]15548</v>
      </c>
      <c r="G91" s="18">
        <f t="shared" si="1"/>
        <v>3</v>
      </c>
      <c r="H91" s="17" t="str">
        <f t="shared" si="2"/>
        <v>March</v>
      </c>
      <c r="I91" s="17" t="str">
        <f t="shared" si="3"/>
        <v>Dehradun</v>
      </c>
      <c r="J91" s="17" t="str">
        <f t="shared" si="4"/>
        <v>NutriKid</v>
      </c>
      <c r="K91" s="18">
        <f t="shared" si="5"/>
        <v>14396</v>
      </c>
      <c r="L91" s="18">
        <f t="shared" si="6"/>
        <v>15548</v>
      </c>
      <c r="M91" s="17">
        <f t="shared" si="7"/>
        <v>60</v>
      </c>
      <c r="N91" s="18">
        <f t="shared" si="8"/>
        <v>863760</v>
      </c>
      <c r="O91" s="17" t="str">
        <f t="shared" si="9"/>
        <v>North</v>
      </c>
      <c r="P91" s="17" t="str">
        <f t="shared" si="10"/>
        <v>Ajay Kumar</v>
      </c>
      <c r="Q91" s="19">
        <f t="shared" si="11"/>
        <v>0.125</v>
      </c>
      <c r="R91" s="17">
        <f t="shared" si="12"/>
        <v>755790</v>
      </c>
      <c r="S91" s="18">
        <f t="shared" si="13"/>
        <v>932880</v>
      </c>
      <c r="T91" s="20">
        <f t="shared" si="14"/>
        <v>24.108</v>
      </c>
      <c r="U91" s="20">
        <f t="shared" si="15"/>
        <v>29.892</v>
      </c>
      <c r="V91" s="21">
        <f t="shared" si="16"/>
        <v>347058.768</v>
      </c>
      <c r="W91" s="21">
        <f t="shared" si="17"/>
        <v>408731.232</v>
      </c>
      <c r="X91" s="17">
        <f t="shared" si="18"/>
        <v>464760.816</v>
      </c>
      <c r="Y91" s="15"/>
    </row>
    <row r="92">
      <c r="A92" s="16" t="s">
        <v>154</v>
      </c>
      <c r="B92" s="17" t="str">
        <f>IFERROR(__xludf.DUMMYFUNCTION("split(A92,""//"")"),"Month3 ")</f>
        <v>Month3 </v>
      </c>
      <c r="C92" s="17" t="str">
        <f>IFERROR(__xludf.DUMMYFUNCTION("""COMPUTED_VALUE"""),"City_Kochi")</f>
        <v>City_Kochi</v>
      </c>
      <c r="D92" s="17" t="str">
        <f>IFERROR(__xludf.DUMMYFUNCTION("""COMPUTED_VALUE"""),"PRD-ZestVita")</f>
        <v>PRD-ZestVita</v>
      </c>
      <c r="E92" s="17" t="str">
        <f>IFERROR(__xludf.DUMMYFUNCTION("""COMPUTED_VALUE"""),"OPQ  24721")</f>
        <v>OPQ  24721</v>
      </c>
      <c r="F92" s="17" t="str">
        <f>IFERROR(__xludf.DUMMYFUNCTION("""COMPUTED_VALUE"""),"NPQ[IPLMARKETTING]25463")</f>
        <v>NPQ[IPLMARKETTING]25463</v>
      </c>
      <c r="G92" s="18">
        <f t="shared" si="1"/>
        <v>3</v>
      </c>
      <c r="H92" s="17" t="str">
        <f t="shared" si="2"/>
        <v>March</v>
      </c>
      <c r="I92" s="17" t="str">
        <f t="shared" si="3"/>
        <v>Kochi</v>
      </c>
      <c r="J92" s="17" t="str">
        <f t="shared" si="4"/>
        <v>ZestVita</v>
      </c>
      <c r="K92" s="18">
        <f t="shared" si="5"/>
        <v>24721</v>
      </c>
      <c r="L92" s="18">
        <f t="shared" si="6"/>
        <v>25463</v>
      </c>
      <c r="M92" s="17">
        <f t="shared" si="7"/>
        <v>135</v>
      </c>
      <c r="N92" s="18">
        <f t="shared" si="8"/>
        <v>3337335</v>
      </c>
      <c r="O92" s="17" t="str">
        <f t="shared" si="9"/>
        <v>South</v>
      </c>
      <c r="P92" s="17" t="str">
        <f t="shared" si="10"/>
        <v>Anjali Krishna Murthy</v>
      </c>
      <c r="Q92" s="19">
        <f t="shared" si="11"/>
        <v>0.1</v>
      </c>
      <c r="R92" s="17">
        <f t="shared" si="12"/>
        <v>3003601.5</v>
      </c>
      <c r="S92" s="18">
        <f t="shared" si="13"/>
        <v>3437505</v>
      </c>
      <c r="T92" s="20">
        <f t="shared" si="14"/>
        <v>55.84</v>
      </c>
      <c r="U92" s="20">
        <f t="shared" si="15"/>
        <v>73.16</v>
      </c>
      <c r="V92" s="21">
        <f t="shared" si="16"/>
        <v>1380420.64</v>
      </c>
      <c r="W92" s="21">
        <f t="shared" si="17"/>
        <v>1623180.86</v>
      </c>
      <c r="X92" s="17">
        <f t="shared" si="18"/>
        <v>1862873.08</v>
      </c>
      <c r="Y92" s="15"/>
    </row>
    <row r="93">
      <c r="A93" s="16" t="s">
        <v>155</v>
      </c>
      <c r="B93" s="17" t="str">
        <f>IFERROR(__xludf.DUMMYFUNCTION("split(A93,""//"")"),"Month3 ")</f>
        <v>Month3 </v>
      </c>
      <c r="C93" s="17" t="str">
        <f>IFERROR(__xludf.DUMMYFUNCTION("""COMPUTED_VALUE"""),"City_Kochi")</f>
        <v>City_Kochi</v>
      </c>
      <c r="D93" s="17" t="str">
        <f>IFERROR(__xludf.DUMMYFUNCTION("""COMPUTED_VALUE"""),"PRD-NutriKid")</f>
        <v>PRD-NutriKid</v>
      </c>
      <c r="E93" s="17" t="str">
        <f>IFERROR(__xludf.DUMMYFUNCTION("""COMPUTED_VALUE"""),"OPQ  15270")</f>
        <v>OPQ  15270</v>
      </c>
      <c r="F93" s="17" t="str">
        <f>IFERROR(__xludf.DUMMYFUNCTION("""COMPUTED_VALUE"""),"NPQ[IPLMARKETTING]16186")</f>
        <v>NPQ[IPLMARKETTING]16186</v>
      </c>
      <c r="G93" s="18">
        <f t="shared" si="1"/>
        <v>3</v>
      </c>
      <c r="H93" s="17" t="str">
        <f t="shared" si="2"/>
        <v>March</v>
      </c>
      <c r="I93" s="17" t="str">
        <f t="shared" si="3"/>
        <v>Kochi</v>
      </c>
      <c r="J93" s="17" t="str">
        <f t="shared" si="4"/>
        <v>NutriKid</v>
      </c>
      <c r="K93" s="18">
        <f t="shared" si="5"/>
        <v>15270</v>
      </c>
      <c r="L93" s="18">
        <f t="shared" si="6"/>
        <v>16186</v>
      </c>
      <c r="M93" s="17">
        <f t="shared" si="7"/>
        <v>60</v>
      </c>
      <c r="N93" s="18">
        <f t="shared" si="8"/>
        <v>916200</v>
      </c>
      <c r="O93" s="17" t="str">
        <f t="shared" si="9"/>
        <v>South</v>
      </c>
      <c r="P93" s="17" t="str">
        <f t="shared" si="10"/>
        <v>Anjali Krishna Murthy</v>
      </c>
      <c r="Q93" s="19">
        <f t="shared" si="11"/>
        <v>0.1</v>
      </c>
      <c r="R93" s="17">
        <f t="shared" si="12"/>
        <v>824580</v>
      </c>
      <c r="S93" s="18">
        <f t="shared" si="13"/>
        <v>971160</v>
      </c>
      <c r="T93" s="20">
        <f t="shared" si="14"/>
        <v>24.108</v>
      </c>
      <c r="U93" s="20">
        <f t="shared" si="15"/>
        <v>29.892</v>
      </c>
      <c r="V93" s="21">
        <f t="shared" si="16"/>
        <v>368129.16</v>
      </c>
      <c r="W93" s="21">
        <f t="shared" si="17"/>
        <v>456450.84</v>
      </c>
      <c r="X93" s="17">
        <f t="shared" si="18"/>
        <v>483831.912</v>
      </c>
      <c r="Y93" s="15"/>
    </row>
    <row r="94">
      <c r="A94" s="16" t="s">
        <v>156</v>
      </c>
      <c r="B94" s="17" t="str">
        <f>IFERROR(__xludf.DUMMYFUNCTION("split(A94,""//"")"),"Month3 ")</f>
        <v>Month3 </v>
      </c>
      <c r="C94" s="17" t="str">
        <f>IFERROR(__xludf.DUMMYFUNCTION("""COMPUTED_VALUE"""),"City_Jaipur")</f>
        <v>City_Jaipur</v>
      </c>
      <c r="D94" s="17" t="str">
        <f>IFERROR(__xludf.DUMMYFUNCTION("""COMPUTED_VALUE"""),"PRD-ZestVita")</f>
        <v>PRD-ZestVita</v>
      </c>
      <c r="E94" s="17" t="str">
        <f>IFERROR(__xludf.DUMMYFUNCTION("""COMPUTED_VALUE"""),"OPQ  27264")</f>
        <v>OPQ  27264</v>
      </c>
      <c r="F94" s="17" t="str">
        <f>IFERROR(__xludf.DUMMYFUNCTION("""COMPUTED_VALUE"""),"NPQ[IPLMARKETTING]30263")</f>
        <v>NPQ[IPLMARKETTING]30263</v>
      </c>
      <c r="G94" s="18">
        <f t="shared" si="1"/>
        <v>3</v>
      </c>
      <c r="H94" s="17" t="str">
        <f t="shared" si="2"/>
        <v>March</v>
      </c>
      <c r="I94" s="17" t="str">
        <f t="shared" si="3"/>
        <v>Jaipur</v>
      </c>
      <c r="J94" s="17" t="str">
        <f t="shared" si="4"/>
        <v>ZestVita</v>
      </c>
      <c r="K94" s="18">
        <f t="shared" si="5"/>
        <v>27264</v>
      </c>
      <c r="L94" s="18">
        <f t="shared" si="6"/>
        <v>30263</v>
      </c>
      <c r="M94" s="17">
        <f t="shared" si="7"/>
        <v>135</v>
      </c>
      <c r="N94" s="18">
        <f t="shared" si="8"/>
        <v>3680640</v>
      </c>
      <c r="O94" s="17" t="str">
        <f t="shared" si="9"/>
        <v>West</v>
      </c>
      <c r="P94" s="17" t="str">
        <f t="shared" si="10"/>
        <v>Ajay Ghosh</v>
      </c>
      <c r="Q94" s="19">
        <f t="shared" si="11"/>
        <v>0</v>
      </c>
      <c r="R94" s="18">
        <f t="shared" si="12"/>
        <v>3680640</v>
      </c>
      <c r="S94" s="18">
        <f t="shared" si="13"/>
        <v>4085505</v>
      </c>
      <c r="T94" s="20">
        <f t="shared" si="14"/>
        <v>55.84</v>
      </c>
      <c r="U94" s="20">
        <f t="shared" si="15"/>
        <v>73.16</v>
      </c>
      <c r="V94" s="21">
        <f t="shared" si="16"/>
        <v>1522421.76</v>
      </c>
      <c r="W94" s="18">
        <f t="shared" si="17"/>
        <v>2158218.24</v>
      </c>
      <c r="X94" s="17">
        <f t="shared" si="18"/>
        <v>2214041.08</v>
      </c>
      <c r="Y94" s="15"/>
    </row>
    <row r="95">
      <c r="A95" s="16" t="s">
        <v>157</v>
      </c>
      <c r="B95" s="17" t="str">
        <f>IFERROR(__xludf.DUMMYFUNCTION("split(A95,""//"")"),"Month3 ")</f>
        <v>Month3 </v>
      </c>
      <c r="C95" s="17" t="str">
        <f>IFERROR(__xludf.DUMMYFUNCTION("""COMPUTED_VALUE"""),"City_Jaipur")</f>
        <v>City_Jaipur</v>
      </c>
      <c r="D95" s="17" t="str">
        <f>IFERROR(__xludf.DUMMYFUNCTION("""COMPUTED_VALUE"""),"PRD-NutriKid")</f>
        <v>PRD-NutriKid</v>
      </c>
      <c r="E95" s="17" t="str">
        <f>IFERROR(__xludf.DUMMYFUNCTION("""COMPUTED_VALUE"""),"OPQ  20689")</f>
        <v>OPQ  20689</v>
      </c>
      <c r="F95" s="17" t="str">
        <f>IFERROR(__xludf.DUMMYFUNCTION("""COMPUTED_VALUE"""),"NPQ[IPLMARKETTING]23379")</f>
        <v>NPQ[IPLMARKETTING]23379</v>
      </c>
      <c r="G95" s="18">
        <f t="shared" si="1"/>
        <v>3</v>
      </c>
      <c r="H95" s="17" t="str">
        <f t="shared" si="2"/>
        <v>March</v>
      </c>
      <c r="I95" s="17" t="str">
        <f t="shared" si="3"/>
        <v>Jaipur</v>
      </c>
      <c r="J95" s="17" t="str">
        <f t="shared" si="4"/>
        <v>NutriKid</v>
      </c>
      <c r="K95" s="18">
        <f t="shared" si="5"/>
        <v>20689</v>
      </c>
      <c r="L95" s="18">
        <f t="shared" si="6"/>
        <v>23379</v>
      </c>
      <c r="M95" s="17">
        <f t="shared" si="7"/>
        <v>60</v>
      </c>
      <c r="N95" s="18">
        <f t="shared" si="8"/>
        <v>1241340</v>
      </c>
      <c r="O95" s="17" t="str">
        <f t="shared" si="9"/>
        <v>West</v>
      </c>
      <c r="P95" s="17" t="str">
        <f t="shared" si="10"/>
        <v>Ajay Ghosh</v>
      </c>
      <c r="Q95" s="19">
        <f t="shared" si="11"/>
        <v>0</v>
      </c>
      <c r="R95" s="18">
        <f t="shared" si="12"/>
        <v>1241340</v>
      </c>
      <c r="S95" s="18">
        <f t="shared" si="13"/>
        <v>1402740</v>
      </c>
      <c r="T95" s="20">
        <f t="shared" si="14"/>
        <v>24.108</v>
      </c>
      <c r="U95" s="20">
        <f t="shared" si="15"/>
        <v>29.892</v>
      </c>
      <c r="V95" s="21">
        <f t="shared" si="16"/>
        <v>498770.412</v>
      </c>
      <c r="W95" s="18">
        <f t="shared" si="17"/>
        <v>742569.588</v>
      </c>
      <c r="X95" s="17">
        <f t="shared" si="18"/>
        <v>698845.068</v>
      </c>
      <c r="Y95" s="15"/>
    </row>
    <row r="96">
      <c r="A96" s="16" t="s">
        <v>158</v>
      </c>
      <c r="B96" s="17" t="str">
        <f>IFERROR(__xludf.DUMMYFUNCTION("split(A96,""//"")"),"Month3 ")</f>
        <v>Month3 </v>
      </c>
      <c r="C96" s="17" t="str">
        <f>IFERROR(__xludf.DUMMYFUNCTION("""COMPUTED_VALUE"""),"City_Patna")</f>
        <v>City_Patna</v>
      </c>
      <c r="D96" s="17" t="str">
        <f>IFERROR(__xludf.DUMMYFUNCTION("""COMPUTED_VALUE"""),"PRD-ZestVita")</f>
        <v>PRD-ZestVita</v>
      </c>
      <c r="E96" s="17" t="str">
        <f>IFERROR(__xludf.DUMMYFUNCTION("""COMPUTED_VALUE"""),"OPQ  23299")</f>
        <v>OPQ  23299</v>
      </c>
      <c r="F96" s="17" t="str">
        <f>IFERROR(__xludf.DUMMYFUNCTION("""COMPUTED_VALUE"""),"NPQ[IPLMARKETTING]29124")</f>
        <v>NPQ[IPLMARKETTING]29124</v>
      </c>
      <c r="G96" s="18">
        <f t="shared" si="1"/>
        <v>3</v>
      </c>
      <c r="H96" s="17" t="str">
        <f t="shared" si="2"/>
        <v>March</v>
      </c>
      <c r="I96" s="17" t="str">
        <f t="shared" si="3"/>
        <v>Patna</v>
      </c>
      <c r="J96" s="17" t="str">
        <f t="shared" si="4"/>
        <v>ZestVita</v>
      </c>
      <c r="K96" s="18">
        <f t="shared" si="5"/>
        <v>23299</v>
      </c>
      <c r="L96" s="18">
        <f t="shared" si="6"/>
        <v>29124</v>
      </c>
      <c r="M96" s="17">
        <f t="shared" si="7"/>
        <v>135</v>
      </c>
      <c r="N96" s="18">
        <f t="shared" si="8"/>
        <v>3145365</v>
      </c>
      <c r="O96" s="17" t="str">
        <f t="shared" si="9"/>
        <v>East</v>
      </c>
      <c r="P96" s="17" t="str">
        <f t="shared" si="10"/>
        <v>Tanvi Sharma</v>
      </c>
      <c r="Q96" s="19">
        <f t="shared" si="11"/>
        <v>0.05</v>
      </c>
      <c r="R96" s="17">
        <f t="shared" si="12"/>
        <v>2988096.75</v>
      </c>
      <c r="S96" s="18">
        <f t="shared" si="13"/>
        <v>3931740</v>
      </c>
      <c r="T96" s="20">
        <f t="shared" si="14"/>
        <v>55.84</v>
      </c>
      <c r="U96" s="20">
        <f t="shared" si="15"/>
        <v>73.16</v>
      </c>
      <c r="V96" s="21">
        <f t="shared" si="16"/>
        <v>1301016.16</v>
      </c>
      <c r="W96" s="21">
        <f t="shared" si="17"/>
        <v>1687080.59</v>
      </c>
      <c r="X96" s="17">
        <f t="shared" si="18"/>
        <v>2130711.84</v>
      </c>
      <c r="Y96" s="15"/>
    </row>
    <row r="97">
      <c r="A97" s="16" t="s">
        <v>159</v>
      </c>
      <c r="B97" s="17" t="str">
        <f>IFERROR(__xludf.DUMMYFUNCTION("split(A97,""//"")"),"Month3 ")</f>
        <v>Month3 </v>
      </c>
      <c r="C97" s="17" t="str">
        <f>IFERROR(__xludf.DUMMYFUNCTION("""COMPUTED_VALUE"""),"City_Patna")</f>
        <v>City_Patna</v>
      </c>
      <c r="D97" s="17" t="str">
        <f>IFERROR(__xludf.DUMMYFUNCTION("""COMPUTED_VALUE"""),"PRD-NutriKid")</f>
        <v>PRD-NutriKid</v>
      </c>
      <c r="E97" s="17" t="str">
        <f>IFERROR(__xludf.DUMMYFUNCTION("""COMPUTED_VALUE"""),"OPQ  30503")</f>
        <v>OPQ  30503</v>
      </c>
      <c r="F97" s="17" t="str">
        <f>IFERROR(__xludf.DUMMYFUNCTION("""COMPUTED_VALUE"""),"NPQ[IPLMARKETTING]36909")</f>
        <v>NPQ[IPLMARKETTING]36909</v>
      </c>
      <c r="G97" s="18">
        <f t="shared" si="1"/>
        <v>3</v>
      </c>
      <c r="H97" s="17" t="str">
        <f t="shared" si="2"/>
        <v>March</v>
      </c>
      <c r="I97" s="17" t="str">
        <f t="shared" si="3"/>
        <v>Patna</v>
      </c>
      <c r="J97" s="17" t="str">
        <f t="shared" si="4"/>
        <v>NutriKid</v>
      </c>
      <c r="K97" s="18">
        <f t="shared" si="5"/>
        <v>30503</v>
      </c>
      <c r="L97" s="18">
        <f t="shared" si="6"/>
        <v>36909</v>
      </c>
      <c r="M97" s="17">
        <f t="shared" si="7"/>
        <v>60</v>
      </c>
      <c r="N97" s="18">
        <f t="shared" si="8"/>
        <v>1830180</v>
      </c>
      <c r="O97" s="17" t="str">
        <f t="shared" si="9"/>
        <v>East</v>
      </c>
      <c r="P97" s="17" t="str">
        <f t="shared" si="10"/>
        <v>Tanvi Sharma</v>
      </c>
      <c r="Q97" s="19">
        <f t="shared" si="11"/>
        <v>0.05</v>
      </c>
      <c r="R97" s="17">
        <f t="shared" si="12"/>
        <v>1738671</v>
      </c>
      <c r="S97" s="18">
        <f t="shared" si="13"/>
        <v>2214540</v>
      </c>
      <c r="T97" s="20">
        <f t="shared" si="14"/>
        <v>24.108</v>
      </c>
      <c r="U97" s="20">
        <f t="shared" si="15"/>
        <v>29.892</v>
      </c>
      <c r="V97" s="21">
        <f t="shared" si="16"/>
        <v>735366.324</v>
      </c>
      <c r="W97" s="21">
        <f t="shared" si="17"/>
        <v>1003304.676</v>
      </c>
      <c r="X97" s="17">
        <f t="shared" si="18"/>
        <v>1103283.828</v>
      </c>
      <c r="Y97" s="15"/>
    </row>
    <row r="98">
      <c r="A98" s="16" t="s">
        <v>160</v>
      </c>
      <c r="B98" s="17" t="str">
        <f>IFERROR(__xludf.DUMMYFUNCTION("split(A98,""//"")"),"Month4 ")</f>
        <v>Month4 </v>
      </c>
      <c r="C98" s="17" t="str">
        <f>IFERROR(__xludf.DUMMYFUNCTION("""COMPUTED_VALUE"""),"City_Delhi")</f>
        <v>City_Delhi</v>
      </c>
      <c r="D98" s="17" t="str">
        <f>IFERROR(__xludf.DUMMYFUNCTION("""COMPUTED_VALUE"""),"PRD-ZestVita")</f>
        <v>PRD-ZestVita</v>
      </c>
      <c r="E98" s="17" t="str">
        <f>IFERROR(__xludf.DUMMYFUNCTION("""COMPUTED_VALUE"""),"OPQ  32979")</f>
        <v>OPQ  32979</v>
      </c>
      <c r="F98" s="17" t="str">
        <f>IFERROR(__xludf.DUMMYFUNCTION("""COMPUTED_VALUE"""),"NPQ[IPLMARKETTING]40234")</f>
        <v>NPQ[IPLMARKETTING]40234</v>
      </c>
      <c r="G98" s="18">
        <f t="shared" si="1"/>
        <v>4</v>
      </c>
      <c r="H98" s="17" t="str">
        <f t="shared" si="2"/>
        <v>April</v>
      </c>
      <c r="I98" s="17" t="str">
        <f t="shared" si="3"/>
        <v>Delhi</v>
      </c>
      <c r="J98" s="17" t="str">
        <f t="shared" si="4"/>
        <v>ZestVita</v>
      </c>
      <c r="K98" s="18">
        <f t="shared" si="5"/>
        <v>32979</v>
      </c>
      <c r="L98" s="18">
        <f t="shared" si="6"/>
        <v>40234</v>
      </c>
      <c r="M98" s="17">
        <f t="shared" si="7"/>
        <v>135</v>
      </c>
      <c r="N98" s="18">
        <f t="shared" si="8"/>
        <v>4452165</v>
      </c>
      <c r="O98" s="17" t="str">
        <f t="shared" si="9"/>
        <v>North</v>
      </c>
      <c r="P98" s="17" t="str">
        <f t="shared" si="10"/>
        <v>Ajay Kumar</v>
      </c>
      <c r="Q98" s="19">
        <f t="shared" si="11"/>
        <v>0</v>
      </c>
      <c r="R98" s="18">
        <f t="shared" si="12"/>
        <v>4452165</v>
      </c>
      <c r="S98" s="18">
        <f t="shared" si="13"/>
        <v>5431590</v>
      </c>
      <c r="T98" s="20">
        <f t="shared" si="14"/>
        <v>55.84</v>
      </c>
      <c r="U98" s="20">
        <f t="shared" si="15"/>
        <v>73.16</v>
      </c>
      <c r="V98" s="21">
        <f t="shared" si="16"/>
        <v>1841547.36</v>
      </c>
      <c r="W98" s="18">
        <f t="shared" si="17"/>
        <v>2610617.64</v>
      </c>
      <c r="X98" s="17">
        <f t="shared" si="18"/>
        <v>2943519.44</v>
      </c>
      <c r="Y98" s="15"/>
    </row>
    <row r="99">
      <c r="A99" s="16" t="s">
        <v>161</v>
      </c>
      <c r="B99" s="17" t="str">
        <f>IFERROR(__xludf.DUMMYFUNCTION("split(A99,""//"")"),"Month4 ")</f>
        <v>Month4 </v>
      </c>
      <c r="C99" s="17" t="str">
        <f>IFERROR(__xludf.DUMMYFUNCTION("""COMPUTED_VALUE"""),"City_Delhi")</f>
        <v>City_Delhi</v>
      </c>
      <c r="D99" s="17" t="str">
        <f>IFERROR(__xludf.DUMMYFUNCTION("""COMPUTED_VALUE"""),"PRD-NutriKid")</f>
        <v>PRD-NutriKid</v>
      </c>
      <c r="E99" s="17" t="str">
        <f>IFERROR(__xludf.DUMMYFUNCTION("""COMPUTED_VALUE"""),"OPQ  25544")</f>
        <v>OPQ  25544</v>
      </c>
      <c r="F99" s="17" t="str">
        <f>IFERROR(__xludf.DUMMYFUNCTION("""COMPUTED_VALUE"""),"NPQ[IPLMARKETTING]31930")</f>
        <v>NPQ[IPLMARKETTING]31930</v>
      </c>
      <c r="G99" s="18">
        <f t="shared" si="1"/>
        <v>4</v>
      </c>
      <c r="H99" s="17" t="str">
        <f t="shared" si="2"/>
        <v>April</v>
      </c>
      <c r="I99" s="17" t="str">
        <f t="shared" si="3"/>
        <v>Delhi</v>
      </c>
      <c r="J99" s="17" t="str">
        <f t="shared" si="4"/>
        <v>NutriKid</v>
      </c>
      <c r="K99" s="18">
        <f t="shared" si="5"/>
        <v>25544</v>
      </c>
      <c r="L99" s="18">
        <f t="shared" si="6"/>
        <v>31930</v>
      </c>
      <c r="M99" s="17">
        <f t="shared" si="7"/>
        <v>60</v>
      </c>
      <c r="N99" s="18">
        <f t="shared" si="8"/>
        <v>1532640</v>
      </c>
      <c r="O99" s="17" t="str">
        <f t="shared" si="9"/>
        <v>North</v>
      </c>
      <c r="P99" s="17" t="str">
        <f t="shared" si="10"/>
        <v>Ajay Kumar</v>
      </c>
      <c r="Q99" s="19">
        <f t="shared" si="11"/>
        <v>0</v>
      </c>
      <c r="R99" s="18">
        <f t="shared" si="12"/>
        <v>1532640</v>
      </c>
      <c r="S99" s="18">
        <f t="shared" si="13"/>
        <v>1915800</v>
      </c>
      <c r="T99" s="20">
        <f t="shared" si="14"/>
        <v>24.108</v>
      </c>
      <c r="U99" s="20">
        <f t="shared" si="15"/>
        <v>29.892</v>
      </c>
      <c r="V99" s="21">
        <f t="shared" si="16"/>
        <v>615814.752</v>
      </c>
      <c r="W99" s="18">
        <f t="shared" si="17"/>
        <v>916825.248</v>
      </c>
      <c r="X99" s="17">
        <f t="shared" si="18"/>
        <v>954451.56</v>
      </c>
      <c r="Y99" s="15"/>
    </row>
    <row r="100">
      <c r="A100" s="16" t="s">
        <v>162</v>
      </c>
      <c r="B100" s="17" t="str">
        <f>IFERROR(__xludf.DUMMYFUNCTION("split(A100,""//"")"),"Month4 ")</f>
        <v>Month4 </v>
      </c>
      <c r="C100" s="17" t="str">
        <f>IFERROR(__xludf.DUMMYFUNCTION("""COMPUTED_VALUE"""),"City_Kolkata")</f>
        <v>City_Kolkata</v>
      </c>
      <c r="D100" s="17" t="str">
        <f>IFERROR(__xludf.DUMMYFUNCTION("""COMPUTED_VALUE"""),"PRD-ZestVita")</f>
        <v>PRD-ZestVita</v>
      </c>
      <c r="E100" s="17" t="str">
        <f>IFERROR(__xludf.DUMMYFUNCTION("""COMPUTED_VALUE"""),"OPQ  17900")</f>
        <v>OPQ  17900</v>
      </c>
      <c r="F100" s="17" t="str">
        <f>IFERROR(__xludf.DUMMYFUNCTION("""COMPUTED_VALUE"""),"NPQ[IPLMARKETTING]20585")</f>
        <v>NPQ[IPLMARKETTING]20585</v>
      </c>
      <c r="G100" s="18">
        <f t="shared" si="1"/>
        <v>4</v>
      </c>
      <c r="H100" s="17" t="str">
        <f t="shared" si="2"/>
        <v>April</v>
      </c>
      <c r="I100" s="17" t="str">
        <f t="shared" si="3"/>
        <v>Kolkata</v>
      </c>
      <c r="J100" s="17" t="str">
        <f t="shared" si="4"/>
        <v>ZestVita</v>
      </c>
      <c r="K100" s="18">
        <f t="shared" si="5"/>
        <v>17900</v>
      </c>
      <c r="L100" s="18">
        <f t="shared" si="6"/>
        <v>20585</v>
      </c>
      <c r="M100" s="17">
        <f t="shared" si="7"/>
        <v>135</v>
      </c>
      <c r="N100" s="18">
        <f t="shared" si="8"/>
        <v>2416500</v>
      </c>
      <c r="O100" s="17" t="str">
        <f t="shared" si="9"/>
        <v>East</v>
      </c>
      <c r="P100" s="17" t="str">
        <f t="shared" si="10"/>
        <v>Tanvi Sharma</v>
      </c>
      <c r="Q100" s="19">
        <f t="shared" si="11"/>
        <v>0</v>
      </c>
      <c r="R100" s="18">
        <f t="shared" si="12"/>
        <v>2416500</v>
      </c>
      <c r="S100" s="18">
        <f t="shared" si="13"/>
        <v>2778975</v>
      </c>
      <c r="T100" s="20">
        <f t="shared" si="14"/>
        <v>55.84</v>
      </c>
      <c r="U100" s="20">
        <f t="shared" si="15"/>
        <v>73.16</v>
      </c>
      <c r="V100" s="21">
        <f t="shared" si="16"/>
        <v>999536</v>
      </c>
      <c r="W100" s="18">
        <f t="shared" si="17"/>
        <v>1416964</v>
      </c>
      <c r="X100" s="17">
        <f t="shared" si="18"/>
        <v>1505998.6</v>
      </c>
      <c r="Y100" s="15"/>
    </row>
    <row r="101">
      <c r="A101" s="16" t="s">
        <v>163</v>
      </c>
      <c r="B101" s="17" t="str">
        <f>IFERROR(__xludf.DUMMYFUNCTION("split(A101,""//"")"),"Month4 ")</f>
        <v>Month4 </v>
      </c>
      <c r="C101" s="17" t="str">
        <f>IFERROR(__xludf.DUMMYFUNCTION("""COMPUTED_VALUE"""),"City_Kolkata")</f>
        <v>City_Kolkata</v>
      </c>
      <c r="D101" s="17" t="str">
        <f>IFERROR(__xludf.DUMMYFUNCTION("""COMPUTED_VALUE"""),"PRD-NutriKid")</f>
        <v>PRD-NutriKid</v>
      </c>
      <c r="E101" s="17" t="str">
        <f>IFERROR(__xludf.DUMMYFUNCTION("""COMPUTED_VALUE"""),"OPQ  35179")</f>
        <v>OPQ  35179</v>
      </c>
      <c r="F101" s="17" t="str">
        <f>IFERROR(__xludf.DUMMYFUNCTION("""COMPUTED_VALUE"""),"NPQ[IPLMARKETTING]43622")</f>
        <v>NPQ[IPLMARKETTING]43622</v>
      </c>
      <c r="G101" s="18">
        <f t="shared" si="1"/>
        <v>4</v>
      </c>
      <c r="H101" s="17" t="str">
        <f t="shared" si="2"/>
        <v>April</v>
      </c>
      <c r="I101" s="17" t="str">
        <f t="shared" si="3"/>
        <v>Kolkata</v>
      </c>
      <c r="J101" s="17" t="str">
        <f t="shared" si="4"/>
        <v>NutriKid</v>
      </c>
      <c r="K101" s="18">
        <f t="shared" si="5"/>
        <v>35179</v>
      </c>
      <c r="L101" s="18">
        <f t="shared" si="6"/>
        <v>43622</v>
      </c>
      <c r="M101" s="17">
        <f t="shared" si="7"/>
        <v>60</v>
      </c>
      <c r="N101" s="18">
        <f t="shared" si="8"/>
        <v>2110740</v>
      </c>
      <c r="O101" s="17" t="str">
        <f t="shared" si="9"/>
        <v>East</v>
      </c>
      <c r="P101" s="17" t="str">
        <f t="shared" si="10"/>
        <v>Tanvi Sharma</v>
      </c>
      <c r="Q101" s="19">
        <f t="shared" si="11"/>
        <v>0</v>
      </c>
      <c r="R101" s="18">
        <f t="shared" si="12"/>
        <v>2110740</v>
      </c>
      <c r="S101" s="18">
        <f t="shared" si="13"/>
        <v>2617320</v>
      </c>
      <c r="T101" s="20">
        <f t="shared" si="14"/>
        <v>24.108</v>
      </c>
      <c r="U101" s="20">
        <f t="shared" si="15"/>
        <v>29.892</v>
      </c>
      <c r="V101" s="21">
        <f t="shared" si="16"/>
        <v>848095.332</v>
      </c>
      <c r="W101" s="18">
        <f t="shared" si="17"/>
        <v>1262644.668</v>
      </c>
      <c r="X101" s="17">
        <f t="shared" si="18"/>
        <v>1303948.824</v>
      </c>
      <c r="Y101" s="15"/>
    </row>
    <row r="102">
      <c r="A102" s="16" t="s">
        <v>164</v>
      </c>
      <c r="B102" s="17" t="str">
        <f>IFERROR(__xludf.DUMMYFUNCTION("split(A102,""//"")"),"Month4 ")</f>
        <v>Month4 </v>
      </c>
      <c r="C102" s="17" t="str">
        <f>IFERROR(__xludf.DUMMYFUNCTION("""COMPUTED_VALUE"""),"City_Pune")</f>
        <v>City_Pune</v>
      </c>
      <c r="D102" s="17" t="str">
        <f>IFERROR(__xludf.DUMMYFUNCTION("""COMPUTED_VALUE"""),"PRD-ZestVita")</f>
        <v>PRD-ZestVita</v>
      </c>
      <c r="E102" s="17" t="str">
        <f>IFERROR(__xludf.DUMMYFUNCTION("""COMPUTED_VALUE"""),"OPQ  21795")</f>
        <v>OPQ  21795</v>
      </c>
      <c r="F102" s="17" t="str">
        <f>IFERROR(__xludf.DUMMYFUNCTION("""COMPUTED_VALUE"""),"NPQ[IPLMARKETTING]26590")</f>
        <v>NPQ[IPLMARKETTING]26590</v>
      </c>
      <c r="G102" s="18">
        <f t="shared" si="1"/>
        <v>4</v>
      </c>
      <c r="H102" s="17" t="str">
        <f t="shared" si="2"/>
        <v>April</v>
      </c>
      <c r="I102" s="17" t="str">
        <f t="shared" si="3"/>
        <v>Pune</v>
      </c>
      <c r="J102" s="17" t="str">
        <f t="shared" si="4"/>
        <v>ZestVita</v>
      </c>
      <c r="K102" s="18">
        <f t="shared" si="5"/>
        <v>21795</v>
      </c>
      <c r="L102" s="18">
        <f t="shared" si="6"/>
        <v>26590</v>
      </c>
      <c r="M102" s="17">
        <f t="shared" si="7"/>
        <v>135</v>
      </c>
      <c r="N102" s="18">
        <f t="shared" si="8"/>
        <v>2942325</v>
      </c>
      <c r="O102" s="17" t="str">
        <f t="shared" si="9"/>
        <v>West</v>
      </c>
      <c r="P102" s="17" t="str">
        <f t="shared" si="10"/>
        <v>Ajay Ghosh</v>
      </c>
      <c r="Q102" s="19">
        <f t="shared" si="11"/>
        <v>0</v>
      </c>
      <c r="R102" s="18">
        <f t="shared" si="12"/>
        <v>2942325</v>
      </c>
      <c r="S102" s="18">
        <f t="shared" si="13"/>
        <v>3589650</v>
      </c>
      <c r="T102" s="20">
        <f t="shared" si="14"/>
        <v>55.84</v>
      </c>
      <c r="U102" s="20">
        <f t="shared" si="15"/>
        <v>73.16</v>
      </c>
      <c r="V102" s="21">
        <f t="shared" si="16"/>
        <v>1217032.8</v>
      </c>
      <c r="W102" s="18">
        <f t="shared" si="17"/>
        <v>1725292.2</v>
      </c>
      <c r="X102" s="17">
        <f t="shared" si="18"/>
        <v>1945324.4</v>
      </c>
      <c r="Y102" s="15"/>
    </row>
    <row r="103">
      <c r="A103" s="16" t="s">
        <v>165</v>
      </c>
      <c r="B103" s="17" t="str">
        <f>IFERROR(__xludf.DUMMYFUNCTION("split(A103,""//"")"),"Month4 ")</f>
        <v>Month4 </v>
      </c>
      <c r="C103" s="17" t="str">
        <f>IFERROR(__xludf.DUMMYFUNCTION("""COMPUTED_VALUE"""),"City_Pune")</f>
        <v>City_Pune</v>
      </c>
      <c r="D103" s="17" t="str">
        <f>IFERROR(__xludf.DUMMYFUNCTION("""COMPUTED_VALUE"""),"PRD-NutriKid")</f>
        <v>PRD-NutriKid</v>
      </c>
      <c r="E103" s="17" t="str">
        <f>IFERROR(__xludf.DUMMYFUNCTION("""COMPUTED_VALUE"""),"OPQ  25739")</f>
        <v>OPQ  25739</v>
      </c>
      <c r="F103" s="17" t="str">
        <f>IFERROR(__xludf.DUMMYFUNCTION("""COMPUTED_VALUE"""),"NPQ[IPLMARKETTING]28570")</f>
        <v>NPQ[IPLMARKETTING]28570</v>
      </c>
      <c r="G103" s="18">
        <f t="shared" si="1"/>
        <v>4</v>
      </c>
      <c r="H103" s="17" t="str">
        <f t="shared" si="2"/>
        <v>April</v>
      </c>
      <c r="I103" s="17" t="str">
        <f t="shared" si="3"/>
        <v>Pune</v>
      </c>
      <c r="J103" s="17" t="str">
        <f t="shared" si="4"/>
        <v>NutriKid</v>
      </c>
      <c r="K103" s="18">
        <f t="shared" si="5"/>
        <v>25739</v>
      </c>
      <c r="L103" s="18">
        <f t="shared" si="6"/>
        <v>28570</v>
      </c>
      <c r="M103" s="17">
        <f t="shared" si="7"/>
        <v>60</v>
      </c>
      <c r="N103" s="18">
        <f t="shared" si="8"/>
        <v>1544340</v>
      </c>
      <c r="O103" s="17" t="str">
        <f t="shared" si="9"/>
        <v>West</v>
      </c>
      <c r="P103" s="17" t="str">
        <f t="shared" si="10"/>
        <v>Ajay Ghosh</v>
      </c>
      <c r="Q103" s="19">
        <f t="shared" si="11"/>
        <v>0</v>
      </c>
      <c r="R103" s="18">
        <f t="shared" si="12"/>
        <v>1544340</v>
      </c>
      <c r="S103" s="18">
        <f t="shared" si="13"/>
        <v>1714200</v>
      </c>
      <c r="T103" s="20">
        <f t="shared" si="14"/>
        <v>24.108</v>
      </c>
      <c r="U103" s="20">
        <f t="shared" si="15"/>
        <v>29.892</v>
      </c>
      <c r="V103" s="21">
        <f t="shared" si="16"/>
        <v>620515.812</v>
      </c>
      <c r="W103" s="18">
        <f t="shared" si="17"/>
        <v>923824.188</v>
      </c>
      <c r="X103" s="17">
        <f t="shared" si="18"/>
        <v>854014.44</v>
      </c>
      <c r="Y103" s="15"/>
    </row>
    <row r="104">
      <c r="A104" s="16" t="s">
        <v>166</v>
      </c>
      <c r="B104" s="17" t="str">
        <f>IFERROR(__xludf.DUMMYFUNCTION("split(A104,""//"")"),"Month4 ")</f>
        <v>Month4 </v>
      </c>
      <c r="C104" s="17" t="str">
        <f>IFERROR(__xludf.DUMMYFUNCTION("""COMPUTED_VALUE"""),"City_Bengaluru")</f>
        <v>City_Bengaluru</v>
      </c>
      <c r="D104" s="17" t="str">
        <f>IFERROR(__xludf.DUMMYFUNCTION("""COMPUTED_VALUE"""),"PRD-ZestVita")</f>
        <v>PRD-ZestVita</v>
      </c>
      <c r="E104" s="17" t="str">
        <f>IFERROR(__xludf.DUMMYFUNCTION("""COMPUTED_VALUE"""),"OPQ  40791")</f>
        <v>OPQ  40791</v>
      </c>
      <c r="F104" s="17" t="str">
        <f>IFERROR(__xludf.DUMMYFUNCTION("""COMPUTED_VALUE"""),"NPQ[IPLMARKETTING]49765")</f>
        <v>NPQ[IPLMARKETTING]49765</v>
      </c>
      <c r="G104" s="18">
        <f t="shared" si="1"/>
        <v>4</v>
      </c>
      <c r="H104" s="17" t="str">
        <f t="shared" si="2"/>
        <v>April</v>
      </c>
      <c r="I104" s="17" t="str">
        <f t="shared" si="3"/>
        <v>Bengaluru</v>
      </c>
      <c r="J104" s="17" t="str">
        <f t="shared" si="4"/>
        <v>ZestVita</v>
      </c>
      <c r="K104" s="18">
        <f t="shared" si="5"/>
        <v>40791</v>
      </c>
      <c r="L104" s="18">
        <f t="shared" si="6"/>
        <v>49765</v>
      </c>
      <c r="M104" s="17">
        <f t="shared" si="7"/>
        <v>135</v>
      </c>
      <c r="N104" s="18">
        <f t="shared" si="8"/>
        <v>5506785</v>
      </c>
      <c r="O104" s="17" t="str">
        <f t="shared" si="9"/>
        <v>South</v>
      </c>
      <c r="P104" s="17" t="str">
        <f t="shared" si="10"/>
        <v>Anjali Krishna Murthy</v>
      </c>
      <c r="Q104" s="19">
        <f t="shared" si="11"/>
        <v>0</v>
      </c>
      <c r="R104" s="18">
        <f t="shared" si="12"/>
        <v>5506785</v>
      </c>
      <c r="S104" s="18">
        <f t="shared" si="13"/>
        <v>6718275</v>
      </c>
      <c r="T104" s="20">
        <f t="shared" si="14"/>
        <v>55.84</v>
      </c>
      <c r="U104" s="20">
        <f t="shared" si="15"/>
        <v>73.16</v>
      </c>
      <c r="V104" s="21">
        <f t="shared" si="16"/>
        <v>2277769.44</v>
      </c>
      <c r="W104" s="18">
        <f t="shared" si="17"/>
        <v>3229015.56</v>
      </c>
      <c r="X104" s="17">
        <f t="shared" si="18"/>
        <v>3640807.4</v>
      </c>
      <c r="Y104" s="15"/>
    </row>
    <row r="105">
      <c r="A105" s="16" t="s">
        <v>167</v>
      </c>
      <c r="B105" s="17" t="str">
        <f>IFERROR(__xludf.DUMMYFUNCTION("split(A105,""//"")"),"Month4 ")</f>
        <v>Month4 </v>
      </c>
      <c r="C105" s="17" t="str">
        <f>IFERROR(__xludf.DUMMYFUNCTION("""COMPUTED_VALUE"""),"City_Bengaluru")</f>
        <v>City_Bengaluru</v>
      </c>
      <c r="D105" s="17" t="str">
        <f>IFERROR(__xludf.DUMMYFUNCTION("""COMPUTED_VALUE"""),"PRD-NutriKid")</f>
        <v>PRD-NutriKid</v>
      </c>
      <c r="E105" s="17" t="str">
        <f>IFERROR(__xludf.DUMMYFUNCTION("""COMPUTED_VALUE"""),"OPQ  21753")</f>
        <v>OPQ  21753</v>
      </c>
      <c r="F105" s="17" t="str">
        <f>IFERROR(__xludf.DUMMYFUNCTION("""COMPUTED_VALUE"""),"NPQ[IPLMARKETTING]26321")</f>
        <v>NPQ[IPLMARKETTING]26321</v>
      </c>
      <c r="G105" s="18">
        <f t="shared" si="1"/>
        <v>4</v>
      </c>
      <c r="H105" s="17" t="str">
        <f t="shared" si="2"/>
        <v>April</v>
      </c>
      <c r="I105" s="17" t="str">
        <f t="shared" si="3"/>
        <v>Bengaluru</v>
      </c>
      <c r="J105" s="17" t="str">
        <f t="shared" si="4"/>
        <v>NutriKid</v>
      </c>
      <c r="K105" s="18">
        <f t="shared" si="5"/>
        <v>21753</v>
      </c>
      <c r="L105" s="18">
        <f t="shared" si="6"/>
        <v>26321</v>
      </c>
      <c r="M105" s="17">
        <f t="shared" si="7"/>
        <v>60</v>
      </c>
      <c r="N105" s="18">
        <f t="shared" si="8"/>
        <v>1305180</v>
      </c>
      <c r="O105" s="17" t="str">
        <f t="shared" si="9"/>
        <v>South</v>
      </c>
      <c r="P105" s="17" t="str">
        <f t="shared" si="10"/>
        <v>Anjali Krishna Murthy</v>
      </c>
      <c r="Q105" s="19">
        <f t="shared" si="11"/>
        <v>0</v>
      </c>
      <c r="R105" s="18">
        <f t="shared" si="12"/>
        <v>1305180</v>
      </c>
      <c r="S105" s="18">
        <f t="shared" si="13"/>
        <v>1579260</v>
      </c>
      <c r="T105" s="20">
        <f t="shared" si="14"/>
        <v>24.108</v>
      </c>
      <c r="U105" s="20">
        <f t="shared" si="15"/>
        <v>29.892</v>
      </c>
      <c r="V105" s="21">
        <f t="shared" si="16"/>
        <v>524421.324</v>
      </c>
      <c r="W105" s="18">
        <f t="shared" si="17"/>
        <v>780758.676</v>
      </c>
      <c r="X105" s="17">
        <f t="shared" si="18"/>
        <v>786787.332</v>
      </c>
      <c r="Y105" s="15"/>
    </row>
    <row r="106">
      <c r="A106" s="16" t="s">
        <v>168</v>
      </c>
      <c r="B106" s="17" t="str">
        <f>IFERROR(__xludf.DUMMYFUNCTION("split(A106,""//"")"),"Month4 ")</f>
        <v>Month4 </v>
      </c>
      <c r="C106" s="17" t="str">
        <f>IFERROR(__xludf.DUMMYFUNCTION("""COMPUTED_VALUE"""),"City_Chandigarh")</f>
        <v>City_Chandigarh</v>
      </c>
      <c r="D106" s="17" t="str">
        <f>IFERROR(__xludf.DUMMYFUNCTION("""COMPUTED_VALUE"""),"PRD-ZestVita")</f>
        <v>PRD-ZestVita</v>
      </c>
      <c r="E106" s="17" t="str">
        <f>IFERROR(__xludf.DUMMYFUNCTION("""COMPUTED_VALUE"""),"OPQ  35006")</f>
        <v>OPQ  35006</v>
      </c>
      <c r="F106" s="17" t="str">
        <f>IFERROR(__xludf.DUMMYFUNCTION("""COMPUTED_VALUE"""),"NPQ[IPLMARKETTING]42007")</f>
        <v>NPQ[IPLMARKETTING]42007</v>
      </c>
      <c r="G106" s="18">
        <f t="shared" si="1"/>
        <v>4</v>
      </c>
      <c r="H106" s="17" t="str">
        <f t="shared" si="2"/>
        <v>April</v>
      </c>
      <c r="I106" s="17" t="str">
        <f t="shared" si="3"/>
        <v>Chandigarh</v>
      </c>
      <c r="J106" s="17" t="str">
        <f t="shared" si="4"/>
        <v>ZestVita</v>
      </c>
      <c r="K106" s="18">
        <f t="shared" si="5"/>
        <v>35006</v>
      </c>
      <c r="L106" s="18">
        <f t="shared" si="6"/>
        <v>42007</v>
      </c>
      <c r="M106" s="17">
        <f t="shared" si="7"/>
        <v>135</v>
      </c>
      <c r="N106" s="18">
        <f t="shared" si="8"/>
        <v>4725810</v>
      </c>
      <c r="O106" s="17" t="str">
        <f t="shared" si="9"/>
        <v>North</v>
      </c>
      <c r="P106" s="17" t="str">
        <f t="shared" si="10"/>
        <v>Ajay Kumar</v>
      </c>
      <c r="Q106" s="19">
        <f t="shared" si="11"/>
        <v>0</v>
      </c>
      <c r="R106" s="18">
        <f t="shared" si="12"/>
        <v>4725810</v>
      </c>
      <c r="S106" s="18">
        <f t="shared" si="13"/>
        <v>5670945</v>
      </c>
      <c r="T106" s="20">
        <f t="shared" si="14"/>
        <v>55.84</v>
      </c>
      <c r="U106" s="20">
        <f t="shared" si="15"/>
        <v>73.16</v>
      </c>
      <c r="V106" s="21">
        <f t="shared" si="16"/>
        <v>1954735.04</v>
      </c>
      <c r="W106" s="18">
        <f t="shared" si="17"/>
        <v>2771074.96</v>
      </c>
      <c r="X106" s="17">
        <f t="shared" si="18"/>
        <v>3073232.12</v>
      </c>
      <c r="Y106" s="15"/>
    </row>
    <row r="107">
      <c r="A107" s="16" t="s">
        <v>169</v>
      </c>
      <c r="B107" s="17" t="str">
        <f>IFERROR(__xludf.DUMMYFUNCTION("split(A107,""//"")"),"Month4 ")</f>
        <v>Month4 </v>
      </c>
      <c r="C107" s="17" t="str">
        <f>IFERROR(__xludf.DUMMYFUNCTION("""COMPUTED_VALUE"""),"City_Chandigarh")</f>
        <v>City_Chandigarh</v>
      </c>
      <c r="D107" s="17" t="str">
        <f>IFERROR(__xludf.DUMMYFUNCTION("""COMPUTED_VALUE"""),"PRD-NutriKid")</f>
        <v>PRD-NutriKid</v>
      </c>
      <c r="E107" s="17" t="str">
        <f>IFERROR(__xludf.DUMMYFUNCTION("""COMPUTED_VALUE"""),"OPQ  37186")</f>
        <v>OPQ  37186</v>
      </c>
      <c r="F107" s="17" t="str">
        <f>IFERROR(__xludf.DUMMYFUNCTION("""COMPUTED_VALUE"""),"NPQ[IPLMARKETTING]44995")</f>
        <v>NPQ[IPLMARKETTING]44995</v>
      </c>
      <c r="G107" s="18">
        <f t="shared" si="1"/>
        <v>4</v>
      </c>
      <c r="H107" s="17" t="str">
        <f t="shared" si="2"/>
        <v>April</v>
      </c>
      <c r="I107" s="17" t="str">
        <f t="shared" si="3"/>
        <v>Chandigarh</v>
      </c>
      <c r="J107" s="17" t="str">
        <f t="shared" si="4"/>
        <v>NutriKid</v>
      </c>
      <c r="K107" s="18">
        <f t="shared" si="5"/>
        <v>37186</v>
      </c>
      <c r="L107" s="18">
        <f t="shared" si="6"/>
        <v>44995</v>
      </c>
      <c r="M107" s="17">
        <f t="shared" si="7"/>
        <v>60</v>
      </c>
      <c r="N107" s="18">
        <f t="shared" si="8"/>
        <v>2231160</v>
      </c>
      <c r="O107" s="17" t="str">
        <f t="shared" si="9"/>
        <v>North</v>
      </c>
      <c r="P107" s="17" t="str">
        <f t="shared" si="10"/>
        <v>Ajay Kumar</v>
      </c>
      <c r="Q107" s="19">
        <f t="shared" si="11"/>
        <v>0</v>
      </c>
      <c r="R107" s="18">
        <f t="shared" si="12"/>
        <v>2231160</v>
      </c>
      <c r="S107" s="18">
        <f t="shared" si="13"/>
        <v>2699700</v>
      </c>
      <c r="T107" s="20">
        <f t="shared" si="14"/>
        <v>24.108</v>
      </c>
      <c r="U107" s="20">
        <f t="shared" si="15"/>
        <v>29.892</v>
      </c>
      <c r="V107" s="21">
        <f t="shared" si="16"/>
        <v>896480.088</v>
      </c>
      <c r="W107" s="18">
        <f t="shared" si="17"/>
        <v>1334679.912</v>
      </c>
      <c r="X107" s="17">
        <f t="shared" si="18"/>
        <v>1344990.54</v>
      </c>
      <c r="Y107" s="15"/>
    </row>
    <row r="108">
      <c r="A108" s="16" t="s">
        <v>170</v>
      </c>
      <c r="B108" s="17" t="str">
        <f>IFERROR(__xludf.DUMMYFUNCTION("split(A108,""//"")"),"Month4 ")</f>
        <v>Month4 </v>
      </c>
      <c r="C108" s="17" t="str">
        <f>IFERROR(__xludf.DUMMYFUNCTION("""COMPUTED_VALUE"""),"City_Bhubaneswar")</f>
        <v>City_Bhubaneswar</v>
      </c>
      <c r="D108" s="17" t="str">
        <f>IFERROR(__xludf.DUMMYFUNCTION("""COMPUTED_VALUE"""),"PRD-ZestVita")</f>
        <v>PRD-ZestVita</v>
      </c>
      <c r="E108" s="17" t="str">
        <f>IFERROR(__xludf.DUMMYFUNCTION("""COMPUTED_VALUE"""),"OPQ  14722")</f>
        <v>OPQ  14722</v>
      </c>
      <c r="F108" s="17" t="str">
        <f>IFERROR(__xludf.DUMMYFUNCTION("""COMPUTED_VALUE"""),"NPQ[IPLMARKETTING]15164")</f>
        <v>NPQ[IPLMARKETTING]15164</v>
      </c>
      <c r="G108" s="18">
        <f t="shared" si="1"/>
        <v>4</v>
      </c>
      <c r="H108" s="17" t="str">
        <f t="shared" si="2"/>
        <v>April</v>
      </c>
      <c r="I108" s="17" t="str">
        <f t="shared" si="3"/>
        <v>Bhubaneswar</v>
      </c>
      <c r="J108" s="17" t="str">
        <f t="shared" si="4"/>
        <v>ZestVita</v>
      </c>
      <c r="K108" s="18">
        <f t="shared" si="5"/>
        <v>14722</v>
      </c>
      <c r="L108" s="18">
        <f t="shared" si="6"/>
        <v>15164</v>
      </c>
      <c r="M108" s="17">
        <f t="shared" si="7"/>
        <v>135</v>
      </c>
      <c r="N108" s="18">
        <f t="shared" si="8"/>
        <v>1987470</v>
      </c>
      <c r="O108" s="17" t="str">
        <f t="shared" si="9"/>
        <v>East</v>
      </c>
      <c r="P108" s="17" t="str">
        <f t="shared" si="10"/>
        <v>Tanvi Sharma</v>
      </c>
      <c r="Q108" s="19">
        <f t="shared" si="11"/>
        <v>0.125</v>
      </c>
      <c r="R108" s="17">
        <f t="shared" si="12"/>
        <v>1739036.25</v>
      </c>
      <c r="S108" s="18">
        <f t="shared" si="13"/>
        <v>2047140</v>
      </c>
      <c r="T108" s="20">
        <f t="shared" si="14"/>
        <v>55.84</v>
      </c>
      <c r="U108" s="20">
        <f t="shared" si="15"/>
        <v>73.16</v>
      </c>
      <c r="V108" s="21">
        <f t="shared" si="16"/>
        <v>822076.48</v>
      </c>
      <c r="W108" s="21">
        <f t="shared" si="17"/>
        <v>916959.77</v>
      </c>
      <c r="X108" s="17">
        <f t="shared" si="18"/>
        <v>1109398.24</v>
      </c>
      <c r="Y108" s="15"/>
    </row>
    <row r="109">
      <c r="A109" s="16" t="s">
        <v>171</v>
      </c>
      <c r="B109" s="17" t="str">
        <f>IFERROR(__xludf.DUMMYFUNCTION("split(A109,""//"")"),"Month4 ")</f>
        <v>Month4 </v>
      </c>
      <c r="C109" s="17" t="str">
        <f>IFERROR(__xludf.DUMMYFUNCTION("""COMPUTED_VALUE"""),"City_Bhubaneswar")</f>
        <v>City_Bhubaneswar</v>
      </c>
      <c r="D109" s="17" t="str">
        <f>IFERROR(__xludf.DUMMYFUNCTION("""COMPUTED_VALUE"""),"PRD-NutriKid")</f>
        <v>PRD-NutriKid</v>
      </c>
      <c r="E109" s="17" t="str">
        <f>IFERROR(__xludf.DUMMYFUNCTION("""COMPUTED_VALUE"""),"OPQ  19873")</f>
        <v>OPQ  19873</v>
      </c>
      <c r="F109" s="17" t="str">
        <f>IFERROR(__xludf.DUMMYFUNCTION("""COMPUTED_VALUE"""),"NPQ[IPLMARKETTING]20469")</f>
        <v>NPQ[IPLMARKETTING]20469</v>
      </c>
      <c r="G109" s="18">
        <f t="shared" si="1"/>
        <v>4</v>
      </c>
      <c r="H109" s="17" t="str">
        <f t="shared" si="2"/>
        <v>April</v>
      </c>
      <c r="I109" s="17" t="str">
        <f t="shared" si="3"/>
        <v>Bhubaneswar</v>
      </c>
      <c r="J109" s="17" t="str">
        <f t="shared" si="4"/>
        <v>NutriKid</v>
      </c>
      <c r="K109" s="18">
        <f t="shared" si="5"/>
        <v>19873</v>
      </c>
      <c r="L109" s="18">
        <f t="shared" si="6"/>
        <v>20469</v>
      </c>
      <c r="M109" s="17">
        <f t="shared" si="7"/>
        <v>60</v>
      </c>
      <c r="N109" s="18">
        <f t="shared" si="8"/>
        <v>1192380</v>
      </c>
      <c r="O109" s="17" t="str">
        <f t="shared" si="9"/>
        <v>East</v>
      </c>
      <c r="P109" s="17" t="str">
        <f t="shared" si="10"/>
        <v>Tanvi Sharma</v>
      </c>
      <c r="Q109" s="19">
        <f t="shared" si="11"/>
        <v>0.125</v>
      </c>
      <c r="R109" s="17">
        <f t="shared" si="12"/>
        <v>1043332.5</v>
      </c>
      <c r="S109" s="18">
        <f t="shared" si="13"/>
        <v>1228140</v>
      </c>
      <c r="T109" s="20">
        <f t="shared" si="14"/>
        <v>24.108</v>
      </c>
      <c r="U109" s="20">
        <f t="shared" si="15"/>
        <v>29.892</v>
      </c>
      <c r="V109" s="21">
        <f t="shared" si="16"/>
        <v>479098.284</v>
      </c>
      <c r="W109" s="21">
        <f t="shared" si="17"/>
        <v>564234.216</v>
      </c>
      <c r="X109" s="17">
        <f t="shared" si="18"/>
        <v>611859.348</v>
      </c>
      <c r="Y109" s="15"/>
    </row>
    <row r="110">
      <c r="A110" s="16" t="s">
        <v>172</v>
      </c>
      <c r="B110" s="17" t="str">
        <f>IFERROR(__xludf.DUMMYFUNCTION("split(A110,""//"")"),"Month4 ")</f>
        <v>Month4 </v>
      </c>
      <c r="C110" s="17" t="str">
        <f>IFERROR(__xludf.DUMMYFUNCTION("""COMPUTED_VALUE"""),"City_Ahmedabad ")</f>
        <v>City_Ahmedabad </v>
      </c>
      <c r="D110" s="17" t="str">
        <f>IFERROR(__xludf.DUMMYFUNCTION("""COMPUTED_VALUE"""),"PRD-ZestVita")</f>
        <v>PRD-ZestVita</v>
      </c>
      <c r="E110" s="17" t="str">
        <f>IFERROR(__xludf.DUMMYFUNCTION("""COMPUTED_VALUE"""),"OPQ  30752")</f>
        <v>OPQ  30752</v>
      </c>
      <c r="F110" s="17" t="str">
        <f>IFERROR(__xludf.DUMMYFUNCTION("""COMPUTED_VALUE"""),"NPQ[IPLMARKETTING]36902")</f>
        <v>NPQ[IPLMARKETTING]36902</v>
      </c>
      <c r="G110" s="18">
        <f t="shared" si="1"/>
        <v>4</v>
      </c>
      <c r="H110" s="17" t="str">
        <f t="shared" si="2"/>
        <v>April</v>
      </c>
      <c r="I110" s="17" t="str">
        <f t="shared" si="3"/>
        <v>Ahmedabad </v>
      </c>
      <c r="J110" s="17" t="str">
        <f t="shared" si="4"/>
        <v>ZestVita</v>
      </c>
      <c r="K110" s="18">
        <f t="shared" si="5"/>
        <v>30752</v>
      </c>
      <c r="L110" s="18">
        <f t="shared" si="6"/>
        <v>36902</v>
      </c>
      <c r="M110" s="17">
        <f t="shared" si="7"/>
        <v>135</v>
      </c>
      <c r="N110" s="18">
        <f t="shared" si="8"/>
        <v>4151520</v>
      </c>
      <c r="O110" s="17" t="str">
        <f t="shared" si="9"/>
        <v>West</v>
      </c>
      <c r="P110" s="17" t="str">
        <f t="shared" si="10"/>
        <v>Ajay Ghosh</v>
      </c>
      <c r="Q110" s="19">
        <f t="shared" si="11"/>
        <v>0</v>
      </c>
      <c r="R110" s="18">
        <f t="shared" si="12"/>
        <v>4151520</v>
      </c>
      <c r="S110" s="18">
        <f t="shared" si="13"/>
        <v>4981770</v>
      </c>
      <c r="T110" s="20">
        <f t="shared" si="14"/>
        <v>55.84</v>
      </c>
      <c r="U110" s="20">
        <f t="shared" si="15"/>
        <v>73.16</v>
      </c>
      <c r="V110" s="21">
        <f t="shared" si="16"/>
        <v>1717191.68</v>
      </c>
      <c r="W110" s="18">
        <f t="shared" si="17"/>
        <v>2434328.32</v>
      </c>
      <c r="X110" s="17">
        <f t="shared" si="18"/>
        <v>2699750.32</v>
      </c>
      <c r="Y110" s="15"/>
    </row>
    <row r="111">
      <c r="A111" s="16" t="s">
        <v>173</v>
      </c>
      <c r="B111" s="17" t="str">
        <f>IFERROR(__xludf.DUMMYFUNCTION("split(A111,""//"")"),"Month4 ")</f>
        <v>Month4 </v>
      </c>
      <c r="C111" s="17" t="str">
        <f>IFERROR(__xludf.DUMMYFUNCTION("""COMPUTED_VALUE"""),"City_Ahmedabad ")</f>
        <v>City_Ahmedabad </v>
      </c>
      <c r="D111" s="17" t="str">
        <f>IFERROR(__xludf.DUMMYFUNCTION("""COMPUTED_VALUE"""),"PRD-NutriKid")</f>
        <v>PRD-NutriKid</v>
      </c>
      <c r="E111" s="17" t="str">
        <f>IFERROR(__xludf.DUMMYFUNCTION("""COMPUTED_VALUE"""),"OPQ  17729")</f>
        <v>OPQ  17729</v>
      </c>
      <c r="F111" s="17" t="str">
        <f>IFERROR(__xludf.DUMMYFUNCTION("""COMPUTED_VALUE"""),"NPQ[IPLMARKETTING]19502")</f>
        <v>NPQ[IPLMARKETTING]19502</v>
      </c>
      <c r="G111" s="18">
        <f t="shared" si="1"/>
        <v>4</v>
      </c>
      <c r="H111" s="17" t="str">
        <f t="shared" si="2"/>
        <v>April</v>
      </c>
      <c r="I111" s="17" t="str">
        <f t="shared" si="3"/>
        <v>Ahmedabad </v>
      </c>
      <c r="J111" s="17" t="str">
        <f t="shared" si="4"/>
        <v>NutriKid</v>
      </c>
      <c r="K111" s="18">
        <f t="shared" si="5"/>
        <v>17729</v>
      </c>
      <c r="L111" s="18">
        <f t="shared" si="6"/>
        <v>19502</v>
      </c>
      <c r="M111" s="17">
        <f t="shared" si="7"/>
        <v>60</v>
      </c>
      <c r="N111" s="18">
        <f t="shared" si="8"/>
        <v>1063740</v>
      </c>
      <c r="O111" s="17" t="str">
        <f t="shared" si="9"/>
        <v>West</v>
      </c>
      <c r="P111" s="17" t="str">
        <f t="shared" si="10"/>
        <v>Ajay Ghosh</v>
      </c>
      <c r="Q111" s="19">
        <f t="shared" si="11"/>
        <v>0</v>
      </c>
      <c r="R111" s="18">
        <f t="shared" si="12"/>
        <v>1063740</v>
      </c>
      <c r="S111" s="18">
        <f t="shared" si="13"/>
        <v>1170120</v>
      </c>
      <c r="T111" s="20">
        <f t="shared" si="14"/>
        <v>24.108</v>
      </c>
      <c r="U111" s="20">
        <f t="shared" si="15"/>
        <v>29.892</v>
      </c>
      <c r="V111" s="21">
        <f t="shared" si="16"/>
        <v>427410.732</v>
      </c>
      <c r="W111" s="18">
        <f t="shared" si="17"/>
        <v>636329.268</v>
      </c>
      <c r="X111" s="17">
        <f t="shared" si="18"/>
        <v>582953.784</v>
      </c>
      <c r="Y111" s="15"/>
    </row>
    <row r="112">
      <c r="A112" s="16" t="s">
        <v>174</v>
      </c>
      <c r="B112" s="17" t="str">
        <f>IFERROR(__xludf.DUMMYFUNCTION("split(A112,""//"")"),"Month4 ")</f>
        <v>Month4 </v>
      </c>
      <c r="C112" s="17" t="str">
        <f>IFERROR(__xludf.DUMMYFUNCTION("""COMPUTED_VALUE"""),"City_Chennai")</f>
        <v>City_Chennai</v>
      </c>
      <c r="D112" s="17" t="str">
        <f>IFERROR(__xludf.DUMMYFUNCTION("""COMPUTED_VALUE"""),"PRD-ZestVita")</f>
        <v>PRD-ZestVita</v>
      </c>
      <c r="E112" s="17" t="str">
        <f>IFERROR(__xludf.DUMMYFUNCTION("""COMPUTED_VALUE"""),"OPQ  19317")</f>
        <v>OPQ  19317</v>
      </c>
      <c r="F112" s="17" t="str">
        <f>IFERROR(__xludf.DUMMYFUNCTION("""COMPUTED_VALUE"""),"NPQ[IPLMARKETTING]22021")</f>
        <v>NPQ[IPLMARKETTING]22021</v>
      </c>
      <c r="G112" s="18">
        <f t="shared" si="1"/>
        <v>4</v>
      </c>
      <c r="H112" s="17" t="str">
        <f t="shared" si="2"/>
        <v>April</v>
      </c>
      <c r="I112" s="17" t="str">
        <f t="shared" si="3"/>
        <v>Chennai</v>
      </c>
      <c r="J112" s="17" t="str">
        <f t="shared" si="4"/>
        <v>ZestVita</v>
      </c>
      <c r="K112" s="18">
        <f t="shared" si="5"/>
        <v>19317</v>
      </c>
      <c r="L112" s="18">
        <f t="shared" si="6"/>
        <v>22021</v>
      </c>
      <c r="M112" s="17">
        <f t="shared" si="7"/>
        <v>135</v>
      </c>
      <c r="N112" s="18">
        <f t="shared" si="8"/>
        <v>2607795</v>
      </c>
      <c r="O112" s="17" t="str">
        <f t="shared" si="9"/>
        <v>South</v>
      </c>
      <c r="P112" s="17" t="str">
        <f t="shared" si="10"/>
        <v>Anjali Krishna Murthy</v>
      </c>
      <c r="Q112" s="19">
        <f t="shared" si="11"/>
        <v>0</v>
      </c>
      <c r="R112" s="18">
        <f t="shared" si="12"/>
        <v>2607795</v>
      </c>
      <c r="S112" s="18">
        <f t="shared" si="13"/>
        <v>2972835</v>
      </c>
      <c r="T112" s="20">
        <f t="shared" si="14"/>
        <v>55.84</v>
      </c>
      <c r="U112" s="20">
        <f t="shared" si="15"/>
        <v>73.16</v>
      </c>
      <c r="V112" s="21">
        <f t="shared" si="16"/>
        <v>1078661.28</v>
      </c>
      <c r="W112" s="18">
        <f t="shared" si="17"/>
        <v>1529133.72</v>
      </c>
      <c r="X112" s="17">
        <f t="shared" si="18"/>
        <v>1611056.36</v>
      </c>
      <c r="Y112" s="15"/>
    </row>
    <row r="113">
      <c r="A113" s="16" t="s">
        <v>175</v>
      </c>
      <c r="B113" s="17" t="str">
        <f>IFERROR(__xludf.DUMMYFUNCTION("split(A113,""//"")"),"Month4 ")</f>
        <v>Month4 </v>
      </c>
      <c r="C113" s="17" t="str">
        <f>IFERROR(__xludf.DUMMYFUNCTION("""COMPUTED_VALUE"""),"City_Chennai")</f>
        <v>City_Chennai</v>
      </c>
      <c r="D113" s="17" t="str">
        <f>IFERROR(__xludf.DUMMYFUNCTION("""COMPUTED_VALUE"""),"PRD-NutriKid")</f>
        <v>PRD-NutriKid</v>
      </c>
      <c r="E113" s="17" t="str">
        <f>IFERROR(__xludf.DUMMYFUNCTION("""COMPUTED_VALUE"""),"OPQ  21190")</f>
        <v>OPQ  21190</v>
      </c>
      <c r="F113" s="17" t="str">
        <f>IFERROR(__xludf.DUMMYFUNCTION("""COMPUTED_VALUE"""),"NPQ[IPLMARKETTING]26276")</f>
        <v>NPQ[IPLMARKETTING]26276</v>
      </c>
      <c r="G113" s="18">
        <f t="shared" si="1"/>
        <v>4</v>
      </c>
      <c r="H113" s="17" t="str">
        <f t="shared" si="2"/>
        <v>April</v>
      </c>
      <c r="I113" s="17" t="str">
        <f t="shared" si="3"/>
        <v>Chennai</v>
      </c>
      <c r="J113" s="17" t="str">
        <f t="shared" si="4"/>
        <v>NutriKid</v>
      </c>
      <c r="K113" s="18">
        <f t="shared" si="5"/>
        <v>21190</v>
      </c>
      <c r="L113" s="18">
        <f t="shared" si="6"/>
        <v>26276</v>
      </c>
      <c r="M113" s="17">
        <f t="shared" si="7"/>
        <v>60</v>
      </c>
      <c r="N113" s="18">
        <f t="shared" si="8"/>
        <v>1271400</v>
      </c>
      <c r="O113" s="17" t="str">
        <f t="shared" si="9"/>
        <v>South</v>
      </c>
      <c r="P113" s="17" t="str">
        <f t="shared" si="10"/>
        <v>Anjali Krishna Murthy</v>
      </c>
      <c r="Q113" s="19">
        <f t="shared" si="11"/>
        <v>0</v>
      </c>
      <c r="R113" s="18">
        <f t="shared" si="12"/>
        <v>1271400</v>
      </c>
      <c r="S113" s="18">
        <f t="shared" si="13"/>
        <v>1576560</v>
      </c>
      <c r="T113" s="20">
        <f t="shared" si="14"/>
        <v>24.108</v>
      </c>
      <c r="U113" s="20">
        <f t="shared" si="15"/>
        <v>29.892</v>
      </c>
      <c r="V113" s="21">
        <f t="shared" si="16"/>
        <v>510848.52</v>
      </c>
      <c r="W113" s="18">
        <f t="shared" si="17"/>
        <v>760551.48</v>
      </c>
      <c r="X113" s="17">
        <f t="shared" si="18"/>
        <v>785442.192</v>
      </c>
      <c r="Y113" s="15"/>
    </row>
    <row r="114">
      <c r="A114" s="16" t="s">
        <v>176</v>
      </c>
      <c r="B114" s="17" t="str">
        <f>IFERROR(__xludf.DUMMYFUNCTION("split(A114,""//"")"),"Month4 ")</f>
        <v>Month4 </v>
      </c>
      <c r="C114" s="17" t="str">
        <f>IFERROR(__xludf.DUMMYFUNCTION("""COMPUTED_VALUE"""),"City_Lucknow")</f>
        <v>City_Lucknow</v>
      </c>
      <c r="D114" s="17" t="str">
        <f>IFERROR(__xludf.DUMMYFUNCTION("""COMPUTED_VALUE"""),"PRD-ZestVita")</f>
        <v>PRD-ZestVita</v>
      </c>
      <c r="E114" s="17" t="str">
        <f>IFERROR(__xludf.DUMMYFUNCTION("""COMPUTED_VALUE"""),"OPQ  24409")</f>
        <v>OPQ  24409</v>
      </c>
      <c r="F114" s="17" t="str">
        <f>IFERROR(__xludf.DUMMYFUNCTION("""COMPUTED_VALUE"""),"NPQ[IPLMARKETTING]27826")</f>
        <v>NPQ[IPLMARKETTING]27826</v>
      </c>
      <c r="G114" s="18">
        <f t="shared" si="1"/>
        <v>4</v>
      </c>
      <c r="H114" s="17" t="str">
        <f t="shared" si="2"/>
        <v>April</v>
      </c>
      <c r="I114" s="17" t="str">
        <f t="shared" si="3"/>
        <v>Lucknow</v>
      </c>
      <c r="J114" s="17" t="str">
        <f t="shared" si="4"/>
        <v>ZestVita</v>
      </c>
      <c r="K114" s="18">
        <f t="shared" si="5"/>
        <v>24409</v>
      </c>
      <c r="L114" s="18">
        <f t="shared" si="6"/>
        <v>27826</v>
      </c>
      <c r="M114" s="17">
        <f t="shared" si="7"/>
        <v>135</v>
      </c>
      <c r="N114" s="18">
        <f t="shared" si="8"/>
        <v>3295215</v>
      </c>
      <c r="O114" s="17" t="str">
        <f t="shared" si="9"/>
        <v>North</v>
      </c>
      <c r="P114" s="17" t="str">
        <f t="shared" si="10"/>
        <v>Ajay Kumar</v>
      </c>
      <c r="Q114" s="19">
        <f t="shared" si="11"/>
        <v>0.1</v>
      </c>
      <c r="R114" s="17">
        <f t="shared" si="12"/>
        <v>2965693.5</v>
      </c>
      <c r="S114" s="18">
        <f t="shared" si="13"/>
        <v>3756510</v>
      </c>
      <c r="T114" s="20">
        <f t="shared" si="14"/>
        <v>55.84</v>
      </c>
      <c r="U114" s="20">
        <f t="shared" si="15"/>
        <v>73.16</v>
      </c>
      <c r="V114" s="21">
        <f t="shared" si="16"/>
        <v>1362998.56</v>
      </c>
      <c r="W114" s="21">
        <f t="shared" si="17"/>
        <v>1602694.94</v>
      </c>
      <c r="X114" s="17">
        <f t="shared" si="18"/>
        <v>2035750.16</v>
      </c>
      <c r="Y114" s="15"/>
    </row>
    <row r="115">
      <c r="A115" s="16" t="s">
        <v>177</v>
      </c>
      <c r="B115" s="17" t="str">
        <f>IFERROR(__xludf.DUMMYFUNCTION("split(A115,""//"")"),"Month4 ")</f>
        <v>Month4 </v>
      </c>
      <c r="C115" s="17" t="str">
        <f>IFERROR(__xludf.DUMMYFUNCTION("""COMPUTED_VALUE"""),"City_Lucknow")</f>
        <v>City_Lucknow</v>
      </c>
      <c r="D115" s="17" t="str">
        <f>IFERROR(__xludf.DUMMYFUNCTION("""COMPUTED_VALUE"""),"PRD-NutriKid")</f>
        <v>PRD-NutriKid</v>
      </c>
      <c r="E115" s="17" t="str">
        <f>IFERROR(__xludf.DUMMYFUNCTION("""COMPUTED_VALUE"""),"OPQ  22620")</f>
        <v>OPQ  22620</v>
      </c>
      <c r="F115" s="17" t="str">
        <f>IFERROR(__xludf.DUMMYFUNCTION("""COMPUTED_VALUE"""),"NPQ[IPLMARKETTING]25108")</f>
        <v>NPQ[IPLMARKETTING]25108</v>
      </c>
      <c r="G115" s="18">
        <f t="shared" si="1"/>
        <v>4</v>
      </c>
      <c r="H115" s="17" t="str">
        <f t="shared" si="2"/>
        <v>April</v>
      </c>
      <c r="I115" s="17" t="str">
        <f t="shared" si="3"/>
        <v>Lucknow</v>
      </c>
      <c r="J115" s="17" t="str">
        <f t="shared" si="4"/>
        <v>NutriKid</v>
      </c>
      <c r="K115" s="18">
        <f t="shared" si="5"/>
        <v>22620</v>
      </c>
      <c r="L115" s="18">
        <f t="shared" si="6"/>
        <v>25108</v>
      </c>
      <c r="M115" s="17">
        <f t="shared" si="7"/>
        <v>60</v>
      </c>
      <c r="N115" s="18">
        <f t="shared" si="8"/>
        <v>1357200</v>
      </c>
      <c r="O115" s="17" t="str">
        <f t="shared" si="9"/>
        <v>North</v>
      </c>
      <c r="P115" s="17" t="str">
        <f t="shared" si="10"/>
        <v>Ajay Kumar</v>
      </c>
      <c r="Q115" s="19">
        <f t="shared" si="11"/>
        <v>0.1</v>
      </c>
      <c r="R115" s="17">
        <f t="shared" si="12"/>
        <v>1221480</v>
      </c>
      <c r="S115" s="18">
        <f t="shared" si="13"/>
        <v>1506480</v>
      </c>
      <c r="T115" s="20">
        <f t="shared" si="14"/>
        <v>24.108</v>
      </c>
      <c r="U115" s="20">
        <f t="shared" si="15"/>
        <v>29.892</v>
      </c>
      <c r="V115" s="21">
        <f t="shared" si="16"/>
        <v>545322.96</v>
      </c>
      <c r="W115" s="21">
        <f t="shared" si="17"/>
        <v>676157.04</v>
      </c>
      <c r="X115" s="17">
        <f t="shared" si="18"/>
        <v>750528.336</v>
      </c>
      <c r="Y115" s="15"/>
    </row>
    <row r="116">
      <c r="A116" s="16" t="s">
        <v>178</v>
      </c>
      <c r="B116" s="17" t="str">
        <f>IFERROR(__xludf.DUMMYFUNCTION("split(A116,""//"")"),"Month4 ")</f>
        <v>Month4 </v>
      </c>
      <c r="C116" s="17" t="str">
        <f>IFERROR(__xludf.DUMMYFUNCTION("""COMPUTED_VALUE"""),"City_Ranchi")</f>
        <v>City_Ranchi</v>
      </c>
      <c r="D116" s="17" t="str">
        <f>IFERROR(__xludf.DUMMYFUNCTION("""COMPUTED_VALUE"""),"PRD-ZestVita")</f>
        <v>PRD-ZestVita</v>
      </c>
      <c r="E116" s="17" t="str">
        <f>IFERROR(__xludf.DUMMYFUNCTION("""COMPUTED_VALUE"""),"OPQ  29782")</f>
        <v>OPQ  29782</v>
      </c>
      <c r="F116" s="17" t="str">
        <f>IFERROR(__xludf.DUMMYFUNCTION("""COMPUTED_VALUE"""),"NPQ[IPLMARKETTING]30378")</f>
        <v>NPQ[IPLMARKETTING]30378</v>
      </c>
      <c r="G116" s="18">
        <f t="shared" si="1"/>
        <v>4</v>
      </c>
      <c r="H116" s="17" t="str">
        <f t="shared" si="2"/>
        <v>April</v>
      </c>
      <c r="I116" s="17" t="str">
        <f t="shared" si="3"/>
        <v>Ranchi</v>
      </c>
      <c r="J116" s="17" t="str">
        <f t="shared" si="4"/>
        <v>ZestVita</v>
      </c>
      <c r="K116" s="18">
        <f t="shared" si="5"/>
        <v>29782</v>
      </c>
      <c r="L116" s="18">
        <f t="shared" si="6"/>
        <v>30378</v>
      </c>
      <c r="M116" s="17">
        <f t="shared" si="7"/>
        <v>135</v>
      </c>
      <c r="N116" s="18">
        <f t="shared" si="8"/>
        <v>4020570</v>
      </c>
      <c r="O116" s="17" t="str">
        <f t="shared" si="9"/>
        <v>East</v>
      </c>
      <c r="P116" s="17" t="str">
        <f t="shared" si="10"/>
        <v>Tanvi Sharma</v>
      </c>
      <c r="Q116" s="19">
        <f t="shared" si="11"/>
        <v>0.05</v>
      </c>
      <c r="R116" s="17">
        <f t="shared" si="12"/>
        <v>3819541.5</v>
      </c>
      <c r="S116" s="18">
        <f t="shared" si="13"/>
        <v>4101030</v>
      </c>
      <c r="T116" s="20">
        <f t="shared" si="14"/>
        <v>55.84</v>
      </c>
      <c r="U116" s="20">
        <f t="shared" si="15"/>
        <v>73.16</v>
      </c>
      <c r="V116" s="21">
        <f t="shared" si="16"/>
        <v>1663026.88</v>
      </c>
      <c r="W116" s="21">
        <f t="shared" si="17"/>
        <v>2156514.62</v>
      </c>
      <c r="X116" s="17">
        <f t="shared" si="18"/>
        <v>2222454.48</v>
      </c>
      <c r="Y116" s="15"/>
    </row>
    <row r="117">
      <c r="A117" s="16" t="s">
        <v>179</v>
      </c>
      <c r="B117" s="17" t="str">
        <f>IFERROR(__xludf.DUMMYFUNCTION("split(A117,""//"")"),"Month4 ")</f>
        <v>Month4 </v>
      </c>
      <c r="C117" s="17" t="str">
        <f>IFERROR(__xludf.DUMMYFUNCTION("""COMPUTED_VALUE"""),"City_Ranchi")</f>
        <v>City_Ranchi</v>
      </c>
      <c r="D117" s="17" t="str">
        <f>IFERROR(__xludf.DUMMYFUNCTION("""COMPUTED_VALUE"""),"PRD-NutriKid")</f>
        <v>PRD-NutriKid</v>
      </c>
      <c r="E117" s="17" t="str">
        <f>IFERROR(__xludf.DUMMYFUNCTION("""COMPUTED_VALUE"""),"OPQ  19097")</f>
        <v>OPQ  19097</v>
      </c>
      <c r="F117" s="17" t="str">
        <f>IFERROR(__xludf.DUMMYFUNCTION("""COMPUTED_VALUE"""),"NPQ[IPLMARKETTING]20052")</f>
        <v>NPQ[IPLMARKETTING]20052</v>
      </c>
      <c r="G117" s="18">
        <f t="shared" si="1"/>
        <v>4</v>
      </c>
      <c r="H117" s="17" t="str">
        <f t="shared" si="2"/>
        <v>April</v>
      </c>
      <c r="I117" s="17" t="str">
        <f t="shared" si="3"/>
        <v>Ranchi</v>
      </c>
      <c r="J117" s="17" t="str">
        <f t="shared" si="4"/>
        <v>NutriKid</v>
      </c>
      <c r="K117" s="18">
        <f t="shared" si="5"/>
        <v>19097</v>
      </c>
      <c r="L117" s="18">
        <f t="shared" si="6"/>
        <v>20052</v>
      </c>
      <c r="M117" s="17">
        <f t="shared" si="7"/>
        <v>60</v>
      </c>
      <c r="N117" s="18">
        <f t="shared" si="8"/>
        <v>1145820</v>
      </c>
      <c r="O117" s="17" t="str">
        <f t="shared" si="9"/>
        <v>East</v>
      </c>
      <c r="P117" s="17" t="str">
        <f t="shared" si="10"/>
        <v>Tanvi Sharma</v>
      </c>
      <c r="Q117" s="19">
        <f t="shared" si="11"/>
        <v>0.05</v>
      </c>
      <c r="R117" s="17">
        <f t="shared" si="12"/>
        <v>1088529</v>
      </c>
      <c r="S117" s="18">
        <f t="shared" si="13"/>
        <v>1203120</v>
      </c>
      <c r="T117" s="20">
        <f t="shared" si="14"/>
        <v>24.108</v>
      </c>
      <c r="U117" s="20">
        <f t="shared" si="15"/>
        <v>29.892</v>
      </c>
      <c r="V117" s="21">
        <f t="shared" si="16"/>
        <v>460390.476</v>
      </c>
      <c r="W117" s="21">
        <f t="shared" si="17"/>
        <v>628138.524</v>
      </c>
      <c r="X117" s="17">
        <f t="shared" si="18"/>
        <v>599394.384</v>
      </c>
      <c r="Y117" s="15"/>
    </row>
    <row r="118">
      <c r="A118" s="16" t="s">
        <v>180</v>
      </c>
      <c r="B118" s="17" t="str">
        <f>IFERROR(__xludf.DUMMYFUNCTION("split(A118,""//"")"),"Month4 ")</f>
        <v>Month4 </v>
      </c>
      <c r="C118" s="17" t="str">
        <f>IFERROR(__xludf.DUMMYFUNCTION("""COMPUTED_VALUE"""),"City_Surat")</f>
        <v>City_Surat</v>
      </c>
      <c r="D118" s="17" t="str">
        <f>IFERROR(__xludf.DUMMYFUNCTION("""COMPUTED_VALUE"""),"PRD-ZestVita")</f>
        <v>PRD-ZestVita</v>
      </c>
      <c r="E118" s="17" t="str">
        <f>IFERROR(__xludf.DUMMYFUNCTION("""COMPUTED_VALUE"""),"OPQ  28078")</f>
        <v>OPQ  28078</v>
      </c>
      <c r="F118" s="17" t="str">
        <f>IFERROR(__xludf.DUMMYFUNCTION("""COMPUTED_VALUE"""),"NPQ[IPLMARKETTING]30043")</f>
        <v>NPQ[IPLMARKETTING]30043</v>
      </c>
      <c r="G118" s="18">
        <f t="shared" si="1"/>
        <v>4</v>
      </c>
      <c r="H118" s="17" t="str">
        <f t="shared" si="2"/>
        <v>April</v>
      </c>
      <c r="I118" s="17" t="str">
        <f t="shared" si="3"/>
        <v>Surat</v>
      </c>
      <c r="J118" s="17" t="str">
        <f t="shared" si="4"/>
        <v>ZestVita</v>
      </c>
      <c r="K118" s="18">
        <f t="shared" si="5"/>
        <v>28078</v>
      </c>
      <c r="L118" s="18">
        <f t="shared" si="6"/>
        <v>30043</v>
      </c>
      <c r="M118" s="17">
        <f t="shared" si="7"/>
        <v>135</v>
      </c>
      <c r="N118" s="18">
        <f t="shared" si="8"/>
        <v>3790530</v>
      </c>
      <c r="O118" s="17" t="str">
        <f t="shared" si="9"/>
        <v>West</v>
      </c>
      <c r="P118" s="17" t="str">
        <f t="shared" si="10"/>
        <v>Ajay Ghosh</v>
      </c>
      <c r="Q118" s="19">
        <f t="shared" si="11"/>
        <v>0.05</v>
      </c>
      <c r="R118" s="17">
        <f t="shared" si="12"/>
        <v>3601003.5</v>
      </c>
      <c r="S118" s="18">
        <f t="shared" si="13"/>
        <v>4055805</v>
      </c>
      <c r="T118" s="20">
        <f t="shared" si="14"/>
        <v>55.84</v>
      </c>
      <c r="U118" s="20">
        <f t="shared" si="15"/>
        <v>73.16</v>
      </c>
      <c r="V118" s="21">
        <f t="shared" si="16"/>
        <v>1567875.52</v>
      </c>
      <c r="W118" s="21">
        <f t="shared" si="17"/>
        <v>2033127.98</v>
      </c>
      <c r="X118" s="17">
        <f t="shared" si="18"/>
        <v>2197945.88</v>
      </c>
      <c r="Y118" s="15"/>
    </row>
    <row r="119">
      <c r="A119" s="16" t="s">
        <v>181</v>
      </c>
      <c r="B119" s="17" t="str">
        <f>IFERROR(__xludf.DUMMYFUNCTION("split(A119,""//"")"),"Month4 ")</f>
        <v>Month4 </v>
      </c>
      <c r="C119" s="17" t="str">
        <f>IFERROR(__xludf.DUMMYFUNCTION("""COMPUTED_VALUE"""),"City_Surat")</f>
        <v>City_Surat</v>
      </c>
      <c r="D119" s="17" t="str">
        <f>IFERROR(__xludf.DUMMYFUNCTION("""COMPUTED_VALUE"""),"PRD-NutriKid")</f>
        <v>PRD-NutriKid</v>
      </c>
      <c r="E119" s="17" t="str">
        <f>IFERROR(__xludf.DUMMYFUNCTION("""COMPUTED_VALUE"""),"OPQ  22384")</f>
        <v>OPQ  22384</v>
      </c>
      <c r="F119" s="17" t="str">
        <f>IFERROR(__xludf.DUMMYFUNCTION("""COMPUTED_VALUE"""),"NPQ[IPLMARKETTING]22832")</f>
        <v>NPQ[IPLMARKETTING]22832</v>
      </c>
      <c r="G119" s="18">
        <f t="shared" si="1"/>
        <v>4</v>
      </c>
      <c r="H119" s="17" t="str">
        <f t="shared" si="2"/>
        <v>April</v>
      </c>
      <c r="I119" s="17" t="str">
        <f t="shared" si="3"/>
        <v>Surat</v>
      </c>
      <c r="J119" s="17" t="str">
        <f t="shared" si="4"/>
        <v>NutriKid</v>
      </c>
      <c r="K119" s="18">
        <f t="shared" si="5"/>
        <v>22384</v>
      </c>
      <c r="L119" s="18">
        <f t="shared" si="6"/>
        <v>22832</v>
      </c>
      <c r="M119" s="17">
        <f t="shared" si="7"/>
        <v>60</v>
      </c>
      <c r="N119" s="18">
        <f t="shared" si="8"/>
        <v>1343040</v>
      </c>
      <c r="O119" s="17" t="str">
        <f t="shared" si="9"/>
        <v>West</v>
      </c>
      <c r="P119" s="17" t="str">
        <f t="shared" si="10"/>
        <v>Ajay Ghosh</v>
      </c>
      <c r="Q119" s="19">
        <f t="shared" si="11"/>
        <v>0.05</v>
      </c>
      <c r="R119" s="17">
        <f t="shared" si="12"/>
        <v>1275888</v>
      </c>
      <c r="S119" s="18">
        <f t="shared" si="13"/>
        <v>1369920</v>
      </c>
      <c r="T119" s="20">
        <f t="shared" si="14"/>
        <v>24.108</v>
      </c>
      <c r="U119" s="20">
        <f t="shared" si="15"/>
        <v>29.892</v>
      </c>
      <c r="V119" s="21">
        <f t="shared" si="16"/>
        <v>539633.472</v>
      </c>
      <c r="W119" s="21">
        <f t="shared" si="17"/>
        <v>736254.528</v>
      </c>
      <c r="X119" s="17">
        <f t="shared" si="18"/>
        <v>682494.144</v>
      </c>
      <c r="Y119" s="15"/>
    </row>
    <row r="120">
      <c r="A120" s="16" t="s">
        <v>182</v>
      </c>
      <c r="B120" s="17" t="str">
        <f>IFERROR(__xludf.DUMMYFUNCTION("split(A120,""//"")"),"Month4 ")</f>
        <v>Month4 </v>
      </c>
      <c r="C120" s="17" t="str">
        <f>IFERROR(__xludf.DUMMYFUNCTION("""COMPUTED_VALUE"""),"City_Hyderabad")</f>
        <v>City_Hyderabad</v>
      </c>
      <c r="D120" s="17" t="str">
        <f>IFERROR(__xludf.DUMMYFUNCTION("""COMPUTED_VALUE"""),"PRD-ZestVita")</f>
        <v>PRD-ZestVita</v>
      </c>
      <c r="E120" s="17" t="str">
        <f>IFERROR(__xludf.DUMMYFUNCTION("""COMPUTED_VALUE"""),"OPQ  39124")</f>
        <v>OPQ  39124</v>
      </c>
      <c r="F120" s="17" t="str">
        <f>IFERROR(__xludf.DUMMYFUNCTION("""COMPUTED_VALUE"""),"NPQ[IPLMARKETTING]48123")</f>
        <v>NPQ[IPLMARKETTING]48123</v>
      </c>
      <c r="G120" s="18">
        <f t="shared" si="1"/>
        <v>4</v>
      </c>
      <c r="H120" s="17" t="str">
        <f t="shared" si="2"/>
        <v>April</v>
      </c>
      <c r="I120" s="17" t="str">
        <f t="shared" si="3"/>
        <v>Hyderabad</v>
      </c>
      <c r="J120" s="17" t="str">
        <f t="shared" si="4"/>
        <v>ZestVita</v>
      </c>
      <c r="K120" s="18">
        <f t="shared" si="5"/>
        <v>39124</v>
      </c>
      <c r="L120" s="18">
        <f t="shared" si="6"/>
        <v>48123</v>
      </c>
      <c r="M120" s="17">
        <f t="shared" si="7"/>
        <v>135</v>
      </c>
      <c r="N120" s="18">
        <f t="shared" si="8"/>
        <v>5281740</v>
      </c>
      <c r="O120" s="17" t="str">
        <f t="shared" si="9"/>
        <v>South</v>
      </c>
      <c r="P120" s="17" t="str">
        <f t="shared" si="10"/>
        <v>Anjali Krishna Murthy</v>
      </c>
      <c r="Q120" s="19">
        <f t="shared" si="11"/>
        <v>0</v>
      </c>
      <c r="R120" s="18">
        <f t="shared" si="12"/>
        <v>5281740</v>
      </c>
      <c r="S120" s="18">
        <f t="shared" si="13"/>
        <v>6496605</v>
      </c>
      <c r="T120" s="20">
        <f t="shared" si="14"/>
        <v>55.84</v>
      </c>
      <c r="U120" s="20">
        <f t="shared" si="15"/>
        <v>73.16</v>
      </c>
      <c r="V120" s="21">
        <f t="shared" si="16"/>
        <v>2184684.16</v>
      </c>
      <c r="W120" s="18">
        <f t="shared" si="17"/>
        <v>3097055.84</v>
      </c>
      <c r="X120" s="17">
        <f t="shared" si="18"/>
        <v>3520678.68</v>
      </c>
      <c r="Y120" s="15"/>
    </row>
    <row r="121">
      <c r="A121" s="16" t="s">
        <v>183</v>
      </c>
      <c r="B121" s="17" t="str">
        <f>IFERROR(__xludf.DUMMYFUNCTION("split(A121,""//"")"),"Month4 ")</f>
        <v>Month4 </v>
      </c>
      <c r="C121" s="17" t="str">
        <f>IFERROR(__xludf.DUMMYFUNCTION("""COMPUTED_VALUE"""),"City_Hyderabad")</f>
        <v>City_Hyderabad</v>
      </c>
      <c r="D121" s="17" t="str">
        <f>IFERROR(__xludf.DUMMYFUNCTION("""COMPUTED_VALUE"""),"PRD-NutriKid")</f>
        <v>PRD-NutriKid</v>
      </c>
      <c r="E121" s="17" t="str">
        <f>IFERROR(__xludf.DUMMYFUNCTION("""COMPUTED_VALUE"""),"OPQ  38143")</f>
        <v>OPQ  38143</v>
      </c>
      <c r="F121" s="17" t="str">
        <f>IFERROR(__xludf.DUMMYFUNCTION("""COMPUTED_VALUE"""),"NPQ[IPLMARKETTING]45772")</f>
        <v>NPQ[IPLMARKETTING]45772</v>
      </c>
      <c r="G121" s="18">
        <f t="shared" si="1"/>
        <v>4</v>
      </c>
      <c r="H121" s="17" t="str">
        <f t="shared" si="2"/>
        <v>April</v>
      </c>
      <c r="I121" s="17" t="str">
        <f t="shared" si="3"/>
        <v>Hyderabad</v>
      </c>
      <c r="J121" s="17" t="str">
        <f t="shared" si="4"/>
        <v>NutriKid</v>
      </c>
      <c r="K121" s="18">
        <f t="shared" si="5"/>
        <v>38143</v>
      </c>
      <c r="L121" s="18">
        <f t="shared" si="6"/>
        <v>45772</v>
      </c>
      <c r="M121" s="17">
        <f t="shared" si="7"/>
        <v>60</v>
      </c>
      <c r="N121" s="18">
        <f t="shared" si="8"/>
        <v>2288580</v>
      </c>
      <c r="O121" s="17" t="str">
        <f t="shared" si="9"/>
        <v>South</v>
      </c>
      <c r="P121" s="17" t="str">
        <f t="shared" si="10"/>
        <v>Anjali Krishna Murthy</v>
      </c>
      <c r="Q121" s="19">
        <f t="shared" si="11"/>
        <v>0</v>
      </c>
      <c r="R121" s="18">
        <f t="shared" si="12"/>
        <v>2288580</v>
      </c>
      <c r="S121" s="18">
        <f t="shared" si="13"/>
        <v>2746320</v>
      </c>
      <c r="T121" s="20">
        <f t="shared" si="14"/>
        <v>24.108</v>
      </c>
      <c r="U121" s="20">
        <f t="shared" si="15"/>
        <v>29.892</v>
      </c>
      <c r="V121" s="21">
        <f t="shared" si="16"/>
        <v>919551.444</v>
      </c>
      <c r="W121" s="18">
        <f t="shared" si="17"/>
        <v>1369028.556</v>
      </c>
      <c r="X121" s="17">
        <f t="shared" si="18"/>
        <v>1368216.624</v>
      </c>
      <c r="Y121" s="15"/>
    </row>
    <row r="122">
      <c r="A122" s="16" t="s">
        <v>184</v>
      </c>
      <c r="B122" s="17" t="str">
        <f>IFERROR(__xludf.DUMMYFUNCTION("split(A122,""//"")"),"Month4 ")</f>
        <v>Month4 </v>
      </c>
      <c r="C122" s="17" t="str">
        <f>IFERROR(__xludf.DUMMYFUNCTION("""COMPUTED_VALUE"""),"City_Dehradun")</f>
        <v>City_Dehradun</v>
      </c>
      <c r="D122" s="17" t="str">
        <f>IFERROR(__xludf.DUMMYFUNCTION("""COMPUTED_VALUE"""),"PRD-ZestVita")</f>
        <v>PRD-ZestVita</v>
      </c>
      <c r="E122" s="17" t="str">
        <f>IFERROR(__xludf.DUMMYFUNCTION("""COMPUTED_VALUE"""),"OPQ  23876")</f>
        <v>OPQ  23876</v>
      </c>
      <c r="F122" s="17" t="str">
        <f>IFERROR(__xludf.DUMMYFUNCTION("""COMPUTED_VALUE"""),"NPQ[IPLMARKETTING]24592")</f>
        <v>NPQ[IPLMARKETTING]24592</v>
      </c>
      <c r="G122" s="18">
        <f t="shared" si="1"/>
        <v>4</v>
      </c>
      <c r="H122" s="17" t="str">
        <f t="shared" si="2"/>
        <v>April</v>
      </c>
      <c r="I122" s="17" t="str">
        <f t="shared" si="3"/>
        <v>Dehradun</v>
      </c>
      <c r="J122" s="17" t="str">
        <f t="shared" si="4"/>
        <v>ZestVita</v>
      </c>
      <c r="K122" s="18">
        <f t="shared" si="5"/>
        <v>23876</v>
      </c>
      <c r="L122" s="18">
        <f t="shared" si="6"/>
        <v>24592</v>
      </c>
      <c r="M122" s="17">
        <f t="shared" si="7"/>
        <v>135</v>
      </c>
      <c r="N122" s="18">
        <f t="shared" si="8"/>
        <v>3223260</v>
      </c>
      <c r="O122" s="17" t="str">
        <f t="shared" si="9"/>
        <v>North</v>
      </c>
      <c r="P122" s="17" t="str">
        <f t="shared" si="10"/>
        <v>Ajay Kumar</v>
      </c>
      <c r="Q122" s="19">
        <f t="shared" si="11"/>
        <v>0.125</v>
      </c>
      <c r="R122" s="17">
        <f t="shared" si="12"/>
        <v>2820352.5</v>
      </c>
      <c r="S122" s="18">
        <f t="shared" si="13"/>
        <v>3319920</v>
      </c>
      <c r="T122" s="20">
        <f t="shared" si="14"/>
        <v>55.84</v>
      </c>
      <c r="U122" s="20">
        <f t="shared" si="15"/>
        <v>73.16</v>
      </c>
      <c r="V122" s="21">
        <f t="shared" si="16"/>
        <v>1333235.84</v>
      </c>
      <c r="W122" s="21">
        <f t="shared" si="17"/>
        <v>1487116.66</v>
      </c>
      <c r="X122" s="17">
        <f t="shared" si="18"/>
        <v>1799150.72</v>
      </c>
      <c r="Y122" s="15"/>
    </row>
    <row r="123">
      <c r="A123" s="16" t="s">
        <v>185</v>
      </c>
      <c r="B123" s="17" t="str">
        <f>IFERROR(__xludf.DUMMYFUNCTION("split(A123,""//"")"),"Month4 ")</f>
        <v>Month4 </v>
      </c>
      <c r="C123" s="17" t="str">
        <f>IFERROR(__xludf.DUMMYFUNCTION("""COMPUTED_VALUE"""),"City_Dehradun")</f>
        <v>City_Dehradun</v>
      </c>
      <c r="D123" s="17" t="str">
        <f>IFERROR(__xludf.DUMMYFUNCTION("""COMPUTED_VALUE"""),"PRD-NutriKid")</f>
        <v>PRD-NutriKid</v>
      </c>
      <c r="E123" s="17" t="str">
        <f>IFERROR(__xludf.DUMMYFUNCTION("""COMPUTED_VALUE"""),"OPQ  14828")</f>
        <v>OPQ  14828</v>
      </c>
      <c r="F123" s="17" t="str">
        <f>IFERROR(__xludf.DUMMYFUNCTION("""COMPUTED_VALUE"""),"NPQ[IPLMARKETTING]16014")</f>
        <v>NPQ[IPLMARKETTING]16014</v>
      </c>
      <c r="G123" s="18">
        <f t="shared" si="1"/>
        <v>4</v>
      </c>
      <c r="H123" s="17" t="str">
        <f t="shared" si="2"/>
        <v>April</v>
      </c>
      <c r="I123" s="17" t="str">
        <f t="shared" si="3"/>
        <v>Dehradun</v>
      </c>
      <c r="J123" s="17" t="str">
        <f t="shared" si="4"/>
        <v>NutriKid</v>
      </c>
      <c r="K123" s="18">
        <f t="shared" si="5"/>
        <v>14828</v>
      </c>
      <c r="L123" s="18">
        <f t="shared" si="6"/>
        <v>16014</v>
      </c>
      <c r="M123" s="17">
        <f t="shared" si="7"/>
        <v>60</v>
      </c>
      <c r="N123" s="18">
        <f t="shared" si="8"/>
        <v>889680</v>
      </c>
      <c r="O123" s="17" t="str">
        <f t="shared" si="9"/>
        <v>North</v>
      </c>
      <c r="P123" s="17" t="str">
        <f t="shared" si="10"/>
        <v>Ajay Kumar</v>
      </c>
      <c r="Q123" s="19">
        <f t="shared" si="11"/>
        <v>0.125</v>
      </c>
      <c r="R123" s="17">
        <f t="shared" si="12"/>
        <v>778470</v>
      </c>
      <c r="S123" s="18">
        <f t="shared" si="13"/>
        <v>960840</v>
      </c>
      <c r="T123" s="20">
        <f t="shared" si="14"/>
        <v>24.108</v>
      </c>
      <c r="U123" s="20">
        <f t="shared" si="15"/>
        <v>29.892</v>
      </c>
      <c r="V123" s="21">
        <f t="shared" si="16"/>
        <v>357473.424</v>
      </c>
      <c r="W123" s="21">
        <f t="shared" si="17"/>
        <v>420996.576</v>
      </c>
      <c r="X123" s="17">
        <f t="shared" si="18"/>
        <v>478690.488</v>
      </c>
      <c r="Y123" s="15"/>
    </row>
    <row r="124">
      <c r="A124" s="16" t="s">
        <v>186</v>
      </c>
      <c r="B124" s="17" t="str">
        <f>IFERROR(__xludf.DUMMYFUNCTION("split(A124,""//"")"),"Month4 ")</f>
        <v>Month4 </v>
      </c>
      <c r="C124" s="17" t="str">
        <f>IFERROR(__xludf.DUMMYFUNCTION("""COMPUTED_VALUE"""),"City_Kochi")</f>
        <v>City_Kochi</v>
      </c>
      <c r="D124" s="17" t="str">
        <f>IFERROR(__xludf.DUMMYFUNCTION("""COMPUTED_VALUE"""),"PRD-ZestVita")</f>
        <v>PRD-ZestVita</v>
      </c>
      <c r="E124" s="17" t="str">
        <f>IFERROR(__xludf.DUMMYFUNCTION("""COMPUTED_VALUE"""),"OPQ  25957")</f>
        <v>OPQ  25957</v>
      </c>
      <c r="F124" s="17" t="str">
        <f>IFERROR(__xludf.DUMMYFUNCTION("""COMPUTED_VALUE"""),"NPQ[IPLMARKETTING]26995")</f>
        <v>NPQ[IPLMARKETTING]26995</v>
      </c>
      <c r="G124" s="18">
        <f t="shared" si="1"/>
        <v>4</v>
      </c>
      <c r="H124" s="17" t="str">
        <f t="shared" si="2"/>
        <v>April</v>
      </c>
      <c r="I124" s="17" t="str">
        <f t="shared" si="3"/>
        <v>Kochi</v>
      </c>
      <c r="J124" s="17" t="str">
        <f t="shared" si="4"/>
        <v>ZestVita</v>
      </c>
      <c r="K124" s="18">
        <f t="shared" si="5"/>
        <v>25957</v>
      </c>
      <c r="L124" s="18">
        <f t="shared" si="6"/>
        <v>26995</v>
      </c>
      <c r="M124" s="17">
        <f t="shared" si="7"/>
        <v>135</v>
      </c>
      <c r="N124" s="18">
        <f t="shared" si="8"/>
        <v>3504195</v>
      </c>
      <c r="O124" s="17" t="str">
        <f t="shared" si="9"/>
        <v>South</v>
      </c>
      <c r="P124" s="17" t="str">
        <f t="shared" si="10"/>
        <v>Anjali Krishna Murthy</v>
      </c>
      <c r="Q124" s="19">
        <f t="shared" si="11"/>
        <v>0.1</v>
      </c>
      <c r="R124" s="17">
        <f t="shared" si="12"/>
        <v>3153775.5</v>
      </c>
      <c r="S124" s="18">
        <f t="shared" si="13"/>
        <v>3644325</v>
      </c>
      <c r="T124" s="20">
        <f t="shared" si="14"/>
        <v>55.84</v>
      </c>
      <c r="U124" s="20">
        <f t="shared" si="15"/>
        <v>73.16</v>
      </c>
      <c r="V124" s="21">
        <f t="shared" si="16"/>
        <v>1449438.88</v>
      </c>
      <c r="W124" s="21">
        <f t="shared" si="17"/>
        <v>1704336.62</v>
      </c>
      <c r="X124" s="17">
        <f t="shared" si="18"/>
        <v>1974954.2</v>
      </c>
      <c r="Y124" s="15"/>
    </row>
    <row r="125">
      <c r="A125" s="16" t="s">
        <v>187</v>
      </c>
      <c r="B125" s="17" t="str">
        <f>IFERROR(__xludf.DUMMYFUNCTION("split(A125,""//"")"),"Month4 ")</f>
        <v>Month4 </v>
      </c>
      <c r="C125" s="17" t="str">
        <f>IFERROR(__xludf.DUMMYFUNCTION("""COMPUTED_VALUE"""),"City_Kochi")</f>
        <v>City_Kochi</v>
      </c>
      <c r="D125" s="17" t="str">
        <f>IFERROR(__xludf.DUMMYFUNCTION("""COMPUTED_VALUE"""),"PRD-NutriKid")</f>
        <v>PRD-NutriKid</v>
      </c>
      <c r="E125" s="17" t="str">
        <f>IFERROR(__xludf.DUMMYFUNCTION("""COMPUTED_VALUE"""),"OPQ  16492")</f>
        <v>OPQ  16492</v>
      </c>
      <c r="F125" s="17" t="str">
        <f>IFERROR(__xludf.DUMMYFUNCTION("""COMPUTED_VALUE"""),"NPQ[IPLMARKETTING]17646")</f>
        <v>NPQ[IPLMARKETTING]17646</v>
      </c>
      <c r="G125" s="18">
        <f t="shared" si="1"/>
        <v>4</v>
      </c>
      <c r="H125" s="17" t="str">
        <f t="shared" si="2"/>
        <v>April</v>
      </c>
      <c r="I125" s="17" t="str">
        <f t="shared" si="3"/>
        <v>Kochi</v>
      </c>
      <c r="J125" s="17" t="str">
        <f t="shared" si="4"/>
        <v>NutriKid</v>
      </c>
      <c r="K125" s="18">
        <f t="shared" si="5"/>
        <v>16492</v>
      </c>
      <c r="L125" s="18">
        <f t="shared" si="6"/>
        <v>17646</v>
      </c>
      <c r="M125" s="17">
        <f t="shared" si="7"/>
        <v>60</v>
      </c>
      <c r="N125" s="18">
        <f t="shared" si="8"/>
        <v>989520</v>
      </c>
      <c r="O125" s="17" t="str">
        <f t="shared" si="9"/>
        <v>South</v>
      </c>
      <c r="P125" s="17" t="str">
        <f t="shared" si="10"/>
        <v>Anjali Krishna Murthy</v>
      </c>
      <c r="Q125" s="19">
        <f t="shared" si="11"/>
        <v>0.1</v>
      </c>
      <c r="R125" s="17">
        <f t="shared" si="12"/>
        <v>890568</v>
      </c>
      <c r="S125" s="18">
        <f t="shared" si="13"/>
        <v>1058760</v>
      </c>
      <c r="T125" s="20">
        <f t="shared" si="14"/>
        <v>24.108</v>
      </c>
      <c r="U125" s="20">
        <f t="shared" si="15"/>
        <v>29.892</v>
      </c>
      <c r="V125" s="21">
        <f t="shared" si="16"/>
        <v>397589.136</v>
      </c>
      <c r="W125" s="21">
        <f t="shared" si="17"/>
        <v>492978.864</v>
      </c>
      <c r="X125" s="17">
        <f t="shared" si="18"/>
        <v>527474.232</v>
      </c>
      <c r="Y125" s="15"/>
    </row>
    <row r="126">
      <c r="A126" s="16" t="s">
        <v>188</v>
      </c>
      <c r="B126" s="17" t="str">
        <f>IFERROR(__xludf.DUMMYFUNCTION("split(A126,""//"")"),"Month4 ")</f>
        <v>Month4 </v>
      </c>
      <c r="C126" s="17" t="str">
        <f>IFERROR(__xludf.DUMMYFUNCTION("""COMPUTED_VALUE"""),"City_Jaipur")</f>
        <v>City_Jaipur</v>
      </c>
      <c r="D126" s="17" t="str">
        <f>IFERROR(__xludf.DUMMYFUNCTION("""COMPUTED_VALUE"""),"PRD-ZestVita")</f>
        <v>PRD-ZestVita</v>
      </c>
      <c r="E126" s="17" t="str">
        <f>IFERROR(__xludf.DUMMYFUNCTION("""COMPUTED_VALUE"""),"OPQ  31626")</f>
        <v>OPQ  31626</v>
      </c>
      <c r="F126" s="17" t="str">
        <f>IFERROR(__xludf.DUMMYFUNCTION("""COMPUTED_VALUE"""),"NPQ[IPLMARKETTING]38267")</f>
        <v>NPQ[IPLMARKETTING]38267</v>
      </c>
      <c r="G126" s="18">
        <f t="shared" si="1"/>
        <v>4</v>
      </c>
      <c r="H126" s="17" t="str">
        <f t="shared" si="2"/>
        <v>April</v>
      </c>
      <c r="I126" s="17" t="str">
        <f t="shared" si="3"/>
        <v>Jaipur</v>
      </c>
      <c r="J126" s="17" t="str">
        <f t="shared" si="4"/>
        <v>ZestVita</v>
      </c>
      <c r="K126" s="18">
        <f t="shared" si="5"/>
        <v>31626</v>
      </c>
      <c r="L126" s="18">
        <f t="shared" si="6"/>
        <v>38267</v>
      </c>
      <c r="M126" s="17">
        <f t="shared" si="7"/>
        <v>135</v>
      </c>
      <c r="N126" s="18">
        <f t="shared" si="8"/>
        <v>4269510</v>
      </c>
      <c r="O126" s="17" t="str">
        <f t="shared" si="9"/>
        <v>West</v>
      </c>
      <c r="P126" s="17" t="str">
        <f t="shared" si="10"/>
        <v>Ajay Ghosh</v>
      </c>
      <c r="Q126" s="19">
        <f t="shared" si="11"/>
        <v>0</v>
      </c>
      <c r="R126" s="18">
        <f t="shared" si="12"/>
        <v>4269510</v>
      </c>
      <c r="S126" s="18">
        <f t="shared" si="13"/>
        <v>5166045</v>
      </c>
      <c r="T126" s="20">
        <f t="shared" si="14"/>
        <v>55.84</v>
      </c>
      <c r="U126" s="20">
        <f t="shared" si="15"/>
        <v>73.16</v>
      </c>
      <c r="V126" s="21">
        <f t="shared" si="16"/>
        <v>1765995.84</v>
      </c>
      <c r="W126" s="18">
        <f t="shared" si="17"/>
        <v>2503514.16</v>
      </c>
      <c r="X126" s="17">
        <f t="shared" si="18"/>
        <v>2799613.72</v>
      </c>
      <c r="Y126" s="15"/>
    </row>
    <row r="127">
      <c r="A127" s="16" t="s">
        <v>189</v>
      </c>
      <c r="B127" s="17" t="str">
        <f>IFERROR(__xludf.DUMMYFUNCTION("split(A127,""//"")"),"Month4 ")</f>
        <v>Month4 </v>
      </c>
      <c r="C127" s="17" t="str">
        <f>IFERROR(__xludf.DUMMYFUNCTION("""COMPUTED_VALUE"""),"City_Jaipur")</f>
        <v>City_Jaipur</v>
      </c>
      <c r="D127" s="17" t="str">
        <f>IFERROR(__xludf.DUMMYFUNCTION("""COMPUTED_VALUE"""),"PRD-NutriKid")</f>
        <v>PRD-NutriKid</v>
      </c>
      <c r="E127" s="17" t="str">
        <f>IFERROR(__xludf.DUMMYFUNCTION("""COMPUTED_VALUE"""),"OPQ  24413")</f>
        <v>OPQ  24413</v>
      </c>
      <c r="F127" s="17" t="str">
        <f>IFERROR(__xludf.DUMMYFUNCTION("""COMPUTED_VALUE"""),"NPQ[IPLMARKETTING]30516")</f>
        <v>NPQ[IPLMARKETTING]30516</v>
      </c>
      <c r="G127" s="18">
        <f t="shared" si="1"/>
        <v>4</v>
      </c>
      <c r="H127" s="17" t="str">
        <f t="shared" si="2"/>
        <v>April</v>
      </c>
      <c r="I127" s="17" t="str">
        <f t="shared" si="3"/>
        <v>Jaipur</v>
      </c>
      <c r="J127" s="17" t="str">
        <f t="shared" si="4"/>
        <v>NutriKid</v>
      </c>
      <c r="K127" s="18">
        <f t="shared" si="5"/>
        <v>24413</v>
      </c>
      <c r="L127" s="18">
        <f t="shared" si="6"/>
        <v>30516</v>
      </c>
      <c r="M127" s="17">
        <f t="shared" si="7"/>
        <v>60</v>
      </c>
      <c r="N127" s="18">
        <f t="shared" si="8"/>
        <v>1464780</v>
      </c>
      <c r="O127" s="17" t="str">
        <f t="shared" si="9"/>
        <v>West</v>
      </c>
      <c r="P127" s="17" t="str">
        <f t="shared" si="10"/>
        <v>Ajay Ghosh</v>
      </c>
      <c r="Q127" s="19">
        <f t="shared" si="11"/>
        <v>0</v>
      </c>
      <c r="R127" s="18">
        <f t="shared" si="12"/>
        <v>1464780</v>
      </c>
      <c r="S127" s="18">
        <f t="shared" si="13"/>
        <v>1830960</v>
      </c>
      <c r="T127" s="20">
        <f t="shared" si="14"/>
        <v>24.108</v>
      </c>
      <c r="U127" s="20">
        <f t="shared" si="15"/>
        <v>29.892</v>
      </c>
      <c r="V127" s="21">
        <f t="shared" si="16"/>
        <v>588548.604</v>
      </c>
      <c r="W127" s="18">
        <f t="shared" si="17"/>
        <v>876231.396</v>
      </c>
      <c r="X127" s="17">
        <f t="shared" si="18"/>
        <v>912184.272</v>
      </c>
      <c r="Y127" s="15"/>
    </row>
    <row r="128">
      <c r="A128" s="16" t="s">
        <v>190</v>
      </c>
      <c r="B128" s="17" t="str">
        <f>IFERROR(__xludf.DUMMYFUNCTION("split(A128,""//"")"),"Month4 ")</f>
        <v>Month4 </v>
      </c>
      <c r="C128" s="17" t="str">
        <f>IFERROR(__xludf.DUMMYFUNCTION("""COMPUTED_VALUE"""),"City_Patna")</f>
        <v>City_Patna</v>
      </c>
      <c r="D128" s="17" t="str">
        <f>IFERROR(__xludf.DUMMYFUNCTION("""COMPUTED_VALUE"""),"PRD-ZestVita")</f>
        <v>PRD-ZestVita</v>
      </c>
      <c r="E128" s="17" t="str">
        <f>IFERROR(__xludf.DUMMYFUNCTION("""COMPUTED_VALUE"""),"OPQ  26794")</f>
        <v>OPQ  26794</v>
      </c>
      <c r="F128" s="17" t="str">
        <f>IFERROR(__xludf.DUMMYFUNCTION("""COMPUTED_VALUE"""),"NPQ[IPLMARKETTING]30545")</f>
        <v>NPQ[IPLMARKETTING]30545</v>
      </c>
      <c r="G128" s="18">
        <f t="shared" si="1"/>
        <v>4</v>
      </c>
      <c r="H128" s="17" t="str">
        <f t="shared" si="2"/>
        <v>April</v>
      </c>
      <c r="I128" s="17" t="str">
        <f t="shared" si="3"/>
        <v>Patna</v>
      </c>
      <c r="J128" s="17" t="str">
        <f t="shared" si="4"/>
        <v>ZestVita</v>
      </c>
      <c r="K128" s="18">
        <f t="shared" si="5"/>
        <v>26794</v>
      </c>
      <c r="L128" s="18">
        <f t="shared" si="6"/>
        <v>30545</v>
      </c>
      <c r="M128" s="17">
        <f t="shared" si="7"/>
        <v>135</v>
      </c>
      <c r="N128" s="18">
        <f t="shared" si="8"/>
        <v>3617190</v>
      </c>
      <c r="O128" s="17" t="str">
        <f t="shared" si="9"/>
        <v>East</v>
      </c>
      <c r="P128" s="17" t="str">
        <f t="shared" si="10"/>
        <v>Tanvi Sharma</v>
      </c>
      <c r="Q128" s="19">
        <f t="shared" si="11"/>
        <v>0.05</v>
      </c>
      <c r="R128" s="17">
        <f t="shared" si="12"/>
        <v>3436330.5</v>
      </c>
      <c r="S128" s="18">
        <f t="shared" si="13"/>
        <v>4123575</v>
      </c>
      <c r="T128" s="20">
        <f t="shared" si="14"/>
        <v>55.84</v>
      </c>
      <c r="U128" s="20">
        <f t="shared" si="15"/>
        <v>73.16</v>
      </c>
      <c r="V128" s="21">
        <f t="shared" si="16"/>
        <v>1496176.96</v>
      </c>
      <c r="W128" s="21">
        <f t="shared" si="17"/>
        <v>1940153.54</v>
      </c>
      <c r="X128" s="17">
        <f t="shared" si="18"/>
        <v>2234672.2</v>
      </c>
      <c r="Y128" s="15"/>
    </row>
    <row r="129">
      <c r="A129" s="16" t="s">
        <v>191</v>
      </c>
      <c r="B129" s="17" t="str">
        <f>IFERROR(__xludf.DUMMYFUNCTION("split(A129,""//"")"),"Month4 ")</f>
        <v>Month4 </v>
      </c>
      <c r="C129" s="17" t="str">
        <f>IFERROR(__xludf.DUMMYFUNCTION("""COMPUTED_VALUE"""),"City_Patna")</f>
        <v>City_Patna</v>
      </c>
      <c r="D129" s="17" t="str">
        <f>IFERROR(__xludf.DUMMYFUNCTION("""COMPUTED_VALUE"""),"PRD-NutriKid")</f>
        <v>PRD-NutriKid</v>
      </c>
      <c r="E129" s="17" t="str">
        <f>IFERROR(__xludf.DUMMYFUNCTION("""COMPUTED_VALUE"""),"OPQ  35383")</f>
        <v>OPQ  35383</v>
      </c>
      <c r="F129" s="17" t="str">
        <f>IFERROR(__xludf.DUMMYFUNCTION("""COMPUTED_VALUE"""),"NPQ[IPLMARKETTING]42460")</f>
        <v>NPQ[IPLMARKETTING]42460</v>
      </c>
      <c r="G129" s="18">
        <f t="shared" si="1"/>
        <v>4</v>
      </c>
      <c r="H129" s="17" t="str">
        <f t="shared" si="2"/>
        <v>April</v>
      </c>
      <c r="I129" s="17" t="str">
        <f t="shared" si="3"/>
        <v>Patna</v>
      </c>
      <c r="J129" s="17" t="str">
        <f t="shared" si="4"/>
        <v>NutriKid</v>
      </c>
      <c r="K129" s="18">
        <f t="shared" si="5"/>
        <v>35383</v>
      </c>
      <c r="L129" s="18">
        <f t="shared" si="6"/>
        <v>42460</v>
      </c>
      <c r="M129" s="17">
        <f t="shared" si="7"/>
        <v>60</v>
      </c>
      <c r="N129" s="18">
        <f t="shared" si="8"/>
        <v>2122980</v>
      </c>
      <c r="O129" s="17" t="str">
        <f t="shared" si="9"/>
        <v>East</v>
      </c>
      <c r="P129" s="17" t="str">
        <f t="shared" si="10"/>
        <v>Tanvi Sharma</v>
      </c>
      <c r="Q129" s="19">
        <f t="shared" si="11"/>
        <v>0.05</v>
      </c>
      <c r="R129" s="17">
        <f t="shared" si="12"/>
        <v>2016831</v>
      </c>
      <c r="S129" s="18">
        <f t="shared" si="13"/>
        <v>2547600</v>
      </c>
      <c r="T129" s="20">
        <f t="shared" si="14"/>
        <v>24.108</v>
      </c>
      <c r="U129" s="20">
        <f t="shared" si="15"/>
        <v>29.892</v>
      </c>
      <c r="V129" s="21">
        <f t="shared" si="16"/>
        <v>853013.364</v>
      </c>
      <c r="W129" s="21">
        <f t="shared" si="17"/>
        <v>1163817.636</v>
      </c>
      <c r="X129" s="17">
        <f t="shared" si="18"/>
        <v>1269214.32</v>
      </c>
      <c r="Y129" s="15"/>
    </row>
    <row r="130">
      <c r="A130" s="16" t="s">
        <v>192</v>
      </c>
      <c r="B130" s="17" t="str">
        <f>IFERROR(__xludf.DUMMYFUNCTION("split(A130,""//"")"),"Month5 ")</f>
        <v>Month5 </v>
      </c>
      <c r="C130" s="17" t="str">
        <f>IFERROR(__xludf.DUMMYFUNCTION("""COMPUTED_VALUE"""),"City_Delhi")</f>
        <v>City_Delhi</v>
      </c>
      <c r="D130" s="17" t="str">
        <f>IFERROR(__xludf.DUMMYFUNCTION("""COMPUTED_VALUE"""),"PRD-ZestVita")</f>
        <v>PRD-ZestVita</v>
      </c>
      <c r="E130" s="17" t="str">
        <f>IFERROR(__xludf.DUMMYFUNCTION("""COMPUTED_VALUE"""),"OPQ  38585")</f>
        <v>OPQ  38585</v>
      </c>
      <c r="F130" s="17" t="str">
        <f>IFERROR(__xludf.DUMMYFUNCTION("""COMPUTED_VALUE"""),"NPQ[IPLMARKETTING]45916")</f>
        <v>NPQ[IPLMARKETTING]45916</v>
      </c>
      <c r="G130" s="18">
        <f t="shared" si="1"/>
        <v>5</v>
      </c>
      <c r="H130" s="17" t="str">
        <f t="shared" si="2"/>
        <v>May</v>
      </c>
      <c r="I130" s="17" t="str">
        <f t="shared" si="3"/>
        <v>Delhi</v>
      </c>
      <c r="J130" s="17" t="str">
        <f t="shared" si="4"/>
        <v>ZestVita</v>
      </c>
      <c r="K130" s="18">
        <f t="shared" si="5"/>
        <v>38585</v>
      </c>
      <c r="L130" s="18">
        <f t="shared" si="6"/>
        <v>45916</v>
      </c>
      <c r="M130" s="17">
        <f t="shared" si="7"/>
        <v>135</v>
      </c>
      <c r="N130" s="18">
        <f t="shared" si="8"/>
        <v>5208975</v>
      </c>
      <c r="O130" s="17" t="str">
        <f t="shared" si="9"/>
        <v>North</v>
      </c>
      <c r="P130" s="17" t="str">
        <f t="shared" si="10"/>
        <v>Ajay Kumar</v>
      </c>
      <c r="Q130" s="19">
        <f t="shared" si="11"/>
        <v>0</v>
      </c>
      <c r="R130" s="18">
        <f t="shared" si="12"/>
        <v>5208975</v>
      </c>
      <c r="S130" s="18">
        <f t="shared" si="13"/>
        <v>6198660</v>
      </c>
      <c r="T130" s="20">
        <f t="shared" si="14"/>
        <v>55.84</v>
      </c>
      <c r="U130" s="20">
        <f t="shared" si="15"/>
        <v>73.16</v>
      </c>
      <c r="V130" s="21">
        <f t="shared" si="16"/>
        <v>2154586.4</v>
      </c>
      <c r="W130" s="18">
        <f t="shared" si="17"/>
        <v>3054388.6</v>
      </c>
      <c r="X130" s="17">
        <f t="shared" si="18"/>
        <v>3359214.56</v>
      </c>
      <c r="Y130" s="15"/>
    </row>
    <row r="131">
      <c r="A131" s="16" t="s">
        <v>193</v>
      </c>
      <c r="B131" s="17" t="str">
        <f>IFERROR(__xludf.DUMMYFUNCTION("split(A131,""//"")"),"Month5 ")</f>
        <v>Month5 </v>
      </c>
      <c r="C131" s="17" t="str">
        <f>IFERROR(__xludf.DUMMYFUNCTION("""COMPUTED_VALUE"""),"City_Delhi")</f>
        <v>City_Delhi</v>
      </c>
      <c r="D131" s="17" t="str">
        <f>IFERROR(__xludf.DUMMYFUNCTION("""COMPUTED_VALUE"""),"PRD-NutriKid")</f>
        <v>PRD-NutriKid</v>
      </c>
      <c r="E131" s="17" t="str">
        <f>IFERROR(__xludf.DUMMYFUNCTION("""COMPUTED_VALUE"""),"OPQ  29886")</f>
        <v>OPQ  29886</v>
      </c>
      <c r="F131" s="17" t="str">
        <f>IFERROR(__xludf.DUMMYFUNCTION("""COMPUTED_VALUE"""),"NPQ[IPLMARKETTING]34668")</f>
        <v>NPQ[IPLMARKETTING]34668</v>
      </c>
      <c r="G131" s="18">
        <f t="shared" si="1"/>
        <v>5</v>
      </c>
      <c r="H131" s="17" t="str">
        <f t="shared" si="2"/>
        <v>May</v>
      </c>
      <c r="I131" s="17" t="str">
        <f t="shared" si="3"/>
        <v>Delhi</v>
      </c>
      <c r="J131" s="17" t="str">
        <f t="shared" si="4"/>
        <v>NutriKid</v>
      </c>
      <c r="K131" s="18">
        <f t="shared" si="5"/>
        <v>29886</v>
      </c>
      <c r="L131" s="18">
        <f t="shared" si="6"/>
        <v>34668</v>
      </c>
      <c r="M131" s="17">
        <f t="shared" si="7"/>
        <v>60</v>
      </c>
      <c r="N131" s="18">
        <f t="shared" si="8"/>
        <v>1793160</v>
      </c>
      <c r="O131" s="17" t="str">
        <f t="shared" si="9"/>
        <v>North</v>
      </c>
      <c r="P131" s="17" t="str">
        <f t="shared" si="10"/>
        <v>Ajay Kumar</v>
      </c>
      <c r="Q131" s="19">
        <f t="shared" si="11"/>
        <v>0</v>
      </c>
      <c r="R131" s="18">
        <f t="shared" si="12"/>
        <v>1793160</v>
      </c>
      <c r="S131" s="18">
        <f t="shared" si="13"/>
        <v>2080080</v>
      </c>
      <c r="T131" s="20">
        <f t="shared" si="14"/>
        <v>24.108</v>
      </c>
      <c r="U131" s="20">
        <f t="shared" si="15"/>
        <v>29.892</v>
      </c>
      <c r="V131" s="21">
        <f t="shared" si="16"/>
        <v>720491.688</v>
      </c>
      <c r="W131" s="18">
        <f t="shared" si="17"/>
        <v>1072668.312</v>
      </c>
      <c r="X131" s="17">
        <f t="shared" si="18"/>
        <v>1036295.856</v>
      </c>
      <c r="Y131" s="15"/>
    </row>
    <row r="132">
      <c r="A132" s="16" t="s">
        <v>194</v>
      </c>
      <c r="B132" s="17" t="str">
        <f>IFERROR(__xludf.DUMMYFUNCTION("split(A132,""//"")"),"Month5 ")</f>
        <v>Month5 </v>
      </c>
      <c r="C132" s="17" t="str">
        <f>IFERROR(__xludf.DUMMYFUNCTION("""COMPUTED_VALUE"""),"City_Kolkata")</f>
        <v>City_Kolkata</v>
      </c>
      <c r="D132" s="17" t="str">
        <f>IFERROR(__xludf.DUMMYFUNCTION("""COMPUTED_VALUE"""),"PRD-ZestVita")</f>
        <v>PRD-ZestVita</v>
      </c>
      <c r="E132" s="17" t="str">
        <f>IFERROR(__xludf.DUMMYFUNCTION("""COMPUTED_VALUE"""),"OPQ  20585")</f>
        <v>OPQ  20585</v>
      </c>
      <c r="F132" s="17" t="str">
        <f>IFERROR(__xludf.DUMMYFUNCTION("""COMPUTED_VALUE"""),"NPQ[IPLMARKETTING]23879")</f>
        <v>NPQ[IPLMARKETTING]23879</v>
      </c>
      <c r="G132" s="18">
        <f t="shared" si="1"/>
        <v>5</v>
      </c>
      <c r="H132" s="17" t="str">
        <f t="shared" si="2"/>
        <v>May</v>
      </c>
      <c r="I132" s="17" t="str">
        <f t="shared" si="3"/>
        <v>Kolkata</v>
      </c>
      <c r="J132" s="17" t="str">
        <f t="shared" si="4"/>
        <v>ZestVita</v>
      </c>
      <c r="K132" s="18">
        <f t="shared" si="5"/>
        <v>20585</v>
      </c>
      <c r="L132" s="18">
        <f t="shared" si="6"/>
        <v>23879</v>
      </c>
      <c r="M132" s="17">
        <f t="shared" si="7"/>
        <v>135</v>
      </c>
      <c r="N132" s="18">
        <f t="shared" si="8"/>
        <v>2778975</v>
      </c>
      <c r="O132" s="17" t="str">
        <f t="shared" si="9"/>
        <v>East</v>
      </c>
      <c r="P132" s="17" t="str">
        <f t="shared" si="10"/>
        <v>Tanvi Sharma</v>
      </c>
      <c r="Q132" s="19">
        <f t="shared" si="11"/>
        <v>0</v>
      </c>
      <c r="R132" s="18">
        <f t="shared" si="12"/>
        <v>2778975</v>
      </c>
      <c r="S132" s="18">
        <f t="shared" si="13"/>
        <v>3223665</v>
      </c>
      <c r="T132" s="20">
        <f t="shared" si="14"/>
        <v>55.84</v>
      </c>
      <c r="U132" s="20">
        <f t="shared" si="15"/>
        <v>73.16</v>
      </c>
      <c r="V132" s="21">
        <f t="shared" si="16"/>
        <v>1149466.4</v>
      </c>
      <c r="W132" s="18">
        <f t="shared" si="17"/>
        <v>1629508.6</v>
      </c>
      <c r="X132" s="17">
        <f t="shared" si="18"/>
        <v>1746987.64</v>
      </c>
      <c r="Y132" s="15"/>
    </row>
    <row r="133">
      <c r="A133" s="16" t="s">
        <v>195</v>
      </c>
      <c r="B133" s="17" t="str">
        <f>IFERROR(__xludf.DUMMYFUNCTION("split(A133,""//"")"),"Month5 ")</f>
        <v>Month5 </v>
      </c>
      <c r="C133" s="17" t="str">
        <f>IFERROR(__xludf.DUMMYFUNCTION("""COMPUTED_VALUE"""),"City_Kolkata")</f>
        <v>City_Kolkata</v>
      </c>
      <c r="D133" s="17" t="str">
        <f>IFERROR(__xludf.DUMMYFUNCTION("""COMPUTED_VALUE"""),"PRD-NutriKid")</f>
        <v>PRD-NutriKid</v>
      </c>
      <c r="E133" s="17" t="str">
        <f>IFERROR(__xludf.DUMMYFUNCTION("""COMPUTED_VALUE"""),"OPQ  41511")</f>
        <v>OPQ  41511</v>
      </c>
      <c r="F133" s="17" t="str">
        <f>IFERROR(__xludf.DUMMYFUNCTION("""COMPUTED_VALUE"""),"NPQ[IPLMARKETTING]48983")</f>
        <v>NPQ[IPLMARKETTING]48983</v>
      </c>
      <c r="G133" s="18">
        <f t="shared" si="1"/>
        <v>5</v>
      </c>
      <c r="H133" s="17" t="str">
        <f t="shared" si="2"/>
        <v>May</v>
      </c>
      <c r="I133" s="17" t="str">
        <f t="shared" si="3"/>
        <v>Kolkata</v>
      </c>
      <c r="J133" s="17" t="str">
        <f t="shared" si="4"/>
        <v>NutriKid</v>
      </c>
      <c r="K133" s="18">
        <f t="shared" si="5"/>
        <v>41511</v>
      </c>
      <c r="L133" s="18">
        <f t="shared" si="6"/>
        <v>48983</v>
      </c>
      <c r="M133" s="17">
        <f t="shared" si="7"/>
        <v>60</v>
      </c>
      <c r="N133" s="18">
        <f t="shared" si="8"/>
        <v>2490660</v>
      </c>
      <c r="O133" s="17" t="str">
        <f t="shared" si="9"/>
        <v>East</v>
      </c>
      <c r="P133" s="17" t="str">
        <f t="shared" si="10"/>
        <v>Tanvi Sharma</v>
      </c>
      <c r="Q133" s="19">
        <f t="shared" si="11"/>
        <v>0</v>
      </c>
      <c r="R133" s="18">
        <f t="shared" si="12"/>
        <v>2490660</v>
      </c>
      <c r="S133" s="18">
        <f t="shared" si="13"/>
        <v>2938980</v>
      </c>
      <c r="T133" s="20">
        <f t="shared" si="14"/>
        <v>24.108</v>
      </c>
      <c r="U133" s="20">
        <f t="shared" si="15"/>
        <v>29.892</v>
      </c>
      <c r="V133" s="21">
        <f t="shared" si="16"/>
        <v>1000747.188</v>
      </c>
      <c r="W133" s="18">
        <f t="shared" si="17"/>
        <v>1489912.812</v>
      </c>
      <c r="X133" s="17">
        <f t="shared" si="18"/>
        <v>1464199.836</v>
      </c>
      <c r="Y133" s="15"/>
    </row>
    <row r="134">
      <c r="A134" s="16" t="s">
        <v>196</v>
      </c>
      <c r="B134" s="17" t="str">
        <f>IFERROR(__xludf.DUMMYFUNCTION("split(A134,""//"")"),"Month5 ")</f>
        <v>Month5 </v>
      </c>
      <c r="C134" s="17" t="str">
        <f>IFERROR(__xludf.DUMMYFUNCTION("""COMPUTED_VALUE"""),"City_Pune")</f>
        <v>City_Pune</v>
      </c>
      <c r="D134" s="17" t="str">
        <f>IFERROR(__xludf.DUMMYFUNCTION("""COMPUTED_VALUE"""),"PRD-ZestVita")</f>
        <v>PRD-ZestVita</v>
      </c>
      <c r="E134" s="17" t="str">
        <f>IFERROR(__xludf.DUMMYFUNCTION("""COMPUTED_VALUE"""),"OPQ  25282")</f>
        <v>OPQ  25282</v>
      </c>
      <c r="F134" s="17" t="str">
        <f>IFERROR(__xludf.DUMMYFUNCTION("""COMPUTED_VALUE"""),"NPQ[IPLMARKETTING]31097")</f>
        <v>NPQ[IPLMARKETTING]31097</v>
      </c>
      <c r="G134" s="18">
        <f t="shared" si="1"/>
        <v>5</v>
      </c>
      <c r="H134" s="17" t="str">
        <f t="shared" si="2"/>
        <v>May</v>
      </c>
      <c r="I134" s="17" t="str">
        <f t="shared" si="3"/>
        <v>Pune</v>
      </c>
      <c r="J134" s="17" t="str">
        <f t="shared" si="4"/>
        <v>ZestVita</v>
      </c>
      <c r="K134" s="18">
        <f t="shared" si="5"/>
        <v>25282</v>
      </c>
      <c r="L134" s="18">
        <f t="shared" si="6"/>
        <v>31097</v>
      </c>
      <c r="M134" s="17">
        <f t="shared" si="7"/>
        <v>135</v>
      </c>
      <c r="N134" s="18">
        <f t="shared" si="8"/>
        <v>3413070</v>
      </c>
      <c r="O134" s="17" t="str">
        <f t="shared" si="9"/>
        <v>West</v>
      </c>
      <c r="P134" s="17" t="str">
        <f t="shared" si="10"/>
        <v>Ajay Ghosh</v>
      </c>
      <c r="Q134" s="19">
        <f t="shared" si="11"/>
        <v>0</v>
      </c>
      <c r="R134" s="18">
        <f t="shared" si="12"/>
        <v>3413070</v>
      </c>
      <c r="S134" s="18">
        <f t="shared" si="13"/>
        <v>4198095</v>
      </c>
      <c r="T134" s="20">
        <f t="shared" si="14"/>
        <v>55.84</v>
      </c>
      <c r="U134" s="20">
        <f t="shared" si="15"/>
        <v>73.16</v>
      </c>
      <c r="V134" s="21">
        <f t="shared" si="16"/>
        <v>1411746.88</v>
      </c>
      <c r="W134" s="18">
        <f t="shared" si="17"/>
        <v>2001323.12</v>
      </c>
      <c r="X134" s="17">
        <f t="shared" si="18"/>
        <v>2275056.52</v>
      </c>
      <c r="Y134" s="15"/>
    </row>
    <row r="135">
      <c r="A135" s="16" t="s">
        <v>197</v>
      </c>
      <c r="B135" s="17" t="str">
        <f>IFERROR(__xludf.DUMMYFUNCTION("split(A135,""//"")"),"Month5 ")</f>
        <v>Month5 </v>
      </c>
      <c r="C135" s="17" t="str">
        <f>IFERROR(__xludf.DUMMYFUNCTION("""COMPUTED_VALUE"""),"City_Pune")</f>
        <v>City_Pune</v>
      </c>
      <c r="D135" s="17" t="str">
        <f>IFERROR(__xludf.DUMMYFUNCTION("""COMPUTED_VALUE"""),"PRD-NutriKid")</f>
        <v>PRD-NutriKid</v>
      </c>
      <c r="E135" s="17" t="str">
        <f>IFERROR(__xludf.DUMMYFUNCTION("""COMPUTED_VALUE"""),"OPQ  29857")</f>
        <v>OPQ  29857</v>
      </c>
      <c r="F135" s="17" t="str">
        <f>IFERROR(__xludf.DUMMYFUNCTION("""COMPUTED_VALUE"""),"NPQ[IPLMARKETTING]34933")</f>
        <v>NPQ[IPLMARKETTING]34933</v>
      </c>
      <c r="G135" s="18">
        <f t="shared" si="1"/>
        <v>5</v>
      </c>
      <c r="H135" s="17" t="str">
        <f t="shared" si="2"/>
        <v>May</v>
      </c>
      <c r="I135" s="17" t="str">
        <f t="shared" si="3"/>
        <v>Pune</v>
      </c>
      <c r="J135" s="17" t="str">
        <f t="shared" si="4"/>
        <v>NutriKid</v>
      </c>
      <c r="K135" s="18">
        <f t="shared" si="5"/>
        <v>29857</v>
      </c>
      <c r="L135" s="18">
        <f t="shared" si="6"/>
        <v>34933</v>
      </c>
      <c r="M135" s="17">
        <f t="shared" si="7"/>
        <v>60</v>
      </c>
      <c r="N135" s="18">
        <f t="shared" si="8"/>
        <v>1791420</v>
      </c>
      <c r="O135" s="17" t="str">
        <f t="shared" si="9"/>
        <v>West</v>
      </c>
      <c r="P135" s="17" t="str">
        <f t="shared" si="10"/>
        <v>Ajay Ghosh</v>
      </c>
      <c r="Q135" s="19">
        <f t="shared" si="11"/>
        <v>0</v>
      </c>
      <c r="R135" s="18">
        <f t="shared" si="12"/>
        <v>1791420</v>
      </c>
      <c r="S135" s="18">
        <f t="shared" si="13"/>
        <v>2095980</v>
      </c>
      <c r="T135" s="20">
        <f t="shared" si="14"/>
        <v>24.108</v>
      </c>
      <c r="U135" s="20">
        <f t="shared" si="15"/>
        <v>29.892</v>
      </c>
      <c r="V135" s="21">
        <f t="shared" si="16"/>
        <v>719792.556</v>
      </c>
      <c r="W135" s="18">
        <f t="shared" si="17"/>
        <v>1071627.444</v>
      </c>
      <c r="X135" s="17">
        <f t="shared" si="18"/>
        <v>1044217.236</v>
      </c>
      <c r="Y135" s="15"/>
    </row>
    <row r="136">
      <c r="A136" s="16" t="s">
        <v>198</v>
      </c>
      <c r="B136" s="17" t="str">
        <f>IFERROR(__xludf.DUMMYFUNCTION("split(A136,""//"")"),"Month5 ")</f>
        <v>Month5 </v>
      </c>
      <c r="C136" s="17" t="str">
        <f>IFERROR(__xludf.DUMMYFUNCTION("""COMPUTED_VALUE"""),"City_Bengaluru")</f>
        <v>City_Bengaluru</v>
      </c>
      <c r="D136" s="17" t="str">
        <f>IFERROR(__xludf.DUMMYFUNCTION("""COMPUTED_VALUE"""),"PRD-ZestVita")</f>
        <v>PRD-ZestVita</v>
      </c>
      <c r="E136" s="17" t="str">
        <f>IFERROR(__xludf.DUMMYFUNCTION("""COMPUTED_VALUE"""),"OPQ  47725")</f>
        <v>OPQ  47725</v>
      </c>
      <c r="F136" s="17" t="str">
        <f>IFERROR(__xludf.DUMMYFUNCTION("""COMPUTED_VALUE"""),"NPQ[IPLMARKETTING]52975")</f>
        <v>NPQ[IPLMARKETTING]52975</v>
      </c>
      <c r="G136" s="18">
        <f t="shared" si="1"/>
        <v>5</v>
      </c>
      <c r="H136" s="17" t="str">
        <f t="shared" si="2"/>
        <v>May</v>
      </c>
      <c r="I136" s="17" t="str">
        <f t="shared" si="3"/>
        <v>Bengaluru</v>
      </c>
      <c r="J136" s="17" t="str">
        <f t="shared" si="4"/>
        <v>ZestVita</v>
      </c>
      <c r="K136" s="18">
        <f t="shared" si="5"/>
        <v>47725</v>
      </c>
      <c r="L136" s="18">
        <f t="shared" si="6"/>
        <v>52975</v>
      </c>
      <c r="M136" s="17">
        <f t="shared" si="7"/>
        <v>135</v>
      </c>
      <c r="N136" s="18">
        <f t="shared" si="8"/>
        <v>6442875</v>
      </c>
      <c r="O136" s="17" t="str">
        <f t="shared" si="9"/>
        <v>South</v>
      </c>
      <c r="P136" s="17" t="str">
        <f t="shared" si="10"/>
        <v>Anjali Krishna Murthy</v>
      </c>
      <c r="Q136" s="19">
        <f t="shared" si="11"/>
        <v>0</v>
      </c>
      <c r="R136" s="18">
        <f t="shared" si="12"/>
        <v>6442875</v>
      </c>
      <c r="S136" s="18">
        <f t="shared" si="13"/>
        <v>7151625</v>
      </c>
      <c r="T136" s="20">
        <f t="shared" si="14"/>
        <v>55.84</v>
      </c>
      <c r="U136" s="20">
        <f t="shared" si="15"/>
        <v>73.16</v>
      </c>
      <c r="V136" s="21">
        <f t="shared" si="16"/>
        <v>2664964</v>
      </c>
      <c r="W136" s="18">
        <f t="shared" si="17"/>
        <v>3777911</v>
      </c>
      <c r="X136" s="17">
        <f t="shared" si="18"/>
        <v>3875651</v>
      </c>
      <c r="Y136" s="15"/>
    </row>
    <row r="137">
      <c r="A137" s="16" t="s">
        <v>199</v>
      </c>
      <c r="B137" s="17" t="str">
        <f>IFERROR(__xludf.DUMMYFUNCTION("split(A137,""//"")"),"Month5 ")</f>
        <v>Month5 </v>
      </c>
      <c r="C137" s="17" t="str">
        <f>IFERROR(__xludf.DUMMYFUNCTION("""COMPUTED_VALUE"""),"City_Bengaluru")</f>
        <v>City_Bengaluru</v>
      </c>
      <c r="D137" s="17" t="str">
        <f>IFERROR(__xludf.DUMMYFUNCTION("""COMPUTED_VALUE"""),"PRD-NutriKid")</f>
        <v>PRD-NutriKid</v>
      </c>
      <c r="E137" s="17" t="str">
        <f>IFERROR(__xludf.DUMMYFUNCTION("""COMPUTED_VALUE"""),"OPQ  25451")</f>
        <v>OPQ  25451</v>
      </c>
      <c r="F137" s="17" t="str">
        <f>IFERROR(__xludf.DUMMYFUNCTION("""COMPUTED_VALUE"""),"NPQ[IPLMARKETTING]28505")</f>
        <v>NPQ[IPLMARKETTING]28505</v>
      </c>
      <c r="G137" s="18">
        <f t="shared" si="1"/>
        <v>5</v>
      </c>
      <c r="H137" s="17" t="str">
        <f t="shared" si="2"/>
        <v>May</v>
      </c>
      <c r="I137" s="17" t="str">
        <f t="shared" si="3"/>
        <v>Bengaluru</v>
      </c>
      <c r="J137" s="17" t="str">
        <f t="shared" si="4"/>
        <v>NutriKid</v>
      </c>
      <c r="K137" s="18">
        <f t="shared" si="5"/>
        <v>25451</v>
      </c>
      <c r="L137" s="18">
        <f t="shared" si="6"/>
        <v>28505</v>
      </c>
      <c r="M137" s="17">
        <f t="shared" si="7"/>
        <v>60</v>
      </c>
      <c r="N137" s="18">
        <f t="shared" si="8"/>
        <v>1527060</v>
      </c>
      <c r="O137" s="17" t="str">
        <f t="shared" si="9"/>
        <v>South</v>
      </c>
      <c r="P137" s="17" t="str">
        <f t="shared" si="10"/>
        <v>Anjali Krishna Murthy</v>
      </c>
      <c r="Q137" s="19">
        <f t="shared" si="11"/>
        <v>0</v>
      </c>
      <c r="R137" s="18">
        <f t="shared" si="12"/>
        <v>1527060</v>
      </c>
      <c r="S137" s="18">
        <f t="shared" si="13"/>
        <v>1710300</v>
      </c>
      <c r="T137" s="20">
        <f t="shared" si="14"/>
        <v>24.108</v>
      </c>
      <c r="U137" s="20">
        <f t="shared" si="15"/>
        <v>29.892</v>
      </c>
      <c r="V137" s="21">
        <f t="shared" si="16"/>
        <v>613572.708</v>
      </c>
      <c r="W137" s="18">
        <f t="shared" si="17"/>
        <v>913487.292</v>
      </c>
      <c r="X137" s="17">
        <f t="shared" si="18"/>
        <v>852071.46</v>
      </c>
      <c r="Y137" s="15"/>
    </row>
    <row r="138">
      <c r="A138" s="16" t="s">
        <v>200</v>
      </c>
      <c r="B138" s="17" t="str">
        <f>IFERROR(__xludf.DUMMYFUNCTION("split(A138,""//"")"),"Month5 ")</f>
        <v>Month5 </v>
      </c>
      <c r="C138" s="17" t="str">
        <f>IFERROR(__xludf.DUMMYFUNCTION("""COMPUTED_VALUE"""),"City_Chandigarh")</f>
        <v>City_Chandigarh</v>
      </c>
      <c r="D138" s="17" t="str">
        <f>IFERROR(__xludf.DUMMYFUNCTION("""COMPUTED_VALUE"""),"PRD-ZestVita")</f>
        <v>PRD-ZestVita</v>
      </c>
      <c r="E138" s="17" t="str">
        <f>IFERROR(__xludf.DUMMYFUNCTION("""COMPUTED_VALUE"""),"OPQ  41307")</f>
        <v>OPQ  41307</v>
      </c>
      <c r="F138" s="17" t="str">
        <f>IFERROR(__xludf.DUMMYFUNCTION("""COMPUTED_VALUE"""),"NPQ[IPLMARKETTING]46677")</f>
        <v>NPQ[IPLMARKETTING]46677</v>
      </c>
      <c r="G138" s="18">
        <f t="shared" si="1"/>
        <v>5</v>
      </c>
      <c r="H138" s="17" t="str">
        <f t="shared" si="2"/>
        <v>May</v>
      </c>
      <c r="I138" s="17" t="str">
        <f t="shared" si="3"/>
        <v>Chandigarh</v>
      </c>
      <c r="J138" s="17" t="str">
        <f t="shared" si="4"/>
        <v>ZestVita</v>
      </c>
      <c r="K138" s="18">
        <f t="shared" si="5"/>
        <v>41307</v>
      </c>
      <c r="L138" s="18">
        <f t="shared" si="6"/>
        <v>46677</v>
      </c>
      <c r="M138" s="17">
        <f t="shared" si="7"/>
        <v>135</v>
      </c>
      <c r="N138" s="18">
        <f t="shared" si="8"/>
        <v>5576445</v>
      </c>
      <c r="O138" s="17" t="str">
        <f t="shared" si="9"/>
        <v>North</v>
      </c>
      <c r="P138" s="17" t="str">
        <f t="shared" si="10"/>
        <v>Ajay Kumar</v>
      </c>
      <c r="Q138" s="19">
        <f t="shared" si="11"/>
        <v>0</v>
      </c>
      <c r="R138" s="18">
        <f t="shared" si="12"/>
        <v>5576445</v>
      </c>
      <c r="S138" s="18">
        <f t="shared" si="13"/>
        <v>6301395</v>
      </c>
      <c r="T138" s="20">
        <f t="shared" si="14"/>
        <v>55.84</v>
      </c>
      <c r="U138" s="20">
        <f t="shared" si="15"/>
        <v>73.16</v>
      </c>
      <c r="V138" s="21">
        <f t="shared" si="16"/>
        <v>2306582.88</v>
      </c>
      <c r="W138" s="18">
        <f t="shared" si="17"/>
        <v>3269862.12</v>
      </c>
      <c r="X138" s="17">
        <f t="shared" si="18"/>
        <v>3414889.32</v>
      </c>
      <c r="Y138" s="15"/>
    </row>
    <row r="139">
      <c r="A139" s="16" t="s">
        <v>201</v>
      </c>
      <c r="B139" s="17" t="str">
        <f>IFERROR(__xludf.DUMMYFUNCTION("split(A139,""//"")"),"Month5 ")</f>
        <v>Month5 </v>
      </c>
      <c r="C139" s="17" t="str">
        <f>IFERROR(__xludf.DUMMYFUNCTION("""COMPUTED_VALUE"""),"City_Chandigarh")</f>
        <v>City_Chandigarh</v>
      </c>
      <c r="D139" s="17" t="str">
        <f>IFERROR(__xludf.DUMMYFUNCTION("""COMPUTED_VALUE"""),"PRD-NutriKid")</f>
        <v>PRD-NutriKid</v>
      </c>
      <c r="E139" s="17" t="str">
        <f>IFERROR(__xludf.DUMMYFUNCTION("""COMPUTED_VALUE"""),"OPQ  42764")</f>
        <v>OPQ  42764</v>
      </c>
      <c r="F139" s="17" t="str">
        <f>IFERROR(__xludf.DUMMYFUNCTION("""COMPUTED_VALUE"""),"NPQ[IPLMARKETTING]50889")</f>
        <v>NPQ[IPLMARKETTING]50889</v>
      </c>
      <c r="G139" s="18">
        <f t="shared" si="1"/>
        <v>5</v>
      </c>
      <c r="H139" s="17" t="str">
        <f t="shared" si="2"/>
        <v>May</v>
      </c>
      <c r="I139" s="17" t="str">
        <f t="shared" si="3"/>
        <v>Chandigarh</v>
      </c>
      <c r="J139" s="17" t="str">
        <f t="shared" si="4"/>
        <v>NutriKid</v>
      </c>
      <c r="K139" s="18">
        <f t="shared" si="5"/>
        <v>42764</v>
      </c>
      <c r="L139" s="18">
        <f t="shared" si="6"/>
        <v>50889</v>
      </c>
      <c r="M139" s="17">
        <f t="shared" si="7"/>
        <v>60</v>
      </c>
      <c r="N139" s="18">
        <f t="shared" si="8"/>
        <v>2565840</v>
      </c>
      <c r="O139" s="17" t="str">
        <f t="shared" si="9"/>
        <v>North</v>
      </c>
      <c r="P139" s="17" t="str">
        <f t="shared" si="10"/>
        <v>Ajay Kumar</v>
      </c>
      <c r="Q139" s="19">
        <f t="shared" si="11"/>
        <v>0</v>
      </c>
      <c r="R139" s="18">
        <f t="shared" si="12"/>
        <v>2565840</v>
      </c>
      <c r="S139" s="18">
        <f t="shared" si="13"/>
        <v>3053340</v>
      </c>
      <c r="T139" s="20">
        <f t="shared" si="14"/>
        <v>24.108</v>
      </c>
      <c r="U139" s="20">
        <f t="shared" si="15"/>
        <v>29.892</v>
      </c>
      <c r="V139" s="21">
        <f t="shared" si="16"/>
        <v>1030954.512</v>
      </c>
      <c r="W139" s="18">
        <f t="shared" si="17"/>
        <v>1534885.488</v>
      </c>
      <c r="X139" s="17">
        <f t="shared" si="18"/>
        <v>1521173.988</v>
      </c>
      <c r="Y139" s="15"/>
    </row>
    <row r="140">
      <c r="A140" s="16" t="s">
        <v>202</v>
      </c>
      <c r="B140" s="17" t="str">
        <f>IFERROR(__xludf.DUMMYFUNCTION("split(A140,""//"")"),"Month5 ")</f>
        <v>Month5 </v>
      </c>
      <c r="C140" s="17" t="str">
        <f>IFERROR(__xludf.DUMMYFUNCTION("""COMPUTED_VALUE"""),"City_Bhubaneswar")</f>
        <v>City_Bhubaneswar</v>
      </c>
      <c r="D140" s="17" t="str">
        <f>IFERROR(__xludf.DUMMYFUNCTION("""COMPUTED_VALUE"""),"PRD-ZestVita")</f>
        <v>PRD-ZestVita</v>
      </c>
      <c r="E140" s="17" t="str">
        <f>IFERROR(__xludf.DUMMYFUNCTION("""COMPUTED_VALUE"""),"OPQ  15016")</f>
        <v>OPQ  15016</v>
      </c>
      <c r="F140" s="17" t="str">
        <f>IFERROR(__xludf.DUMMYFUNCTION("""COMPUTED_VALUE"""),"NPQ[IPLMARKETTING]15917")</f>
        <v>NPQ[IPLMARKETTING]15917</v>
      </c>
      <c r="G140" s="18">
        <f t="shared" si="1"/>
        <v>5</v>
      </c>
      <c r="H140" s="17" t="str">
        <f t="shared" si="2"/>
        <v>May</v>
      </c>
      <c r="I140" s="17" t="str">
        <f t="shared" si="3"/>
        <v>Bhubaneswar</v>
      </c>
      <c r="J140" s="17" t="str">
        <f t="shared" si="4"/>
        <v>ZestVita</v>
      </c>
      <c r="K140" s="18">
        <f t="shared" si="5"/>
        <v>15016</v>
      </c>
      <c r="L140" s="18">
        <f t="shared" si="6"/>
        <v>15917</v>
      </c>
      <c r="M140" s="17">
        <f t="shared" si="7"/>
        <v>135</v>
      </c>
      <c r="N140" s="18">
        <f t="shared" si="8"/>
        <v>2027160</v>
      </c>
      <c r="O140" s="17" t="str">
        <f t="shared" si="9"/>
        <v>East</v>
      </c>
      <c r="P140" s="17" t="str">
        <f t="shared" si="10"/>
        <v>Tanvi Sharma</v>
      </c>
      <c r="Q140" s="19">
        <f t="shared" si="11"/>
        <v>0.125</v>
      </c>
      <c r="R140" s="17">
        <f t="shared" si="12"/>
        <v>1773765</v>
      </c>
      <c r="S140" s="18">
        <f t="shared" si="13"/>
        <v>2148795</v>
      </c>
      <c r="T140" s="20">
        <f t="shared" si="14"/>
        <v>55.84</v>
      </c>
      <c r="U140" s="20">
        <f t="shared" si="15"/>
        <v>73.16</v>
      </c>
      <c r="V140" s="21">
        <f t="shared" si="16"/>
        <v>838493.44</v>
      </c>
      <c r="W140" s="21">
        <f t="shared" si="17"/>
        <v>935271.56</v>
      </c>
      <c r="X140" s="17">
        <f t="shared" si="18"/>
        <v>1164487.72</v>
      </c>
      <c r="Y140" s="15"/>
    </row>
    <row r="141">
      <c r="A141" s="16" t="s">
        <v>203</v>
      </c>
      <c r="B141" s="17" t="str">
        <f>IFERROR(__xludf.DUMMYFUNCTION("split(A141,""//"")"),"Month5 ")</f>
        <v>Month5 </v>
      </c>
      <c r="C141" s="17" t="str">
        <f>IFERROR(__xludf.DUMMYFUNCTION("""COMPUTED_VALUE"""),"City_Bhubaneswar")</f>
        <v>City_Bhubaneswar</v>
      </c>
      <c r="D141" s="17" t="str">
        <f>IFERROR(__xludf.DUMMYFUNCTION("""COMPUTED_VALUE"""),"PRD-NutriKid")</f>
        <v>PRD-NutriKid</v>
      </c>
      <c r="E141" s="17" t="str">
        <f>IFERROR(__xludf.DUMMYFUNCTION("""COMPUTED_VALUE"""),"OPQ  21463")</f>
        <v>OPQ  21463</v>
      </c>
      <c r="F141" s="17" t="str">
        <f>IFERROR(__xludf.DUMMYFUNCTION("""COMPUTED_VALUE"""),"NPQ[IPLMARKETTING]22107")</f>
        <v>NPQ[IPLMARKETTING]22107</v>
      </c>
      <c r="G141" s="18">
        <f t="shared" si="1"/>
        <v>5</v>
      </c>
      <c r="H141" s="17" t="str">
        <f t="shared" si="2"/>
        <v>May</v>
      </c>
      <c r="I141" s="17" t="str">
        <f t="shared" si="3"/>
        <v>Bhubaneswar</v>
      </c>
      <c r="J141" s="17" t="str">
        <f t="shared" si="4"/>
        <v>NutriKid</v>
      </c>
      <c r="K141" s="18">
        <f t="shared" si="5"/>
        <v>21463</v>
      </c>
      <c r="L141" s="18">
        <f t="shared" si="6"/>
        <v>22107</v>
      </c>
      <c r="M141" s="17">
        <f t="shared" si="7"/>
        <v>60</v>
      </c>
      <c r="N141" s="18">
        <f t="shared" si="8"/>
        <v>1287780</v>
      </c>
      <c r="O141" s="17" t="str">
        <f t="shared" si="9"/>
        <v>East</v>
      </c>
      <c r="P141" s="17" t="str">
        <f t="shared" si="10"/>
        <v>Tanvi Sharma</v>
      </c>
      <c r="Q141" s="19">
        <f t="shared" si="11"/>
        <v>0.125</v>
      </c>
      <c r="R141" s="17">
        <f t="shared" si="12"/>
        <v>1126807.5</v>
      </c>
      <c r="S141" s="18">
        <f t="shared" si="13"/>
        <v>1326420</v>
      </c>
      <c r="T141" s="20">
        <f t="shared" si="14"/>
        <v>24.108</v>
      </c>
      <c r="U141" s="20">
        <f t="shared" si="15"/>
        <v>29.892</v>
      </c>
      <c r="V141" s="21">
        <f t="shared" si="16"/>
        <v>517430.004</v>
      </c>
      <c r="W141" s="21">
        <f t="shared" si="17"/>
        <v>609377.496</v>
      </c>
      <c r="X141" s="17">
        <f t="shared" si="18"/>
        <v>660822.444</v>
      </c>
      <c r="Y141" s="15"/>
    </row>
    <row r="142">
      <c r="A142" s="16" t="s">
        <v>204</v>
      </c>
      <c r="B142" s="17" t="str">
        <f>IFERROR(__xludf.DUMMYFUNCTION("split(A142,""//"")"),"Month5 ")</f>
        <v>Month5 </v>
      </c>
      <c r="C142" s="17" t="str">
        <f>IFERROR(__xludf.DUMMYFUNCTION("""COMPUTED_VALUE"""),"City_Ahmedabad ")</f>
        <v>City_Ahmedabad </v>
      </c>
      <c r="D142" s="17" t="str">
        <f>IFERROR(__xludf.DUMMYFUNCTION("""COMPUTED_VALUE"""),"PRD-ZestVita")</f>
        <v>PRD-ZestVita</v>
      </c>
      <c r="E142" s="17" t="str">
        <f>IFERROR(__xludf.DUMMYFUNCTION("""COMPUTED_VALUE"""),"OPQ  35672")</f>
        <v>OPQ  35672</v>
      </c>
      <c r="F142" s="17" t="str">
        <f>IFERROR(__xludf.DUMMYFUNCTION("""COMPUTED_VALUE"""),"NPQ[IPLMARKETTING]44233")</f>
        <v>NPQ[IPLMARKETTING]44233</v>
      </c>
      <c r="G142" s="18">
        <f t="shared" si="1"/>
        <v>5</v>
      </c>
      <c r="H142" s="17" t="str">
        <f t="shared" si="2"/>
        <v>May</v>
      </c>
      <c r="I142" s="17" t="str">
        <f t="shared" si="3"/>
        <v>Ahmedabad </v>
      </c>
      <c r="J142" s="17" t="str">
        <f t="shared" si="4"/>
        <v>ZestVita</v>
      </c>
      <c r="K142" s="18">
        <f t="shared" si="5"/>
        <v>35672</v>
      </c>
      <c r="L142" s="18">
        <f t="shared" si="6"/>
        <v>44233</v>
      </c>
      <c r="M142" s="17">
        <f t="shared" si="7"/>
        <v>135</v>
      </c>
      <c r="N142" s="18">
        <f t="shared" si="8"/>
        <v>4815720</v>
      </c>
      <c r="O142" s="17" t="str">
        <f t="shared" si="9"/>
        <v>West</v>
      </c>
      <c r="P142" s="17" t="str">
        <f t="shared" si="10"/>
        <v>Ajay Ghosh</v>
      </c>
      <c r="Q142" s="19">
        <f t="shared" si="11"/>
        <v>0</v>
      </c>
      <c r="R142" s="18">
        <f t="shared" si="12"/>
        <v>4815720</v>
      </c>
      <c r="S142" s="18">
        <f t="shared" si="13"/>
        <v>5971455</v>
      </c>
      <c r="T142" s="20">
        <f t="shared" si="14"/>
        <v>55.84</v>
      </c>
      <c r="U142" s="20">
        <f t="shared" si="15"/>
        <v>73.16</v>
      </c>
      <c r="V142" s="21">
        <f t="shared" si="16"/>
        <v>1991924.48</v>
      </c>
      <c r="W142" s="18">
        <f t="shared" si="17"/>
        <v>2823795.52</v>
      </c>
      <c r="X142" s="17">
        <f t="shared" si="18"/>
        <v>3236086.28</v>
      </c>
      <c r="Y142" s="15"/>
    </row>
    <row r="143">
      <c r="A143" s="16" t="s">
        <v>205</v>
      </c>
      <c r="B143" s="17" t="str">
        <f>IFERROR(__xludf.DUMMYFUNCTION("split(A143,""//"")"),"Month5 ")</f>
        <v>Month5 </v>
      </c>
      <c r="C143" s="17" t="str">
        <f>IFERROR(__xludf.DUMMYFUNCTION("""COMPUTED_VALUE"""),"City_Ahmedabad ")</f>
        <v>City_Ahmedabad </v>
      </c>
      <c r="D143" s="17" t="str">
        <f>IFERROR(__xludf.DUMMYFUNCTION("""COMPUTED_VALUE"""),"PRD-NutriKid")</f>
        <v>PRD-NutriKid</v>
      </c>
      <c r="E143" s="17" t="str">
        <f>IFERROR(__xludf.DUMMYFUNCTION("""COMPUTED_VALUE"""),"OPQ  20920")</f>
        <v>OPQ  20920</v>
      </c>
      <c r="F143" s="17" t="str">
        <f>IFERROR(__xludf.DUMMYFUNCTION("""COMPUTED_VALUE"""),"NPQ[IPLMARKETTING]23849")</f>
        <v>NPQ[IPLMARKETTING]23849</v>
      </c>
      <c r="G143" s="18">
        <f t="shared" si="1"/>
        <v>5</v>
      </c>
      <c r="H143" s="17" t="str">
        <f t="shared" si="2"/>
        <v>May</v>
      </c>
      <c r="I143" s="17" t="str">
        <f t="shared" si="3"/>
        <v>Ahmedabad </v>
      </c>
      <c r="J143" s="17" t="str">
        <f t="shared" si="4"/>
        <v>NutriKid</v>
      </c>
      <c r="K143" s="18">
        <f t="shared" si="5"/>
        <v>20920</v>
      </c>
      <c r="L143" s="18">
        <f t="shared" si="6"/>
        <v>23849</v>
      </c>
      <c r="M143" s="17">
        <f t="shared" si="7"/>
        <v>60</v>
      </c>
      <c r="N143" s="18">
        <f t="shared" si="8"/>
        <v>1255200</v>
      </c>
      <c r="O143" s="17" t="str">
        <f t="shared" si="9"/>
        <v>West</v>
      </c>
      <c r="P143" s="17" t="str">
        <f t="shared" si="10"/>
        <v>Ajay Ghosh</v>
      </c>
      <c r="Q143" s="19">
        <f t="shared" si="11"/>
        <v>0</v>
      </c>
      <c r="R143" s="18">
        <f t="shared" si="12"/>
        <v>1255200</v>
      </c>
      <c r="S143" s="18">
        <f t="shared" si="13"/>
        <v>1430940</v>
      </c>
      <c r="T143" s="20">
        <f t="shared" si="14"/>
        <v>24.108</v>
      </c>
      <c r="U143" s="20">
        <f t="shared" si="15"/>
        <v>29.892</v>
      </c>
      <c r="V143" s="21">
        <f t="shared" si="16"/>
        <v>504339.36</v>
      </c>
      <c r="W143" s="18">
        <f t="shared" si="17"/>
        <v>750860.64</v>
      </c>
      <c r="X143" s="17">
        <f t="shared" si="18"/>
        <v>712894.308</v>
      </c>
      <c r="Y143" s="15"/>
    </row>
    <row r="144">
      <c r="A144" s="16" t="s">
        <v>206</v>
      </c>
      <c r="B144" s="17" t="str">
        <f>IFERROR(__xludf.DUMMYFUNCTION("split(A144,""//"")"),"Month5 ")</f>
        <v>Month5 </v>
      </c>
      <c r="C144" s="17" t="str">
        <f>IFERROR(__xludf.DUMMYFUNCTION("""COMPUTED_VALUE"""),"City_Chennai")</f>
        <v>City_Chennai</v>
      </c>
      <c r="D144" s="17" t="str">
        <f>IFERROR(__xludf.DUMMYFUNCTION("""COMPUTED_VALUE"""),"PRD-ZestVita")</f>
        <v>PRD-ZestVita</v>
      </c>
      <c r="E144" s="17" t="str">
        <f>IFERROR(__xludf.DUMMYFUNCTION("""COMPUTED_VALUE"""),"OPQ  22601")</f>
        <v>OPQ  22601</v>
      </c>
      <c r="F144" s="17" t="str">
        <f>IFERROR(__xludf.DUMMYFUNCTION("""COMPUTED_VALUE"""),"NPQ[IPLMARKETTING]25313")</f>
        <v>NPQ[IPLMARKETTING]25313</v>
      </c>
      <c r="G144" s="18">
        <f t="shared" si="1"/>
        <v>5</v>
      </c>
      <c r="H144" s="17" t="str">
        <f t="shared" si="2"/>
        <v>May</v>
      </c>
      <c r="I144" s="17" t="str">
        <f t="shared" si="3"/>
        <v>Chennai</v>
      </c>
      <c r="J144" s="17" t="str">
        <f t="shared" si="4"/>
        <v>ZestVita</v>
      </c>
      <c r="K144" s="18">
        <f t="shared" si="5"/>
        <v>22601</v>
      </c>
      <c r="L144" s="18">
        <f t="shared" si="6"/>
        <v>25313</v>
      </c>
      <c r="M144" s="17">
        <f t="shared" si="7"/>
        <v>135</v>
      </c>
      <c r="N144" s="18">
        <f t="shared" si="8"/>
        <v>3051135</v>
      </c>
      <c r="O144" s="17" t="str">
        <f t="shared" si="9"/>
        <v>South</v>
      </c>
      <c r="P144" s="17" t="str">
        <f t="shared" si="10"/>
        <v>Anjali Krishna Murthy</v>
      </c>
      <c r="Q144" s="19">
        <f t="shared" si="11"/>
        <v>0</v>
      </c>
      <c r="R144" s="18">
        <f t="shared" si="12"/>
        <v>3051135</v>
      </c>
      <c r="S144" s="18">
        <f t="shared" si="13"/>
        <v>3417255</v>
      </c>
      <c r="T144" s="20">
        <f t="shared" si="14"/>
        <v>55.84</v>
      </c>
      <c r="U144" s="20">
        <f t="shared" si="15"/>
        <v>73.16</v>
      </c>
      <c r="V144" s="21">
        <f t="shared" si="16"/>
        <v>1262039.84</v>
      </c>
      <c r="W144" s="18">
        <f t="shared" si="17"/>
        <v>1789095.16</v>
      </c>
      <c r="X144" s="17">
        <f t="shared" si="18"/>
        <v>1851899.08</v>
      </c>
      <c r="Y144" s="15"/>
    </row>
    <row r="145">
      <c r="A145" s="16" t="s">
        <v>207</v>
      </c>
      <c r="B145" s="17" t="str">
        <f>IFERROR(__xludf.DUMMYFUNCTION("split(A145,""//"")"),"Month5 ")</f>
        <v>Month5 </v>
      </c>
      <c r="C145" s="17" t="str">
        <f>IFERROR(__xludf.DUMMYFUNCTION("""COMPUTED_VALUE"""),"City_Chennai")</f>
        <v>City_Chennai</v>
      </c>
      <c r="D145" s="17" t="str">
        <f>IFERROR(__xludf.DUMMYFUNCTION("""COMPUTED_VALUE"""),"PRD-NutriKid")</f>
        <v>PRD-NutriKid</v>
      </c>
      <c r="E145" s="17" t="str">
        <f>IFERROR(__xludf.DUMMYFUNCTION("""COMPUTED_VALUE"""),"OPQ  24580")</f>
        <v>OPQ  24580</v>
      </c>
      <c r="F145" s="17" t="str">
        <f>IFERROR(__xludf.DUMMYFUNCTION("""COMPUTED_VALUE"""),"NPQ[IPLMARKETTING]30233")</f>
        <v>NPQ[IPLMARKETTING]30233</v>
      </c>
      <c r="G145" s="18">
        <f t="shared" si="1"/>
        <v>5</v>
      </c>
      <c r="H145" s="17" t="str">
        <f t="shared" si="2"/>
        <v>May</v>
      </c>
      <c r="I145" s="17" t="str">
        <f t="shared" si="3"/>
        <v>Chennai</v>
      </c>
      <c r="J145" s="17" t="str">
        <f t="shared" si="4"/>
        <v>NutriKid</v>
      </c>
      <c r="K145" s="18">
        <f t="shared" si="5"/>
        <v>24580</v>
      </c>
      <c r="L145" s="18">
        <f t="shared" si="6"/>
        <v>30233</v>
      </c>
      <c r="M145" s="17">
        <f t="shared" si="7"/>
        <v>60</v>
      </c>
      <c r="N145" s="18">
        <f t="shared" si="8"/>
        <v>1474800</v>
      </c>
      <c r="O145" s="17" t="str">
        <f t="shared" si="9"/>
        <v>South</v>
      </c>
      <c r="P145" s="17" t="str">
        <f t="shared" si="10"/>
        <v>Anjali Krishna Murthy</v>
      </c>
      <c r="Q145" s="19">
        <f t="shared" si="11"/>
        <v>0</v>
      </c>
      <c r="R145" s="18">
        <f t="shared" si="12"/>
        <v>1474800</v>
      </c>
      <c r="S145" s="18">
        <f t="shared" si="13"/>
        <v>1813980</v>
      </c>
      <c r="T145" s="20">
        <f t="shared" si="14"/>
        <v>24.108</v>
      </c>
      <c r="U145" s="20">
        <f t="shared" si="15"/>
        <v>29.892</v>
      </c>
      <c r="V145" s="21">
        <f t="shared" si="16"/>
        <v>592574.64</v>
      </c>
      <c r="W145" s="18">
        <f t="shared" si="17"/>
        <v>882225.36</v>
      </c>
      <c r="X145" s="17">
        <f t="shared" si="18"/>
        <v>903724.836</v>
      </c>
      <c r="Y145" s="15"/>
    </row>
    <row r="146">
      <c r="A146" s="16" t="s">
        <v>208</v>
      </c>
      <c r="B146" s="17" t="str">
        <f>IFERROR(__xludf.DUMMYFUNCTION("split(A146,""//"")"),"Month5 ")</f>
        <v>Month5 </v>
      </c>
      <c r="C146" s="17" t="str">
        <f>IFERROR(__xludf.DUMMYFUNCTION("""COMPUTED_VALUE"""),"City_Lucknow")</f>
        <v>City_Lucknow</v>
      </c>
      <c r="D146" s="17" t="str">
        <f>IFERROR(__xludf.DUMMYFUNCTION("""COMPUTED_VALUE"""),"PRD-ZestVita")</f>
        <v>PRD-ZestVita</v>
      </c>
      <c r="E146" s="17" t="str">
        <f>IFERROR(__xludf.DUMMYFUNCTION("""COMPUTED_VALUE"""),"OPQ  26118")</f>
        <v>OPQ  26118</v>
      </c>
      <c r="F146" s="17" t="str">
        <f>IFERROR(__xludf.DUMMYFUNCTION("""COMPUTED_VALUE"""),"NPQ[IPLMARKETTING]32125")</f>
        <v>NPQ[IPLMARKETTING]32125</v>
      </c>
      <c r="G146" s="18">
        <f t="shared" si="1"/>
        <v>5</v>
      </c>
      <c r="H146" s="17" t="str">
        <f t="shared" si="2"/>
        <v>May</v>
      </c>
      <c r="I146" s="17" t="str">
        <f t="shared" si="3"/>
        <v>Lucknow</v>
      </c>
      <c r="J146" s="17" t="str">
        <f t="shared" si="4"/>
        <v>ZestVita</v>
      </c>
      <c r="K146" s="18">
        <f t="shared" si="5"/>
        <v>26118</v>
      </c>
      <c r="L146" s="18">
        <f t="shared" si="6"/>
        <v>32125</v>
      </c>
      <c r="M146" s="17">
        <f t="shared" si="7"/>
        <v>135</v>
      </c>
      <c r="N146" s="18">
        <f t="shared" si="8"/>
        <v>3525930</v>
      </c>
      <c r="O146" s="17" t="str">
        <f t="shared" si="9"/>
        <v>North</v>
      </c>
      <c r="P146" s="17" t="str">
        <f t="shared" si="10"/>
        <v>Ajay Kumar</v>
      </c>
      <c r="Q146" s="19">
        <f t="shared" si="11"/>
        <v>0.1</v>
      </c>
      <c r="R146" s="17">
        <f t="shared" si="12"/>
        <v>3173337</v>
      </c>
      <c r="S146" s="18">
        <f t="shared" si="13"/>
        <v>4336875</v>
      </c>
      <c r="T146" s="20">
        <f t="shared" si="14"/>
        <v>55.84</v>
      </c>
      <c r="U146" s="20">
        <f t="shared" si="15"/>
        <v>73.16</v>
      </c>
      <c r="V146" s="21">
        <f t="shared" si="16"/>
        <v>1458429.12</v>
      </c>
      <c r="W146" s="21">
        <f t="shared" si="17"/>
        <v>1714907.88</v>
      </c>
      <c r="X146" s="17">
        <f t="shared" si="18"/>
        <v>2350265</v>
      </c>
      <c r="Y146" s="15"/>
    </row>
    <row r="147">
      <c r="A147" s="16" t="s">
        <v>209</v>
      </c>
      <c r="B147" s="17" t="str">
        <f>IFERROR(__xludf.DUMMYFUNCTION("split(A147,""//"")"),"Month5 ")</f>
        <v>Month5 </v>
      </c>
      <c r="C147" s="17" t="str">
        <f>IFERROR(__xludf.DUMMYFUNCTION("""COMPUTED_VALUE"""),"City_Lucknow")</f>
        <v>City_Lucknow</v>
      </c>
      <c r="D147" s="17" t="str">
        <f>IFERROR(__xludf.DUMMYFUNCTION("""COMPUTED_VALUE"""),"PRD-NutriKid")</f>
        <v>PRD-NutriKid</v>
      </c>
      <c r="E147" s="17" t="str">
        <f>IFERROR(__xludf.DUMMYFUNCTION("""COMPUTED_VALUE"""),"OPQ  23751")</f>
        <v>OPQ  23751</v>
      </c>
      <c r="F147" s="17" t="str">
        <f>IFERROR(__xludf.DUMMYFUNCTION("""COMPUTED_VALUE"""),"NPQ[IPLMARKETTING]27551")</f>
        <v>NPQ[IPLMARKETTING]27551</v>
      </c>
      <c r="G147" s="18">
        <f t="shared" si="1"/>
        <v>5</v>
      </c>
      <c r="H147" s="17" t="str">
        <f t="shared" si="2"/>
        <v>May</v>
      </c>
      <c r="I147" s="17" t="str">
        <f t="shared" si="3"/>
        <v>Lucknow</v>
      </c>
      <c r="J147" s="17" t="str">
        <f t="shared" si="4"/>
        <v>NutriKid</v>
      </c>
      <c r="K147" s="18">
        <f t="shared" si="5"/>
        <v>23751</v>
      </c>
      <c r="L147" s="18">
        <f t="shared" si="6"/>
        <v>27551</v>
      </c>
      <c r="M147" s="17">
        <f t="shared" si="7"/>
        <v>60</v>
      </c>
      <c r="N147" s="18">
        <f t="shared" si="8"/>
        <v>1425060</v>
      </c>
      <c r="O147" s="17" t="str">
        <f t="shared" si="9"/>
        <v>North</v>
      </c>
      <c r="P147" s="17" t="str">
        <f t="shared" si="10"/>
        <v>Ajay Kumar</v>
      </c>
      <c r="Q147" s="19">
        <f t="shared" si="11"/>
        <v>0.1</v>
      </c>
      <c r="R147" s="17">
        <f t="shared" si="12"/>
        <v>1282554</v>
      </c>
      <c r="S147" s="18">
        <f t="shared" si="13"/>
        <v>1653060</v>
      </c>
      <c r="T147" s="20">
        <f t="shared" si="14"/>
        <v>24.108</v>
      </c>
      <c r="U147" s="20">
        <f t="shared" si="15"/>
        <v>29.892</v>
      </c>
      <c r="V147" s="21">
        <f t="shared" si="16"/>
        <v>572589.108</v>
      </c>
      <c r="W147" s="21">
        <f t="shared" si="17"/>
        <v>709964.892</v>
      </c>
      <c r="X147" s="17">
        <f t="shared" si="18"/>
        <v>823554.492</v>
      </c>
      <c r="Y147" s="15"/>
    </row>
    <row r="148">
      <c r="A148" s="16" t="s">
        <v>210</v>
      </c>
      <c r="B148" s="17" t="str">
        <f>IFERROR(__xludf.DUMMYFUNCTION("split(A148,""//"")"),"Month5 ")</f>
        <v>Month5 </v>
      </c>
      <c r="C148" s="17" t="str">
        <f>IFERROR(__xludf.DUMMYFUNCTION("""COMPUTED_VALUE"""),"City_Ranchi")</f>
        <v>City_Ranchi</v>
      </c>
      <c r="D148" s="17" t="str">
        <f>IFERROR(__xludf.DUMMYFUNCTION("""COMPUTED_VALUE"""),"PRD-ZestVita")</f>
        <v>PRD-ZestVita</v>
      </c>
      <c r="E148" s="17" t="str">
        <f>IFERROR(__xludf.DUMMYFUNCTION("""COMPUTED_VALUE"""),"OPQ  30378")</f>
        <v>OPQ  30378</v>
      </c>
      <c r="F148" s="17" t="str">
        <f>IFERROR(__xludf.DUMMYFUNCTION("""COMPUTED_VALUE"""),"NPQ[IPLMARKETTING]32808")</f>
        <v>NPQ[IPLMARKETTING]32808</v>
      </c>
      <c r="G148" s="18">
        <f t="shared" si="1"/>
        <v>5</v>
      </c>
      <c r="H148" s="17" t="str">
        <f t="shared" si="2"/>
        <v>May</v>
      </c>
      <c r="I148" s="17" t="str">
        <f t="shared" si="3"/>
        <v>Ranchi</v>
      </c>
      <c r="J148" s="17" t="str">
        <f t="shared" si="4"/>
        <v>ZestVita</v>
      </c>
      <c r="K148" s="18">
        <f t="shared" si="5"/>
        <v>30378</v>
      </c>
      <c r="L148" s="18">
        <f t="shared" si="6"/>
        <v>32808</v>
      </c>
      <c r="M148" s="17">
        <f t="shared" si="7"/>
        <v>135</v>
      </c>
      <c r="N148" s="18">
        <f t="shared" si="8"/>
        <v>4101030</v>
      </c>
      <c r="O148" s="17" t="str">
        <f t="shared" si="9"/>
        <v>East</v>
      </c>
      <c r="P148" s="17" t="str">
        <f t="shared" si="10"/>
        <v>Tanvi Sharma</v>
      </c>
      <c r="Q148" s="19">
        <f t="shared" si="11"/>
        <v>0.05</v>
      </c>
      <c r="R148" s="17">
        <f t="shared" si="12"/>
        <v>3895978.5</v>
      </c>
      <c r="S148" s="18">
        <f t="shared" si="13"/>
        <v>4429080</v>
      </c>
      <c r="T148" s="20">
        <f t="shared" si="14"/>
        <v>55.84</v>
      </c>
      <c r="U148" s="20">
        <f t="shared" si="15"/>
        <v>73.16</v>
      </c>
      <c r="V148" s="21">
        <f t="shared" si="16"/>
        <v>1696307.52</v>
      </c>
      <c r="W148" s="21">
        <f t="shared" si="17"/>
        <v>2199670.98</v>
      </c>
      <c r="X148" s="17">
        <f t="shared" si="18"/>
        <v>2400233.28</v>
      </c>
      <c r="Y148" s="15"/>
    </row>
    <row r="149">
      <c r="A149" s="16" t="s">
        <v>211</v>
      </c>
      <c r="B149" s="17" t="str">
        <f>IFERROR(__xludf.DUMMYFUNCTION("split(A149,""//"")"),"Month5 ")</f>
        <v>Month5 </v>
      </c>
      <c r="C149" s="17" t="str">
        <f>IFERROR(__xludf.DUMMYFUNCTION("""COMPUTED_VALUE"""),"City_Ranchi")</f>
        <v>City_Ranchi</v>
      </c>
      <c r="D149" s="17" t="str">
        <f>IFERROR(__xludf.DUMMYFUNCTION("""COMPUTED_VALUE"""),"PRD-NutriKid")</f>
        <v>PRD-NutriKid</v>
      </c>
      <c r="E149" s="17" t="str">
        <f>IFERROR(__xludf.DUMMYFUNCTION("""COMPUTED_VALUE"""),"OPQ  20625")</f>
        <v>OPQ  20625</v>
      </c>
      <c r="F149" s="17" t="str">
        <f>IFERROR(__xludf.DUMMYFUNCTION("""COMPUTED_VALUE"""),"NPQ[IPLMARKETTING]21450")</f>
        <v>NPQ[IPLMARKETTING]21450</v>
      </c>
      <c r="G149" s="18">
        <f t="shared" si="1"/>
        <v>5</v>
      </c>
      <c r="H149" s="17" t="str">
        <f t="shared" si="2"/>
        <v>May</v>
      </c>
      <c r="I149" s="17" t="str">
        <f t="shared" si="3"/>
        <v>Ranchi</v>
      </c>
      <c r="J149" s="17" t="str">
        <f t="shared" si="4"/>
        <v>NutriKid</v>
      </c>
      <c r="K149" s="18">
        <f t="shared" si="5"/>
        <v>20625</v>
      </c>
      <c r="L149" s="18">
        <f t="shared" si="6"/>
        <v>21450</v>
      </c>
      <c r="M149" s="17">
        <f t="shared" si="7"/>
        <v>60</v>
      </c>
      <c r="N149" s="18">
        <f t="shared" si="8"/>
        <v>1237500</v>
      </c>
      <c r="O149" s="17" t="str">
        <f t="shared" si="9"/>
        <v>East</v>
      </c>
      <c r="P149" s="17" t="str">
        <f t="shared" si="10"/>
        <v>Tanvi Sharma</v>
      </c>
      <c r="Q149" s="19">
        <f t="shared" si="11"/>
        <v>0.05</v>
      </c>
      <c r="R149" s="17">
        <f t="shared" si="12"/>
        <v>1175625</v>
      </c>
      <c r="S149" s="18">
        <f t="shared" si="13"/>
        <v>1287000</v>
      </c>
      <c r="T149" s="20">
        <f t="shared" si="14"/>
        <v>24.108</v>
      </c>
      <c r="U149" s="20">
        <f t="shared" si="15"/>
        <v>29.892</v>
      </c>
      <c r="V149" s="21">
        <f t="shared" si="16"/>
        <v>497227.5</v>
      </c>
      <c r="W149" s="21">
        <f t="shared" si="17"/>
        <v>678397.5</v>
      </c>
      <c r="X149" s="17">
        <f t="shared" si="18"/>
        <v>641183.4</v>
      </c>
      <c r="Y149" s="15"/>
    </row>
    <row r="150">
      <c r="A150" s="16" t="s">
        <v>212</v>
      </c>
      <c r="B150" s="17" t="str">
        <f>IFERROR(__xludf.DUMMYFUNCTION("split(A150,""//"")"),"Month5 ")</f>
        <v>Month5 </v>
      </c>
      <c r="C150" s="17" t="str">
        <f>IFERROR(__xludf.DUMMYFUNCTION("""COMPUTED_VALUE"""),"City_Surat")</f>
        <v>City_Surat</v>
      </c>
      <c r="D150" s="17" t="str">
        <f>IFERROR(__xludf.DUMMYFUNCTION("""COMPUTED_VALUE"""),"PRD-ZestVita")</f>
        <v>PRD-ZestVita</v>
      </c>
      <c r="E150" s="17" t="str">
        <f>IFERROR(__xludf.DUMMYFUNCTION("""COMPUTED_VALUE"""),"OPQ  32290")</f>
        <v>OPQ  32290</v>
      </c>
      <c r="F150" s="17" t="str">
        <f>IFERROR(__xludf.DUMMYFUNCTION("""COMPUTED_VALUE"""),"NPQ[IPLMARKETTING]33582")</f>
        <v>NPQ[IPLMARKETTING]33582</v>
      </c>
      <c r="G150" s="18">
        <f t="shared" si="1"/>
        <v>5</v>
      </c>
      <c r="H150" s="17" t="str">
        <f t="shared" si="2"/>
        <v>May</v>
      </c>
      <c r="I150" s="17" t="str">
        <f t="shared" si="3"/>
        <v>Surat</v>
      </c>
      <c r="J150" s="17" t="str">
        <f t="shared" si="4"/>
        <v>ZestVita</v>
      </c>
      <c r="K150" s="18">
        <f t="shared" si="5"/>
        <v>32290</v>
      </c>
      <c r="L150" s="18">
        <f t="shared" si="6"/>
        <v>33582</v>
      </c>
      <c r="M150" s="17">
        <f t="shared" si="7"/>
        <v>135</v>
      </c>
      <c r="N150" s="18">
        <f t="shared" si="8"/>
        <v>4359150</v>
      </c>
      <c r="O150" s="17" t="str">
        <f t="shared" si="9"/>
        <v>West</v>
      </c>
      <c r="P150" s="17" t="str">
        <f t="shared" si="10"/>
        <v>Ajay Ghosh</v>
      </c>
      <c r="Q150" s="19">
        <f t="shared" si="11"/>
        <v>0.05</v>
      </c>
      <c r="R150" s="17">
        <f t="shared" si="12"/>
        <v>4141192.5</v>
      </c>
      <c r="S150" s="18">
        <f t="shared" si="13"/>
        <v>4533570</v>
      </c>
      <c r="T150" s="20">
        <f t="shared" si="14"/>
        <v>55.84</v>
      </c>
      <c r="U150" s="20">
        <f t="shared" si="15"/>
        <v>73.16</v>
      </c>
      <c r="V150" s="21">
        <f t="shared" si="16"/>
        <v>1803073.6</v>
      </c>
      <c r="W150" s="21">
        <f t="shared" si="17"/>
        <v>2338118.9</v>
      </c>
      <c r="X150" s="17">
        <f t="shared" si="18"/>
        <v>2456859.12</v>
      </c>
      <c r="Y150" s="15"/>
    </row>
    <row r="151">
      <c r="A151" s="16" t="s">
        <v>213</v>
      </c>
      <c r="B151" s="17" t="str">
        <f>IFERROR(__xludf.DUMMYFUNCTION("split(A151,""//"")"),"Month5 ")</f>
        <v>Month5 </v>
      </c>
      <c r="C151" s="17" t="str">
        <f>IFERROR(__xludf.DUMMYFUNCTION("""COMPUTED_VALUE"""),"City_Surat")</f>
        <v>City_Surat</v>
      </c>
      <c r="D151" s="17" t="str">
        <f>IFERROR(__xludf.DUMMYFUNCTION("""COMPUTED_VALUE"""),"PRD-NutriKid")</f>
        <v>PRD-NutriKid</v>
      </c>
      <c r="E151" s="17" t="str">
        <f>IFERROR(__xludf.DUMMYFUNCTION("""COMPUTED_VALUE"""),"OPQ  26189")</f>
        <v>OPQ  26189</v>
      </c>
      <c r="F151" s="17" t="str">
        <f>IFERROR(__xludf.DUMMYFUNCTION("""COMPUTED_VALUE"""),"NPQ[IPLMARKETTING]27498")</f>
        <v>NPQ[IPLMARKETTING]27498</v>
      </c>
      <c r="G151" s="18">
        <f t="shared" si="1"/>
        <v>5</v>
      </c>
      <c r="H151" s="17" t="str">
        <f t="shared" si="2"/>
        <v>May</v>
      </c>
      <c r="I151" s="17" t="str">
        <f t="shared" si="3"/>
        <v>Surat</v>
      </c>
      <c r="J151" s="17" t="str">
        <f t="shared" si="4"/>
        <v>NutriKid</v>
      </c>
      <c r="K151" s="18">
        <f t="shared" si="5"/>
        <v>26189</v>
      </c>
      <c r="L151" s="18">
        <f t="shared" si="6"/>
        <v>27498</v>
      </c>
      <c r="M151" s="17">
        <f t="shared" si="7"/>
        <v>60</v>
      </c>
      <c r="N151" s="18">
        <f t="shared" si="8"/>
        <v>1571340</v>
      </c>
      <c r="O151" s="17" t="str">
        <f t="shared" si="9"/>
        <v>West</v>
      </c>
      <c r="P151" s="17" t="str">
        <f t="shared" si="10"/>
        <v>Ajay Ghosh</v>
      </c>
      <c r="Q151" s="19">
        <f t="shared" si="11"/>
        <v>0.05</v>
      </c>
      <c r="R151" s="17">
        <f t="shared" si="12"/>
        <v>1492773</v>
      </c>
      <c r="S151" s="18">
        <f t="shared" si="13"/>
        <v>1649880</v>
      </c>
      <c r="T151" s="20">
        <f t="shared" si="14"/>
        <v>24.108</v>
      </c>
      <c r="U151" s="20">
        <f t="shared" si="15"/>
        <v>29.892</v>
      </c>
      <c r="V151" s="21">
        <f t="shared" si="16"/>
        <v>631364.412</v>
      </c>
      <c r="W151" s="21">
        <f t="shared" si="17"/>
        <v>861408.588</v>
      </c>
      <c r="X151" s="17">
        <f t="shared" si="18"/>
        <v>821970.216</v>
      </c>
      <c r="Y151" s="15"/>
    </row>
    <row r="152">
      <c r="A152" s="16" t="s">
        <v>214</v>
      </c>
      <c r="B152" s="17" t="str">
        <f>IFERROR(__xludf.DUMMYFUNCTION("split(A152,""//"")"),"Month5 ")</f>
        <v>Month5 </v>
      </c>
      <c r="C152" s="17" t="str">
        <f>IFERROR(__xludf.DUMMYFUNCTION("""COMPUTED_VALUE"""),"City_Hyderabad")</f>
        <v>City_Hyderabad</v>
      </c>
      <c r="D152" s="17" t="str">
        <f>IFERROR(__xludf.DUMMYFUNCTION("""COMPUTED_VALUE"""),"PRD-ZestVita")</f>
        <v>PRD-ZestVita</v>
      </c>
      <c r="E152" s="17" t="str">
        <f>IFERROR(__xludf.DUMMYFUNCTION("""COMPUTED_VALUE"""),"OPQ  44993")</f>
        <v>OPQ  44993</v>
      </c>
      <c r="F152" s="17" t="str">
        <f>IFERROR(__xludf.DUMMYFUNCTION("""COMPUTED_VALUE"""),"NPQ[IPLMARKETTING]53542")</f>
        <v>NPQ[IPLMARKETTING]53542</v>
      </c>
      <c r="G152" s="18">
        <f t="shared" si="1"/>
        <v>5</v>
      </c>
      <c r="H152" s="17" t="str">
        <f t="shared" si="2"/>
        <v>May</v>
      </c>
      <c r="I152" s="17" t="str">
        <f t="shared" si="3"/>
        <v>Hyderabad</v>
      </c>
      <c r="J152" s="17" t="str">
        <f t="shared" si="4"/>
        <v>ZestVita</v>
      </c>
      <c r="K152" s="18">
        <f t="shared" si="5"/>
        <v>44993</v>
      </c>
      <c r="L152" s="18">
        <f t="shared" si="6"/>
        <v>53542</v>
      </c>
      <c r="M152" s="17">
        <f t="shared" si="7"/>
        <v>135</v>
      </c>
      <c r="N152" s="18">
        <f t="shared" si="8"/>
        <v>6074055</v>
      </c>
      <c r="O152" s="17" t="str">
        <f t="shared" si="9"/>
        <v>South</v>
      </c>
      <c r="P152" s="17" t="str">
        <f t="shared" si="10"/>
        <v>Anjali Krishna Murthy</v>
      </c>
      <c r="Q152" s="19">
        <f t="shared" si="11"/>
        <v>0</v>
      </c>
      <c r="R152" s="18">
        <f t="shared" si="12"/>
        <v>6074055</v>
      </c>
      <c r="S152" s="18">
        <f t="shared" si="13"/>
        <v>7228170</v>
      </c>
      <c r="T152" s="20">
        <f t="shared" si="14"/>
        <v>55.84</v>
      </c>
      <c r="U152" s="20">
        <f t="shared" si="15"/>
        <v>73.16</v>
      </c>
      <c r="V152" s="21">
        <f t="shared" si="16"/>
        <v>2512409.12</v>
      </c>
      <c r="W152" s="18">
        <f t="shared" si="17"/>
        <v>3561645.88</v>
      </c>
      <c r="X152" s="17">
        <f t="shared" si="18"/>
        <v>3917132.72</v>
      </c>
      <c r="Y152" s="15"/>
    </row>
    <row r="153">
      <c r="A153" s="16" t="s">
        <v>215</v>
      </c>
      <c r="B153" s="17" t="str">
        <f>IFERROR(__xludf.DUMMYFUNCTION("split(A153,""//"")"),"Month5 ")</f>
        <v>Month5 </v>
      </c>
      <c r="C153" s="17" t="str">
        <f>IFERROR(__xludf.DUMMYFUNCTION("""COMPUTED_VALUE"""),"City_Hyderabad")</f>
        <v>City_Hyderabad</v>
      </c>
      <c r="D153" s="17" t="str">
        <f>IFERROR(__xludf.DUMMYFUNCTION("""COMPUTED_VALUE"""),"PRD-NutriKid")</f>
        <v>PRD-NutriKid</v>
      </c>
      <c r="E153" s="17" t="str">
        <f>IFERROR(__xludf.DUMMYFUNCTION("""COMPUTED_VALUE"""),"OPQ  44627")</f>
        <v>OPQ  44627</v>
      </c>
      <c r="F153" s="17" t="str">
        <f>IFERROR(__xludf.DUMMYFUNCTION("""COMPUTED_VALUE"""),"NPQ[IPLMARKETTING]52214")</f>
        <v>NPQ[IPLMARKETTING]52214</v>
      </c>
      <c r="G153" s="18">
        <f t="shared" si="1"/>
        <v>5</v>
      </c>
      <c r="H153" s="17" t="str">
        <f t="shared" si="2"/>
        <v>May</v>
      </c>
      <c r="I153" s="17" t="str">
        <f t="shared" si="3"/>
        <v>Hyderabad</v>
      </c>
      <c r="J153" s="17" t="str">
        <f t="shared" si="4"/>
        <v>NutriKid</v>
      </c>
      <c r="K153" s="18">
        <f t="shared" si="5"/>
        <v>44627</v>
      </c>
      <c r="L153" s="18">
        <f t="shared" si="6"/>
        <v>52214</v>
      </c>
      <c r="M153" s="17">
        <f t="shared" si="7"/>
        <v>60</v>
      </c>
      <c r="N153" s="18">
        <f t="shared" si="8"/>
        <v>2677620</v>
      </c>
      <c r="O153" s="17" t="str">
        <f t="shared" si="9"/>
        <v>South</v>
      </c>
      <c r="P153" s="17" t="str">
        <f t="shared" si="10"/>
        <v>Anjali Krishna Murthy</v>
      </c>
      <c r="Q153" s="19">
        <f t="shared" si="11"/>
        <v>0</v>
      </c>
      <c r="R153" s="18">
        <f t="shared" si="12"/>
        <v>2677620</v>
      </c>
      <c r="S153" s="18">
        <f t="shared" si="13"/>
        <v>3132840</v>
      </c>
      <c r="T153" s="20">
        <f t="shared" si="14"/>
        <v>24.108</v>
      </c>
      <c r="U153" s="20">
        <f t="shared" si="15"/>
        <v>29.892</v>
      </c>
      <c r="V153" s="21">
        <f t="shared" si="16"/>
        <v>1075867.716</v>
      </c>
      <c r="W153" s="18">
        <f t="shared" si="17"/>
        <v>1601752.284</v>
      </c>
      <c r="X153" s="17">
        <f t="shared" si="18"/>
        <v>1560780.888</v>
      </c>
      <c r="Y153" s="15"/>
    </row>
    <row r="154">
      <c r="A154" s="16" t="s">
        <v>216</v>
      </c>
      <c r="B154" s="17" t="str">
        <f>IFERROR(__xludf.DUMMYFUNCTION("split(A154,""//"")"),"Month5 ")</f>
        <v>Month5 </v>
      </c>
      <c r="C154" s="17" t="str">
        <f>IFERROR(__xludf.DUMMYFUNCTION("""COMPUTED_VALUE"""),"City_Dehradun")</f>
        <v>City_Dehradun</v>
      </c>
      <c r="D154" s="17" t="str">
        <f>IFERROR(__xludf.DUMMYFUNCTION("""COMPUTED_VALUE"""),"PRD-ZestVita")</f>
        <v>PRD-ZestVita</v>
      </c>
      <c r="E154" s="17" t="str">
        <f>IFERROR(__xludf.DUMMYFUNCTION("""COMPUTED_VALUE"""),"OPQ  24831")</f>
        <v>OPQ  24831</v>
      </c>
      <c r="F154" s="17" t="str">
        <f>IFERROR(__xludf.DUMMYFUNCTION("""COMPUTED_VALUE"""),"NPQ[IPLMARKETTING]25328")</f>
        <v>NPQ[IPLMARKETTING]25328</v>
      </c>
      <c r="G154" s="18">
        <f t="shared" si="1"/>
        <v>5</v>
      </c>
      <c r="H154" s="17" t="str">
        <f t="shared" si="2"/>
        <v>May</v>
      </c>
      <c r="I154" s="17" t="str">
        <f t="shared" si="3"/>
        <v>Dehradun</v>
      </c>
      <c r="J154" s="17" t="str">
        <f t="shared" si="4"/>
        <v>ZestVita</v>
      </c>
      <c r="K154" s="18">
        <f t="shared" si="5"/>
        <v>24831</v>
      </c>
      <c r="L154" s="18">
        <f t="shared" si="6"/>
        <v>25328</v>
      </c>
      <c r="M154" s="17">
        <f t="shared" si="7"/>
        <v>135</v>
      </c>
      <c r="N154" s="18">
        <f t="shared" si="8"/>
        <v>3352185</v>
      </c>
      <c r="O154" s="17" t="str">
        <f t="shared" si="9"/>
        <v>North</v>
      </c>
      <c r="P154" s="17" t="str">
        <f t="shared" si="10"/>
        <v>Ajay Kumar</v>
      </c>
      <c r="Q154" s="19">
        <f t="shared" si="11"/>
        <v>0.125</v>
      </c>
      <c r="R154" s="17">
        <f t="shared" si="12"/>
        <v>2933161.875</v>
      </c>
      <c r="S154" s="18">
        <f t="shared" si="13"/>
        <v>3419280</v>
      </c>
      <c r="T154" s="20">
        <f t="shared" si="14"/>
        <v>55.84</v>
      </c>
      <c r="U154" s="20">
        <f t="shared" si="15"/>
        <v>73.16</v>
      </c>
      <c r="V154" s="21">
        <f t="shared" si="16"/>
        <v>1386563.04</v>
      </c>
      <c r="W154" s="21">
        <f t="shared" si="17"/>
        <v>1546598.835</v>
      </c>
      <c r="X154" s="17">
        <f t="shared" si="18"/>
        <v>1852996.48</v>
      </c>
      <c r="Y154" s="15"/>
    </row>
    <row r="155">
      <c r="A155" s="16" t="s">
        <v>217</v>
      </c>
      <c r="B155" s="17" t="str">
        <f>IFERROR(__xludf.DUMMYFUNCTION("split(A155,""//"")"),"Month5 ")</f>
        <v>Month5 </v>
      </c>
      <c r="C155" s="17" t="str">
        <f>IFERROR(__xludf.DUMMYFUNCTION("""COMPUTED_VALUE"""),"City_Dehradun")</f>
        <v>City_Dehradun</v>
      </c>
      <c r="D155" s="17" t="str">
        <f>IFERROR(__xludf.DUMMYFUNCTION("""COMPUTED_VALUE"""),"PRD-NutriKid")</f>
        <v>PRD-NutriKid</v>
      </c>
      <c r="E155" s="17" t="str">
        <f>IFERROR(__xludf.DUMMYFUNCTION("""COMPUTED_VALUE"""),"OPQ  15421")</f>
        <v>OPQ  15421</v>
      </c>
      <c r="F155" s="17" t="str">
        <f>IFERROR(__xludf.DUMMYFUNCTION("""COMPUTED_VALUE"""),"NPQ[IPLMARKETTING]16346")</f>
        <v>NPQ[IPLMARKETTING]16346</v>
      </c>
      <c r="G155" s="18">
        <f t="shared" si="1"/>
        <v>5</v>
      </c>
      <c r="H155" s="17" t="str">
        <f t="shared" si="2"/>
        <v>May</v>
      </c>
      <c r="I155" s="17" t="str">
        <f t="shared" si="3"/>
        <v>Dehradun</v>
      </c>
      <c r="J155" s="17" t="str">
        <f t="shared" si="4"/>
        <v>NutriKid</v>
      </c>
      <c r="K155" s="18">
        <f t="shared" si="5"/>
        <v>15421</v>
      </c>
      <c r="L155" s="18">
        <f t="shared" si="6"/>
        <v>16346</v>
      </c>
      <c r="M155" s="17">
        <f t="shared" si="7"/>
        <v>60</v>
      </c>
      <c r="N155" s="18">
        <f t="shared" si="8"/>
        <v>925260</v>
      </c>
      <c r="O155" s="17" t="str">
        <f t="shared" si="9"/>
        <v>North</v>
      </c>
      <c r="P155" s="17" t="str">
        <f t="shared" si="10"/>
        <v>Ajay Kumar</v>
      </c>
      <c r="Q155" s="19">
        <f t="shared" si="11"/>
        <v>0.125</v>
      </c>
      <c r="R155" s="17">
        <f t="shared" si="12"/>
        <v>809602.5</v>
      </c>
      <c r="S155" s="18">
        <f t="shared" si="13"/>
        <v>980760</v>
      </c>
      <c r="T155" s="20">
        <f t="shared" si="14"/>
        <v>24.108</v>
      </c>
      <c r="U155" s="20">
        <f t="shared" si="15"/>
        <v>29.892</v>
      </c>
      <c r="V155" s="21">
        <f t="shared" si="16"/>
        <v>371769.468</v>
      </c>
      <c r="W155" s="21">
        <f t="shared" si="17"/>
        <v>437833.032</v>
      </c>
      <c r="X155" s="17">
        <f t="shared" si="18"/>
        <v>488614.632</v>
      </c>
      <c r="Y155" s="15"/>
    </row>
    <row r="156">
      <c r="A156" s="16" t="s">
        <v>218</v>
      </c>
      <c r="B156" s="17" t="str">
        <f>IFERROR(__xludf.DUMMYFUNCTION("split(A156,""//"")"),"Month5 ")</f>
        <v>Month5 </v>
      </c>
      <c r="C156" s="17" t="str">
        <f>IFERROR(__xludf.DUMMYFUNCTION("""COMPUTED_VALUE"""),"City_Kochi")</f>
        <v>City_Kochi</v>
      </c>
      <c r="D156" s="17" t="str">
        <f>IFERROR(__xludf.DUMMYFUNCTION("""COMPUTED_VALUE"""),"PRD-ZestVita")</f>
        <v>PRD-ZestVita</v>
      </c>
      <c r="E156" s="17" t="str">
        <f>IFERROR(__xludf.DUMMYFUNCTION("""COMPUTED_VALUE"""),"OPQ  26736")</f>
        <v>OPQ  26736</v>
      </c>
      <c r="F156" s="17" t="str">
        <f>IFERROR(__xludf.DUMMYFUNCTION("""COMPUTED_VALUE"""),"NPQ[IPLMARKETTING]28340")</f>
        <v>NPQ[IPLMARKETTING]28340</v>
      </c>
      <c r="G156" s="18">
        <f t="shared" si="1"/>
        <v>5</v>
      </c>
      <c r="H156" s="17" t="str">
        <f t="shared" si="2"/>
        <v>May</v>
      </c>
      <c r="I156" s="17" t="str">
        <f t="shared" si="3"/>
        <v>Kochi</v>
      </c>
      <c r="J156" s="17" t="str">
        <f t="shared" si="4"/>
        <v>ZestVita</v>
      </c>
      <c r="K156" s="18">
        <f t="shared" si="5"/>
        <v>26736</v>
      </c>
      <c r="L156" s="18">
        <f t="shared" si="6"/>
        <v>28340</v>
      </c>
      <c r="M156" s="17">
        <f t="shared" si="7"/>
        <v>135</v>
      </c>
      <c r="N156" s="18">
        <f t="shared" si="8"/>
        <v>3609360</v>
      </c>
      <c r="O156" s="17" t="str">
        <f t="shared" si="9"/>
        <v>South</v>
      </c>
      <c r="P156" s="17" t="str">
        <f t="shared" si="10"/>
        <v>Anjali Krishna Murthy</v>
      </c>
      <c r="Q156" s="19">
        <f t="shared" si="11"/>
        <v>0.1</v>
      </c>
      <c r="R156" s="17">
        <f t="shared" si="12"/>
        <v>3248424</v>
      </c>
      <c r="S156" s="18">
        <f t="shared" si="13"/>
        <v>3825900</v>
      </c>
      <c r="T156" s="20">
        <f t="shared" si="14"/>
        <v>55.84</v>
      </c>
      <c r="U156" s="20">
        <f t="shared" si="15"/>
        <v>73.16</v>
      </c>
      <c r="V156" s="21">
        <f t="shared" si="16"/>
        <v>1492938.24</v>
      </c>
      <c r="W156" s="21">
        <f t="shared" si="17"/>
        <v>1755485.76</v>
      </c>
      <c r="X156" s="17">
        <f t="shared" si="18"/>
        <v>2073354.4</v>
      </c>
      <c r="Y156" s="15"/>
    </row>
    <row r="157">
      <c r="A157" s="16" t="s">
        <v>219</v>
      </c>
      <c r="B157" s="17" t="str">
        <f>IFERROR(__xludf.DUMMYFUNCTION("split(A157,""//"")"),"Month5 ")</f>
        <v>Month5 </v>
      </c>
      <c r="C157" s="17" t="str">
        <f>IFERROR(__xludf.DUMMYFUNCTION("""COMPUTED_VALUE"""),"City_Kochi")</f>
        <v>City_Kochi</v>
      </c>
      <c r="D157" s="17" t="str">
        <f>IFERROR(__xludf.DUMMYFUNCTION("""COMPUTED_VALUE"""),"PRD-NutriKid")</f>
        <v>PRD-NutriKid</v>
      </c>
      <c r="E157" s="17" t="str">
        <f>IFERROR(__xludf.DUMMYFUNCTION("""COMPUTED_VALUE"""),"OPQ  17646")</f>
        <v>OPQ  17646</v>
      </c>
      <c r="F157" s="17" t="str">
        <f>IFERROR(__xludf.DUMMYFUNCTION("""COMPUTED_VALUE"""),"NPQ[IPLMARKETTING]18528")</f>
        <v>NPQ[IPLMARKETTING]18528</v>
      </c>
      <c r="G157" s="18">
        <f t="shared" si="1"/>
        <v>5</v>
      </c>
      <c r="H157" s="17" t="str">
        <f t="shared" si="2"/>
        <v>May</v>
      </c>
      <c r="I157" s="17" t="str">
        <f t="shared" si="3"/>
        <v>Kochi</v>
      </c>
      <c r="J157" s="17" t="str">
        <f t="shared" si="4"/>
        <v>NutriKid</v>
      </c>
      <c r="K157" s="18">
        <f t="shared" si="5"/>
        <v>17646</v>
      </c>
      <c r="L157" s="18">
        <f t="shared" si="6"/>
        <v>18528</v>
      </c>
      <c r="M157" s="17">
        <f t="shared" si="7"/>
        <v>60</v>
      </c>
      <c r="N157" s="18">
        <f t="shared" si="8"/>
        <v>1058760</v>
      </c>
      <c r="O157" s="17" t="str">
        <f t="shared" si="9"/>
        <v>South</v>
      </c>
      <c r="P157" s="17" t="str">
        <f t="shared" si="10"/>
        <v>Anjali Krishna Murthy</v>
      </c>
      <c r="Q157" s="19">
        <f t="shared" si="11"/>
        <v>0.1</v>
      </c>
      <c r="R157" s="17">
        <f t="shared" si="12"/>
        <v>952884</v>
      </c>
      <c r="S157" s="18">
        <f t="shared" si="13"/>
        <v>1111680</v>
      </c>
      <c r="T157" s="20">
        <f t="shared" si="14"/>
        <v>24.108</v>
      </c>
      <c r="U157" s="20">
        <f t="shared" si="15"/>
        <v>29.892</v>
      </c>
      <c r="V157" s="21">
        <f t="shared" si="16"/>
        <v>425409.768</v>
      </c>
      <c r="W157" s="21">
        <f t="shared" si="17"/>
        <v>527474.232</v>
      </c>
      <c r="X157" s="17">
        <f t="shared" si="18"/>
        <v>553838.976</v>
      </c>
      <c r="Y157" s="15"/>
    </row>
    <row r="158">
      <c r="A158" s="16" t="s">
        <v>220</v>
      </c>
      <c r="B158" s="17" t="str">
        <f>IFERROR(__xludf.DUMMYFUNCTION("split(A158,""//"")"),"Month5 ")</f>
        <v>Month5 </v>
      </c>
      <c r="C158" s="17" t="str">
        <f>IFERROR(__xludf.DUMMYFUNCTION("""COMPUTED_VALUE"""),"City_Jaipur")</f>
        <v>City_Jaipur</v>
      </c>
      <c r="D158" s="17" t="str">
        <f>IFERROR(__xludf.DUMMYFUNCTION("""COMPUTED_VALUE"""),"PRD-ZestVita")</f>
        <v>PRD-ZestVita</v>
      </c>
      <c r="E158" s="17" t="str">
        <f>IFERROR(__xludf.DUMMYFUNCTION("""COMPUTED_VALUE"""),"OPQ  36686")</f>
        <v>OPQ  36686</v>
      </c>
      <c r="F158" s="17" t="str">
        <f>IFERROR(__xludf.DUMMYFUNCTION("""COMPUTED_VALUE"""),"NPQ[IPLMARKETTING]45858")</f>
        <v>NPQ[IPLMARKETTING]45858</v>
      </c>
      <c r="G158" s="18">
        <f t="shared" si="1"/>
        <v>5</v>
      </c>
      <c r="H158" s="17" t="str">
        <f t="shared" si="2"/>
        <v>May</v>
      </c>
      <c r="I158" s="17" t="str">
        <f t="shared" si="3"/>
        <v>Jaipur</v>
      </c>
      <c r="J158" s="17" t="str">
        <f t="shared" si="4"/>
        <v>ZestVita</v>
      </c>
      <c r="K158" s="18">
        <f t="shared" si="5"/>
        <v>36686</v>
      </c>
      <c r="L158" s="18">
        <f t="shared" si="6"/>
        <v>45858</v>
      </c>
      <c r="M158" s="17">
        <f t="shared" si="7"/>
        <v>135</v>
      </c>
      <c r="N158" s="18">
        <f t="shared" si="8"/>
        <v>4952610</v>
      </c>
      <c r="O158" s="17" t="str">
        <f t="shared" si="9"/>
        <v>West</v>
      </c>
      <c r="P158" s="17" t="str">
        <f t="shared" si="10"/>
        <v>Ajay Ghosh</v>
      </c>
      <c r="Q158" s="19">
        <f t="shared" si="11"/>
        <v>0</v>
      </c>
      <c r="R158" s="18">
        <f t="shared" si="12"/>
        <v>4952610</v>
      </c>
      <c r="S158" s="18">
        <f t="shared" si="13"/>
        <v>6190830</v>
      </c>
      <c r="T158" s="20">
        <f t="shared" si="14"/>
        <v>55.84</v>
      </c>
      <c r="U158" s="20">
        <f t="shared" si="15"/>
        <v>73.16</v>
      </c>
      <c r="V158" s="21">
        <f t="shared" si="16"/>
        <v>2048546.24</v>
      </c>
      <c r="W158" s="18">
        <f t="shared" si="17"/>
        <v>2904063.76</v>
      </c>
      <c r="X158" s="17">
        <f t="shared" si="18"/>
        <v>3354971.28</v>
      </c>
      <c r="Y158" s="15"/>
    </row>
    <row r="159">
      <c r="A159" s="16" t="s">
        <v>221</v>
      </c>
      <c r="B159" s="17" t="str">
        <f>IFERROR(__xludf.DUMMYFUNCTION("split(A159,""//"")"),"Month5 ")</f>
        <v>Month5 </v>
      </c>
      <c r="C159" s="17" t="str">
        <f>IFERROR(__xludf.DUMMYFUNCTION("""COMPUTED_VALUE"""),"City_Jaipur")</f>
        <v>City_Jaipur</v>
      </c>
      <c r="D159" s="17" t="str">
        <f>IFERROR(__xludf.DUMMYFUNCTION("""COMPUTED_VALUE"""),"PRD-NutriKid")</f>
        <v>PRD-NutriKid</v>
      </c>
      <c r="E159" s="17" t="str">
        <f>IFERROR(__xludf.DUMMYFUNCTION("""COMPUTED_VALUE"""),"OPQ  28563")</f>
        <v>OPQ  28563</v>
      </c>
      <c r="F159" s="17" t="str">
        <f>IFERROR(__xludf.DUMMYFUNCTION("""COMPUTED_VALUE"""),"NPQ[IPLMARKETTING]35132")</f>
        <v>NPQ[IPLMARKETTING]35132</v>
      </c>
      <c r="G159" s="18">
        <f t="shared" si="1"/>
        <v>5</v>
      </c>
      <c r="H159" s="17" t="str">
        <f t="shared" si="2"/>
        <v>May</v>
      </c>
      <c r="I159" s="17" t="str">
        <f t="shared" si="3"/>
        <v>Jaipur</v>
      </c>
      <c r="J159" s="17" t="str">
        <f t="shared" si="4"/>
        <v>NutriKid</v>
      </c>
      <c r="K159" s="18">
        <f t="shared" si="5"/>
        <v>28563</v>
      </c>
      <c r="L159" s="18">
        <f t="shared" si="6"/>
        <v>35132</v>
      </c>
      <c r="M159" s="17">
        <f t="shared" si="7"/>
        <v>60</v>
      </c>
      <c r="N159" s="18">
        <f t="shared" si="8"/>
        <v>1713780</v>
      </c>
      <c r="O159" s="17" t="str">
        <f t="shared" si="9"/>
        <v>West</v>
      </c>
      <c r="P159" s="17" t="str">
        <f t="shared" si="10"/>
        <v>Ajay Ghosh</v>
      </c>
      <c r="Q159" s="19">
        <f t="shared" si="11"/>
        <v>0</v>
      </c>
      <c r="R159" s="18">
        <f t="shared" si="12"/>
        <v>1713780</v>
      </c>
      <c r="S159" s="18">
        <f t="shared" si="13"/>
        <v>2107920</v>
      </c>
      <c r="T159" s="20">
        <f t="shared" si="14"/>
        <v>24.108</v>
      </c>
      <c r="U159" s="20">
        <f t="shared" si="15"/>
        <v>29.892</v>
      </c>
      <c r="V159" s="21">
        <f t="shared" si="16"/>
        <v>688596.804</v>
      </c>
      <c r="W159" s="18">
        <f t="shared" si="17"/>
        <v>1025183.196</v>
      </c>
      <c r="X159" s="17">
        <f t="shared" si="18"/>
        <v>1050165.744</v>
      </c>
      <c r="Y159" s="15"/>
    </row>
    <row r="160">
      <c r="A160" s="16" t="s">
        <v>222</v>
      </c>
      <c r="B160" s="17" t="str">
        <f>IFERROR(__xludf.DUMMYFUNCTION("split(A160,""//"")"),"Month5 ")</f>
        <v>Month5 </v>
      </c>
      <c r="C160" s="17" t="str">
        <f>IFERROR(__xludf.DUMMYFUNCTION("""COMPUTED_VALUE"""),"City_Patna")</f>
        <v>City_Patna</v>
      </c>
      <c r="D160" s="17" t="str">
        <f>IFERROR(__xludf.DUMMYFUNCTION("""COMPUTED_VALUE"""),"PRD-ZestVita")</f>
        <v>PRD-ZestVita</v>
      </c>
      <c r="E160" s="17" t="str">
        <f>IFERROR(__xludf.DUMMYFUNCTION("""COMPUTED_VALUE"""),"OPQ  31617")</f>
        <v>OPQ  31617</v>
      </c>
      <c r="F160" s="17" t="str">
        <f>IFERROR(__xludf.DUMMYFUNCTION("""COMPUTED_VALUE"""),"NPQ[IPLMARKETTING]38257")</f>
        <v>NPQ[IPLMARKETTING]38257</v>
      </c>
      <c r="G160" s="18">
        <f t="shared" si="1"/>
        <v>5</v>
      </c>
      <c r="H160" s="17" t="str">
        <f t="shared" si="2"/>
        <v>May</v>
      </c>
      <c r="I160" s="17" t="str">
        <f t="shared" si="3"/>
        <v>Patna</v>
      </c>
      <c r="J160" s="17" t="str">
        <f t="shared" si="4"/>
        <v>ZestVita</v>
      </c>
      <c r="K160" s="18">
        <f t="shared" si="5"/>
        <v>31617</v>
      </c>
      <c r="L160" s="18">
        <f t="shared" si="6"/>
        <v>38257</v>
      </c>
      <c r="M160" s="17">
        <f t="shared" si="7"/>
        <v>135</v>
      </c>
      <c r="N160" s="18">
        <f t="shared" si="8"/>
        <v>4268295</v>
      </c>
      <c r="O160" s="17" t="str">
        <f t="shared" si="9"/>
        <v>East</v>
      </c>
      <c r="P160" s="17" t="str">
        <f t="shared" si="10"/>
        <v>Tanvi Sharma</v>
      </c>
      <c r="Q160" s="19">
        <f t="shared" si="11"/>
        <v>0.05</v>
      </c>
      <c r="R160" s="17">
        <f t="shared" si="12"/>
        <v>4054880.25</v>
      </c>
      <c r="S160" s="18">
        <f t="shared" si="13"/>
        <v>5164695</v>
      </c>
      <c r="T160" s="20">
        <f t="shared" si="14"/>
        <v>55.84</v>
      </c>
      <c r="U160" s="20">
        <f t="shared" si="15"/>
        <v>73.16</v>
      </c>
      <c r="V160" s="21">
        <f t="shared" si="16"/>
        <v>1765493.28</v>
      </c>
      <c r="W160" s="21">
        <f t="shared" si="17"/>
        <v>2289386.97</v>
      </c>
      <c r="X160" s="17">
        <f t="shared" si="18"/>
        <v>2798882.12</v>
      </c>
      <c r="Y160" s="15"/>
    </row>
    <row r="161">
      <c r="A161" s="16" t="s">
        <v>223</v>
      </c>
      <c r="B161" s="17" t="str">
        <f>IFERROR(__xludf.DUMMYFUNCTION("split(A161,""//"")"),"Month5 ")</f>
        <v>Month5 </v>
      </c>
      <c r="C161" s="17" t="str">
        <f>IFERROR(__xludf.DUMMYFUNCTION("""COMPUTED_VALUE"""),"City_Patna")</f>
        <v>City_Patna</v>
      </c>
      <c r="D161" s="17" t="str">
        <f>IFERROR(__xludf.DUMMYFUNCTION("""COMPUTED_VALUE"""),"PRD-NutriKid")</f>
        <v>PRD-NutriKid</v>
      </c>
      <c r="E161" s="17" t="str">
        <f>IFERROR(__xludf.DUMMYFUNCTION("""COMPUTED_VALUE"""),"OPQ  40690")</f>
        <v>OPQ  40690</v>
      </c>
      <c r="F161" s="17" t="str">
        <f>IFERROR(__xludf.DUMMYFUNCTION("""COMPUTED_VALUE"""),"NPQ[IPLMARKETTING]46387")</f>
        <v>NPQ[IPLMARKETTING]46387</v>
      </c>
      <c r="G161" s="18">
        <f t="shared" si="1"/>
        <v>5</v>
      </c>
      <c r="H161" s="17" t="str">
        <f t="shared" si="2"/>
        <v>May</v>
      </c>
      <c r="I161" s="17" t="str">
        <f t="shared" si="3"/>
        <v>Patna</v>
      </c>
      <c r="J161" s="17" t="str">
        <f t="shared" si="4"/>
        <v>NutriKid</v>
      </c>
      <c r="K161" s="18">
        <f t="shared" si="5"/>
        <v>40690</v>
      </c>
      <c r="L161" s="18">
        <f t="shared" si="6"/>
        <v>46387</v>
      </c>
      <c r="M161" s="17">
        <f t="shared" si="7"/>
        <v>60</v>
      </c>
      <c r="N161" s="18">
        <f t="shared" si="8"/>
        <v>2441400</v>
      </c>
      <c r="O161" s="17" t="str">
        <f t="shared" si="9"/>
        <v>East</v>
      </c>
      <c r="P161" s="17" t="str">
        <f t="shared" si="10"/>
        <v>Tanvi Sharma</v>
      </c>
      <c r="Q161" s="19">
        <f t="shared" si="11"/>
        <v>0.05</v>
      </c>
      <c r="R161" s="17">
        <f t="shared" si="12"/>
        <v>2319330</v>
      </c>
      <c r="S161" s="18">
        <f t="shared" si="13"/>
        <v>2783220</v>
      </c>
      <c r="T161" s="20">
        <f t="shared" si="14"/>
        <v>24.108</v>
      </c>
      <c r="U161" s="20">
        <f t="shared" si="15"/>
        <v>29.892</v>
      </c>
      <c r="V161" s="21">
        <f t="shared" si="16"/>
        <v>980954.52</v>
      </c>
      <c r="W161" s="21">
        <f t="shared" si="17"/>
        <v>1338375.48</v>
      </c>
      <c r="X161" s="17">
        <f t="shared" si="18"/>
        <v>1386600.204</v>
      </c>
      <c r="Y161" s="15"/>
    </row>
    <row r="162">
      <c r="A162" s="16" t="s">
        <v>224</v>
      </c>
      <c r="B162" s="17" t="str">
        <f>IFERROR(__xludf.DUMMYFUNCTION("split(A162,""//"")"),"Month6 ")</f>
        <v>Month6 </v>
      </c>
      <c r="C162" s="17" t="str">
        <f>IFERROR(__xludf.DUMMYFUNCTION("""COMPUTED_VALUE"""),"City_Delhi")</f>
        <v>City_Delhi</v>
      </c>
      <c r="D162" s="17" t="str">
        <f>IFERROR(__xludf.DUMMYFUNCTION("""COMPUTED_VALUE"""),"PRD-ZestVita")</f>
        <v>PRD-ZestVita</v>
      </c>
      <c r="E162" s="17" t="str">
        <f>IFERROR(__xludf.DUMMYFUNCTION("""COMPUTED_VALUE"""),"OPQ  45144")</f>
        <v>OPQ  45144</v>
      </c>
      <c r="F162" s="17" t="str">
        <f>IFERROR(__xludf.DUMMYFUNCTION("""COMPUTED_VALUE"""),"NPQ[IPLMARKETTING]54173")</f>
        <v>NPQ[IPLMARKETTING]54173</v>
      </c>
      <c r="G162" s="18">
        <f t="shared" si="1"/>
        <v>6</v>
      </c>
      <c r="H162" s="17" t="str">
        <f t="shared" si="2"/>
        <v>June</v>
      </c>
      <c r="I162" s="17" t="str">
        <f t="shared" si="3"/>
        <v>Delhi</v>
      </c>
      <c r="J162" s="17" t="str">
        <f t="shared" si="4"/>
        <v>ZestVita</v>
      </c>
      <c r="K162" s="18">
        <f t="shared" si="5"/>
        <v>45144</v>
      </c>
      <c r="L162" s="18">
        <f t="shared" si="6"/>
        <v>54173</v>
      </c>
      <c r="M162" s="17">
        <f t="shared" si="7"/>
        <v>135</v>
      </c>
      <c r="N162" s="18">
        <f t="shared" si="8"/>
        <v>6094440</v>
      </c>
      <c r="O162" s="17" t="str">
        <f t="shared" si="9"/>
        <v>North</v>
      </c>
      <c r="P162" s="17" t="str">
        <f t="shared" si="10"/>
        <v>Ajay Kumar</v>
      </c>
      <c r="Q162" s="19">
        <f t="shared" si="11"/>
        <v>0</v>
      </c>
      <c r="R162" s="18">
        <f t="shared" si="12"/>
        <v>6094440</v>
      </c>
      <c r="S162" s="18">
        <f t="shared" si="13"/>
        <v>7313355</v>
      </c>
      <c r="T162" s="20">
        <f t="shared" si="14"/>
        <v>55.84</v>
      </c>
      <c r="U162" s="20">
        <f t="shared" si="15"/>
        <v>73.16</v>
      </c>
      <c r="V162" s="21">
        <f t="shared" si="16"/>
        <v>2520840.96</v>
      </c>
      <c r="W162" s="18">
        <f t="shared" si="17"/>
        <v>3573599.04</v>
      </c>
      <c r="X162" s="17">
        <f t="shared" si="18"/>
        <v>3963296.68</v>
      </c>
      <c r="Y162" s="15"/>
    </row>
    <row r="163">
      <c r="A163" s="16" t="s">
        <v>225</v>
      </c>
      <c r="B163" s="17" t="str">
        <f>IFERROR(__xludf.DUMMYFUNCTION("split(A163,""//"")"),"Month6 ")</f>
        <v>Month6 </v>
      </c>
      <c r="C163" s="17" t="str">
        <f>IFERROR(__xludf.DUMMYFUNCTION("""COMPUTED_VALUE"""),"City_Delhi")</f>
        <v>City_Delhi</v>
      </c>
      <c r="D163" s="17" t="str">
        <f>IFERROR(__xludf.DUMMYFUNCTION("""COMPUTED_VALUE"""),"PRD-NutriKid")</f>
        <v>PRD-NutriKid</v>
      </c>
      <c r="E163" s="17" t="str">
        <f>IFERROR(__xludf.DUMMYFUNCTION("""COMPUTED_VALUE"""),"OPQ  34369")</f>
        <v>OPQ  34369</v>
      </c>
      <c r="F163" s="17" t="str">
        <f>IFERROR(__xludf.DUMMYFUNCTION("""COMPUTED_VALUE"""),"NPQ[IPLMARKETTING]38493")</f>
        <v>NPQ[IPLMARKETTING]38493</v>
      </c>
      <c r="G163" s="18">
        <f t="shared" si="1"/>
        <v>6</v>
      </c>
      <c r="H163" s="17" t="str">
        <f t="shared" si="2"/>
        <v>June</v>
      </c>
      <c r="I163" s="17" t="str">
        <f t="shared" si="3"/>
        <v>Delhi</v>
      </c>
      <c r="J163" s="17" t="str">
        <f t="shared" si="4"/>
        <v>NutriKid</v>
      </c>
      <c r="K163" s="18">
        <f t="shared" si="5"/>
        <v>34369</v>
      </c>
      <c r="L163" s="18">
        <f t="shared" si="6"/>
        <v>38493</v>
      </c>
      <c r="M163" s="17">
        <f t="shared" si="7"/>
        <v>60</v>
      </c>
      <c r="N163" s="18">
        <f t="shared" si="8"/>
        <v>2062140</v>
      </c>
      <c r="O163" s="17" t="str">
        <f t="shared" si="9"/>
        <v>North</v>
      </c>
      <c r="P163" s="17" t="str">
        <f t="shared" si="10"/>
        <v>Ajay Kumar</v>
      </c>
      <c r="Q163" s="19">
        <f t="shared" si="11"/>
        <v>0</v>
      </c>
      <c r="R163" s="18">
        <f t="shared" si="12"/>
        <v>2062140</v>
      </c>
      <c r="S163" s="18">
        <f t="shared" si="13"/>
        <v>2309580</v>
      </c>
      <c r="T163" s="20">
        <f t="shared" si="14"/>
        <v>24.108</v>
      </c>
      <c r="U163" s="20">
        <f t="shared" si="15"/>
        <v>29.892</v>
      </c>
      <c r="V163" s="21">
        <f t="shared" si="16"/>
        <v>828567.852</v>
      </c>
      <c r="W163" s="18">
        <f t="shared" si="17"/>
        <v>1233572.148</v>
      </c>
      <c r="X163" s="17">
        <f t="shared" si="18"/>
        <v>1150632.756</v>
      </c>
      <c r="Y163" s="15"/>
    </row>
    <row r="164">
      <c r="A164" s="16" t="s">
        <v>226</v>
      </c>
      <c r="B164" s="17" t="str">
        <f>IFERROR(__xludf.DUMMYFUNCTION("split(A164,""//"")"),"Month6 ")</f>
        <v>Month6 </v>
      </c>
      <c r="C164" s="17" t="str">
        <f>IFERROR(__xludf.DUMMYFUNCTION("""COMPUTED_VALUE"""),"City_Kolkata")</f>
        <v>City_Kolkata</v>
      </c>
      <c r="D164" s="17" t="str">
        <f>IFERROR(__xludf.DUMMYFUNCTION("""COMPUTED_VALUE"""),"PRD-ZestVita")</f>
        <v>PRD-ZestVita</v>
      </c>
      <c r="E164" s="17" t="str">
        <f>IFERROR(__xludf.DUMMYFUNCTION("""COMPUTED_VALUE"""),"OPQ  23879")</f>
        <v>OPQ  23879</v>
      </c>
      <c r="F164" s="17" t="str">
        <f>IFERROR(__xludf.DUMMYFUNCTION("""COMPUTED_VALUE"""),"NPQ[IPLMARKETTING]29610")</f>
        <v>NPQ[IPLMARKETTING]29610</v>
      </c>
      <c r="G164" s="18">
        <f t="shared" si="1"/>
        <v>6</v>
      </c>
      <c r="H164" s="17" t="str">
        <f t="shared" si="2"/>
        <v>June</v>
      </c>
      <c r="I164" s="17" t="str">
        <f t="shared" si="3"/>
        <v>Kolkata</v>
      </c>
      <c r="J164" s="17" t="str">
        <f t="shared" si="4"/>
        <v>ZestVita</v>
      </c>
      <c r="K164" s="18">
        <f t="shared" si="5"/>
        <v>23879</v>
      </c>
      <c r="L164" s="18">
        <f t="shared" si="6"/>
        <v>29610</v>
      </c>
      <c r="M164" s="17">
        <f t="shared" si="7"/>
        <v>135</v>
      </c>
      <c r="N164" s="18">
        <f t="shared" si="8"/>
        <v>3223665</v>
      </c>
      <c r="O164" s="17" t="str">
        <f t="shared" si="9"/>
        <v>East</v>
      </c>
      <c r="P164" s="17" t="str">
        <f t="shared" si="10"/>
        <v>Tanvi Sharma</v>
      </c>
      <c r="Q164" s="19">
        <f t="shared" si="11"/>
        <v>0</v>
      </c>
      <c r="R164" s="18">
        <f t="shared" si="12"/>
        <v>3223665</v>
      </c>
      <c r="S164" s="18">
        <f t="shared" si="13"/>
        <v>3997350</v>
      </c>
      <c r="T164" s="20">
        <f t="shared" si="14"/>
        <v>55.84</v>
      </c>
      <c r="U164" s="20">
        <f t="shared" si="15"/>
        <v>73.16</v>
      </c>
      <c r="V164" s="21">
        <f t="shared" si="16"/>
        <v>1333403.36</v>
      </c>
      <c r="W164" s="18">
        <f t="shared" si="17"/>
        <v>1890261.64</v>
      </c>
      <c r="X164" s="17">
        <f t="shared" si="18"/>
        <v>2166267.6</v>
      </c>
      <c r="Y164" s="15"/>
    </row>
    <row r="165">
      <c r="A165" s="16" t="s">
        <v>227</v>
      </c>
      <c r="B165" s="17" t="str">
        <f>IFERROR(__xludf.DUMMYFUNCTION("split(A165,""//"")"),"Month6 ")</f>
        <v>Month6 </v>
      </c>
      <c r="C165" s="17" t="str">
        <f>IFERROR(__xludf.DUMMYFUNCTION("""COMPUTED_VALUE"""),"City_Kolkata")</f>
        <v>City_Kolkata</v>
      </c>
      <c r="D165" s="17" t="str">
        <f>IFERROR(__xludf.DUMMYFUNCTION("""COMPUTED_VALUE"""),"PRD-NutriKid")</f>
        <v>PRD-NutriKid</v>
      </c>
      <c r="E165" s="17" t="str">
        <f>IFERROR(__xludf.DUMMYFUNCTION("""COMPUTED_VALUE"""),"OPQ  48568")</f>
        <v>OPQ  48568</v>
      </c>
      <c r="F165" s="17" t="str">
        <f>IFERROR(__xludf.DUMMYFUNCTION("""COMPUTED_VALUE"""),"NPQ[IPLMARKETTING]58767")</f>
        <v>NPQ[IPLMARKETTING]58767</v>
      </c>
      <c r="G165" s="18">
        <f t="shared" si="1"/>
        <v>6</v>
      </c>
      <c r="H165" s="17" t="str">
        <f t="shared" si="2"/>
        <v>June</v>
      </c>
      <c r="I165" s="17" t="str">
        <f t="shared" si="3"/>
        <v>Kolkata</v>
      </c>
      <c r="J165" s="17" t="str">
        <f t="shared" si="4"/>
        <v>NutriKid</v>
      </c>
      <c r="K165" s="18">
        <f t="shared" si="5"/>
        <v>48568</v>
      </c>
      <c r="L165" s="18">
        <f t="shared" si="6"/>
        <v>58767</v>
      </c>
      <c r="M165" s="17">
        <f t="shared" si="7"/>
        <v>60</v>
      </c>
      <c r="N165" s="18">
        <f t="shared" si="8"/>
        <v>2914080</v>
      </c>
      <c r="O165" s="17" t="str">
        <f t="shared" si="9"/>
        <v>East</v>
      </c>
      <c r="P165" s="17" t="str">
        <f t="shared" si="10"/>
        <v>Tanvi Sharma</v>
      </c>
      <c r="Q165" s="19">
        <f t="shared" si="11"/>
        <v>0</v>
      </c>
      <c r="R165" s="18">
        <f t="shared" si="12"/>
        <v>2914080</v>
      </c>
      <c r="S165" s="18">
        <f t="shared" si="13"/>
        <v>3526020</v>
      </c>
      <c r="T165" s="20">
        <f t="shared" si="14"/>
        <v>24.108</v>
      </c>
      <c r="U165" s="20">
        <f t="shared" si="15"/>
        <v>29.892</v>
      </c>
      <c r="V165" s="21">
        <f t="shared" si="16"/>
        <v>1170877.344</v>
      </c>
      <c r="W165" s="18">
        <f t="shared" si="17"/>
        <v>1743202.656</v>
      </c>
      <c r="X165" s="17">
        <f t="shared" si="18"/>
        <v>1756663.164</v>
      </c>
      <c r="Y165" s="15"/>
    </row>
    <row r="166">
      <c r="A166" s="16" t="s">
        <v>228</v>
      </c>
      <c r="B166" s="17" t="str">
        <f>IFERROR(__xludf.DUMMYFUNCTION("split(A166,""//"")"),"Month6 ")</f>
        <v>Month6 </v>
      </c>
      <c r="C166" s="17" t="str">
        <f>IFERROR(__xludf.DUMMYFUNCTION("""COMPUTED_VALUE"""),"City_Pune")</f>
        <v>City_Pune</v>
      </c>
      <c r="D166" s="17" t="str">
        <f>IFERROR(__xludf.DUMMYFUNCTION("""COMPUTED_VALUE"""),"PRD-ZestVita")</f>
        <v>PRD-ZestVita</v>
      </c>
      <c r="E166" s="17" t="str">
        <f>IFERROR(__xludf.DUMMYFUNCTION("""COMPUTED_VALUE"""),"OPQ  29074")</f>
        <v>OPQ  29074</v>
      </c>
      <c r="F166" s="17" t="str">
        <f>IFERROR(__xludf.DUMMYFUNCTION("""COMPUTED_VALUE"""),"NPQ[IPLMARKETTING]36052")</f>
        <v>NPQ[IPLMARKETTING]36052</v>
      </c>
      <c r="G166" s="18">
        <f t="shared" si="1"/>
        <v>6</v>
      </c>
      <c r="H166" s="17" t="str">
        <f t="shared" si="2"/>
        <v>June</v>
      </c>
      <c r="I166" s="17" t="str">
        <f t="shared" si="3"/>
        <v>Pune</v>
      </c>
      <c r="J166" s="17" t="str">
        <f t="shared" si="4"/>
        <v>ZestVita</v>
      </c>
      <c r="K166" s="18">
        <f t="shared" si="5"/>
        <v>29074</v>
      </c>
      <c r="L166" s="18">
        <f t="shared" si="6"/>
        <v>36052</v>
      </c>
      <c r="M166" s="17">
        <f t="shared" si="7"/>
        <v>135</v>
      </c>
      <c r="N166" s="18">
        <f t="shared" si="8"/>
        <v>3924990</v>
      </c>
      <c r="O166" s="17" t="str">
        <f t="shared" si="9"/>
        <v>West</v>
      </c>
      <c r="P166" s="17" t="str">
        <f t="shared" si="10"/>
        <v>Ajay Ghosh</v>
      </c>
      <c r="Q166" s="19">
        <f t="shared" si="11"/>
        <v>0</v>
      </c>
      <c r="R166" s="18">
        <f t="shared" si="12"/>
        <v>3924990</v>
      </c>
      <c r="S166" s="18">
        <f t="shared" si="13"/>
        <v>4867020</v>
      </c>
      <c r="T166" s="20">
        <f t="shared" si="14"/>
        <v>55.84</v>
      </c>
      <c r="U166" s="20">
        <f t="shared" si="15"/>
        <v>73.16</v>
      </c>
      <c r="V166" s="21">
        <f t="shared" si="16"/>
        <v>1623492.16</v>
      </c>
      <c r="W166" s="18">
        <f t="shared" si="17"/>
        <v>2301497.84</v>
      </c>
      <c r="X166" s="17">
        <f t="shared" si="18"/>
        <v>2637564.32</v>
      </c>
      <c r="Y166" s="15"/>
    </row>
    <row r="167">
      <c r="A167" s="16" t="s">
        <v>229</v>
      </c>
      <c r="B167" s="17" t="str">
        <f>IFERROR(__xludf.DUMMYFUNCTION("split(A167,""//"")"),"Month6 ")</f>
        <v>Month6 </v>
      </c>
      <c r="C167" s="17" t="str">
        <f>IFERROR(__xludf.DUMMYFUNCTION("""COMPUTED_VALUE"""),"City_Pune")</f>
        <v>City_Pune</v>
      </c>
      <c r="D167" s="17" t="str">
        <f>IFERROR(__xludf.DUMMYFUNCTION("""COMPUTED_VALUE"""),"PRD-NutriKid")</f>
        <v>PRD-NutriKid</v>
      </c>
      <c r="E167" s="17" t="str">
        <f>IFERROR(__xludf.DUMMYFUNCTION("""COMPUTED_VALUE"""),"OPQ  34634")</f>
        <v>OPQ  34634</v>
      </c>
      <c r="F167" s="17" t="str">
        <f>IFERROR(__xludf.DUMMYFUNCTION("""COMPUTED_VALUE"""),"NPQ[IPLMARKETTING]41907")</f>
        <v>NPQ[IPLMARKETTING]41907</v>
      </c>
      <c r="G167" s="18">
        <f t="shared" si="1"/>
        <v>6</v>
      </c>
      <c r="H167" s="17" t="str">
        <f t="shared" si="2"/>
        <v>June</v>
      </c>
      <c r="I167" s="17" t="str">
        <f t="shared" si="3"/>
        <v>Pune</v>
      </c>
      <c r="J167" s="17" t="str">
        <f t="shared" si="4"/>
        <v>NutriKid</v>
      </c>
      <c r="K167" s="18">
        <f t="shared" si="5"/>
        <v>34634</v>
      </c>
      <c r="L167" s="18">
        <f t="shared" si="6"/>
        <v>41907</v>
      </c>
      <c r="M167" s="17">
        <f t="shared" si="7"/>
        <v>60</v>
      </c>
      <c r="N167" s="18">
        <f t="shared" si="8"/>
        <v>2078040</v>
      </c>
      <c r="O167" s="17" t="str">
        <f t="shared" si="9"/>
        <v>West</v>
      </c>
      <c r="P167" s="17" t="str">
        <f t="shared" si="10"/>
        <v>Ajay Ghosh</v>
      </c>
      <c r="Q167" s="19">
        <f t="shared" si="11"/>
        <v>0</v>
      </c>
      <c r="R167" s="18">
        <f t="shared" si="12"/>
        <v>2078040</v>
      </c>
      <c r="S167" s="18">
        <f t="shared" si="13"/>
        <v>2514420</v>
      </c>
      <c r="T167" s="20">
        <f t="shared" si="14"/>
        <v>24.108</v>
      </c>
      <c r="U167" s="20">
        <f t="shared" si="15"/>
        <v>29.892</v>
      </c>
      <c r="V167" s="21">
        <f t="shared" si="16"/>
        <v>834956.472</v>
      </c>
      <c r="W167" s="18">
        <f t="shared" si="17"/>
        <v>1243083.528</v>
      </c>
      <c r="X167" s="17">
        <f t="shared" si="18"/>
        <v>1252684.044</v>
      </c>
      <c r="Y167" s="15"/>
    </row>
    <row r="168">
      <c r="A168" s="16" t="s">
        <v>230</v>
      </c>
      <c r="B168" s="17" t="str">
        <f>IFERROR(__xludf.DUMMYFUNCTION("split(A168,""//"")"),"Month6 ")</f>
        <v>Month6 </v>
      </c>
      <c r="C168" s="17" t="str">
        <f>IFERROR(__xludf.DUMMYFUNCTION("""COMPUTED_VALUE"""),"City_Bengaluru")</f>
        <v>City_Bengaluru</v>
      </c>
      <c r="D168" s="17" t="str">
        <f>IFERROR(__xludf.DUMMYFUNCTION("""COMPUTED_VALUE"""),"PRD-ZestVita")</f>
        <v>PRD-ZestVita</v>
      </c>
      <c r="E168" s="17" t="str">
        <f>IFERROR(__xludf.DUMMYFUNCTION("""COMPUTED_VALUE"""),"OPQ  54884")</f>
        <v>OPQ  54884</v>
      </c>
      <c r="F168" s="17" t="str">
        <f>IFERROR(__xludf.DUMMYFUNCTION("""COMPUTED_VALUE"""),"NPQ[IPLMARKETTING]60921")</f>
        <v>NPQ[IPLMARKETTING]60921</v>
      </c>
      <c r="G168" s="18">
        <f t="shared" si="1"/>
        <v>6</v>
      </c>
      <c r="H168" s="17" t="str">
        <f t="shared" si="2"/>
        <v>June</v>
      </c>
      <c r="I168" s="17" t="str">
        <f t="shared" si="3"/>
        <v>Bengaluru</v>
      </c>
      <c r="J168" s="17" t="str">
        <f t="shared" si="4"/>
        <v>ZestVita</v>
      </c>
      <c r="K168" s="18">
        <f t="shared" si="5"/>
        <v>54884</v>
      </c>
      <c r="L168" s="18">
        <f t="shared" si="6"/>
        <v>60921</v>
      </c>
      <c r="M168" s="17">
        <f t="shared" si="7"/>
        <v>135</v>
      </c>
      <c r="N168" s="18">
        <f t="shared" si="8"/>
        <v>7409340</v>
      </c>
      <c r="O168" s="17" t="str">
        <f t="shared" si="9"/>
        <v>South</v>
      </c>
      <c r="P168" s="17" t="str">
        <f t="shared" si="10"/>
        <v>Anjali Krishna Murthy</v>
      </c>
      <c r="Q168" s="19">
        <f t="shared" si="11"/>
        <v>0</v>
      </c>
      <c r="R168" s="18">
        <f t="shared" si="12"/>
        <v>7409340</v>
      </c>
      <c r="S168" s="18">
        <f t="shared" si="13"/>
        <v>8224335</v>
      </c>
      <c r="T168" s="20">
        <f t="shared" si="14"/>
        <v>55.84</v>
      </c>
      <c r="U168" s="20">
        <f t="shared" si="15"/>
        <v>73.16</v>
      </c>
      <c r="V168" s="21">
        <f t="shared" si="16"/>
        <v>3064722.56</v>
      </c>
      <c r="W168" s="18">
        <f t="shared" si="17"/>
        <v>4344617.44</v>
      </c>
      <c r="X168" s="17">
        <f t="shared" si="18"/>
        <v>4456980.36</v>
      </c>
      <c r="Y168" s="15"/>
    </row>
    <row r="169">
      <c r="A169" s="16" t="s">
        <v>231</v>
      </c>
      <c r="B169" s="17" t="str">
        <f>IFERROR(__xludf.DUMMYFUNCTION("split(A169,""//"")"),"Month6 ")</f>
        <v>Month6 </v>
      </c>
      <c r="C169" s="17" t="str">
        <f>IFERROR(__xludf.DUMMYFUNCTION("""COMPUTED_VALUE"""),"City_Bengaluru")</f>
        <v>City_Bengaluru</v>
      </c>
      <c r="D169" s="17" t="str">
        <f>IFERROR(__xludf.DUMMYFUNCTION("""COMPUTED_VALUE"""),"PRD-NutriKid")</f>
        <v>PRD-NutriKid</v>
      </c>
      <c r="E169" s="17" t="str">
        <f>IFERROR(__xludf.DUMMYFUNCTION("""COMPUTED_VALUE"""),"OPQ  29269")</f>
        <v>OPQ  29269</v>
      </c>
      <c r="F169" s="17" t="str">
        <f>IFERROR(__xludf.DUMMYFUNCTION("""COMPUTED_VALUE"""),"NPQ[IPLMARKETTING]35708")</f>
        <v>NPQ[IPLMARKETTING]35708</v>
      </c>
      <c r="G169" s="18">
        <f t="shared" si="1"/>
        <v>6</v>
      </c>
      <c r="H169" s="17" t="str">
        <f t="shared" si="2"/>
        <v>June</v>
      </c>
      <c r="I169" s="17" t="str">
        <f t="shared" si="3"/>
        <v>Bengaluru</v>
      </c>
      <c r="J169" s="17" t="str">
        <f t="shared" si="4"/>
        <v>NutriKid</v>
      </c>
      <c r="K169" s="18">
        <f t="shared" si="5"/>
        <v>29269</v>
      </c>
      <c r="L169" s="18">
        <f t="shared" si="6"/>
        <v>35708</v>
      </c>
      <c r="M169" s="17">
        <f t="shared" si="7"/>
        <v>60</v>
      </c>
      <c r="N169" s="18">
        <f t="shared" si="8"/>
        <v>1756140</v>
      </c>
      <c r="O169" s="17" t="str">
        <f t="shared" si="9"/>
        <v>South</v>
      </c>
      <c r="P169" s="17" t="str">
        <f t="shared" si="10"/>
        <v>Anjali Krishna Murthy</v>
      </c>
      <c r="Q169" s="19">
        <f t="shared" si="11"/>
        <v>0</v>
      </c>
      <c r="R169" s="18">
        <f t="shared" si="12"/>
        <v>1756140</v>
      </c>
      <c r="S169" s="18">
        <f t="shared" si="13"/>
        <v>2142480</v>
      </c>
      <c r="T169" s="20">
        <f t="shared" si="14"/>
        <v>24.108</v>
      </c>
      <c r="U169" s="20">
        <f t="shared" si="15"/>
        <v>29.892</v>
      </c>
      <c r="V169" s="21">
        <f t="shared" si="16"/>
        <v>705617.052</v>
      </c>
      <c r="W169" s="18">
        <f t="shared" si="17"/>
        <v>1050522.948</v>
      </c>
      <c r="X169" s="17">
        <f t="shared" si="18"/>
        <v>1067383.536</v>
      </c>
      <c r="Y169" s="15"/>
    </row>
    <row r="170">
      <c r="A170" s="16" t="s">
        <v>232</v>
      </c>
      <c r="B170" s="17" t="str">
        <f>IFERROR(__xludf.DUMMYFUNCTION("split(A170,""//"")"),"Month6 ")</f>
        <v>Month6 </v>
      </c>
      <c r="C170" s="17" t="str">
        <f>IFERROR(__xludf.DUMMYFUNCTION("""COMPUTED_VALUE"""),"City_Chandigarh")</f>
        <v>City_Chandigarh</v>
      </c>
      <c r="D170" s="17" t="str">
        <f>IFERROR(__xludf.DUMMYFUNCTION("""COMPUTED_VALUE"""),"PRD-ZestVita")</f>
        <v>PRD-ZestVita</v>
      </c>
      <c r="E170" s="17" t="str">
        <f>IFERROR(__xludf.DUMMYFUNCTION("""COMPUTED_VALUE"""),"OPQ  48329")</f>
        <v>OPQ  48329</v>
      </c>
      <c r="F170" s="17" t="str">
        <f>IFERROR(__xludf.DUMMYFUNCTION("""COMPUTED_VALUE"""),"NPQ[IPLMARKETTING]59928")</f>
        <v>NPQ[IPLMARKETTING]59928</v>
      </c>
      <c r="G170" s="18">
        <f t="shared" si="1"/>
        <v>6</v>
      </c>
      <c r="H170" s="17" t="str">
        <f t="shared" si="2"/>
        <v>June</v>
      </c>
      <c r="I170" s="17" t="str">
        <f t="shared" si="3"/>
        <v>Chandigarh</v>
      </c>
      <c r="J170" s="17" t="str">
        <f t="shared" si="4"/>
        <v>ZestVita</v>
      </c>
      <c r="K170" s="18">
        <f t="shared" si="5"/>
        <v>48329</v>
      </c>
      <c r="L170" s="18">
        <f t="shared" si="6"/>
        <v>59928</v>
      </c>
      <c r="M170" s="17">
        <f t="shared" si="7"/>
        <v>135</v>
      </c>
      <c r="N170" s="18">
        <f t="shared" si="8"/>
        <v>6524415</v>
      </c>
      <c r="O170" s="17" t="str">
        <f t="shared" si="9"/>
        <v>North</v>
      </c>
      <c r="P170" s="17" t="str">
        <f t="shared" si="10"/>
        <v>Ajay Kumar</v>
      </c>
      <c r="Q170" s="19">
        <f t="shared" si="11"/>
        <v>0</v>
      </c>
      <c r="R170" s="18">
        <f t="shared" si="12"/>
        <v>6524415</v>
      </c>
      <c r="S170" s="18">
        <f t="shared" si="13"/>
        <v>8090280</v>
      </c>
      <c r="T170" s="20">
        <f t="shared" si="14"/>
        <v>55.84</v>
      </c>
      <c r="U170" s="20">
        <f t="shared" si="15"/>
        <v>73.16</v>
      </c>
      <c r="V170" s="21">
        <f t="shared" si="16"/>
        <v>2698691.36</v>
      </c>
      <c r="W170" s="18">
        <f t="shared" si="17"/>
        <v>3825723.64</v>
      </c>
      <c r="X170" s="17">
        <f t="shared" si="18"/>
        <v>4384332.48</v>
      </c>
      <c r="Y170" s="15"/>
    </row>
    <row r="171">
      <c r="A171" s="16" t="s">
        <v>233</v>
      </c>
      <c r="B171" s="17" t="str">
        <f>IFERROR(__xludf.DUMMYFUNCTION("split(A171,""//"")"),"Month6 ")</f>
        <v>Month6 </v>
      </c>
      <c r="C171" s="17" t="str">
        <f>IFERROR(__xludf.DUMMYFUNCTION("""COMPUTED_VALUE"""),"City_Chandigarh")</f>
        <v>City_Chandigarh</v>
      </c>
      <c r="D171" s="17" t="str">
        <f>IFERROR(__xludf.DUMMYFUNCTION("""COMPUTED_VALUE"""),"PRD-NutriKid")</f>
        <v>PRD-NutriKid</v>
      </c>
      <c r="E171" s="17" t="str">
        <f>IFERROR(__xludf.DUMMYFUNCTION("""COMPUTED_VALUE"""),"OPQ  49606")</f>
        <v>OPQ  49606</v>
      </c>
      <c r="F171" s="17" t="str">
        <f>IFERROR(__xludf.DUMMYFUNCTION("""COMPUTED_VALUE"""),"NPQ[IPLMARKETTING]62008")</f>
        <v>NPQ[IPLMARKETTING]62008</v>
      </c>
      <c r="G171" s="18">
        <f t="shared" si="1"/>
        <v>6</v>
      </c>
      <c r="H171" s="17" t="str">
        <f t="shared" si="2"/>
        <v>June</v>
      </c>
      <c r="I171" s="17" t="str">
        <f t="shared" si="3"/>
        <v>Chandigarh</v>
      </c>
      <c r="J171" s="17" t="str">
        <f t="shared" si="4"/>
        <v>NutriKid</v>
      </c>
      <c r="K171" s="18">
        <f t="shared" si="5"/>
        <v>49606</v>
      </c>
      <c r="L171" s="18">
        <f t="shared" si="6"/>
        <v>62008</v>
      </c>
      <c r="M171" s="17">
        <f t="shared" si="7"/>
        <v>60</v>
      </c>
      <c r="N171" s="18">
        <f t="shared" si="8"/>
        <v>2976360</v>
      </c>
      <c r="O171" s="17" t="str">
        <f t="shared" si="9"/>
        <v>North</v>
      </c>
      <c r="P171" s="17" t="str">
        <f t="shared" si="10"/>
        <v>Ajay Kumar</v>
      </c>
      <c r="Q171" s="19">
        <f t="shared" si="11"/>
        <v>0</v>
      </c>
      <c r="R171" s="18">
        <f t="shared" si="12"/>
        <v>2976360</v>
      </c>
      <c r="S171" s="18">
        <f t="shared" si="13"/>
        <v>3720480</v>
      </c>
      <c r="T171" s="20">
        <f t="shared" si="14"/>
        <v>24.108</v>
      </c>
      <c r="U171" s="20">
        <f t="shared" si="15"/>
        <v>29.892</v>
      </c>
      <c r="V171" s="21">
        <f t="shared" si="16"/>
        <v>1195901.448</v>
      </c>
      <c r="W171" s="18">
        <f t="shared" si="17"/>
        <v>1780458.552</v>
      </c>
      <c r="X171" s="17">
        <f t="shared" si="18"/>
        <v>1853543.136</v>
      </c>
      <c r="Y171" s="15"/>
    </row>
    <row r="172">
      <c r="A172" s="16" t="s">
        <v>234</v>
      </c>
      <c r="B172" s="17" t="str">
        <f>IFERROR(__xludf.DUMMYFUNCTION("split(A172,""//"")"),"Month6 ")</f>
        <v>Month6 </v>
      </c>
      <c r="C172" s="17" t="str">
        <f>IFERROR(__xludf.DUMMYFUNCTION("""COMPUTED_VALUE"""),"City_Bhubaneswar")</f>
        <v>City_Bhubaneswar</v>
      </c>
      <c r="D172" s="17" t="str">
        <f>IFERROR(__xludf.DUMMYFUNCTION("""COMPUTED_VALUE"""),"PRD-ZestVita")</f>
        <v>PRD-ZestVita</v>
      </c>
      <c r="E172" s="17" t="str">
        <f>IFERROR(__xludf.DUMMYFUNCTION("""COMPUTED_VALUE"""),"OPQ  15617")</f>
        <v>OPQ  15617</v>
      </c>
      <c r="F172" s="17" t="str">
        <f>IFERROR(__xludf.DUMMYFUNCTION("""COMPUTED_VALUE"""),"NPQ[IPLMARKETTING]16242")</f>
        <v>NPQ[IPLMARKETTING]16242</v>
      </c>
      <c r="G172" s="18">
        <f t="shared" si="1"/>
        <v>6</v>
      </c>
      <c r="H172" s="17" t="str">
        <f t="shared" si="2"/>
        <v>June</v>
      </c>
      <c r="I172" s="17" t="str">
        <f t="shared" si="3"/>
        <v>Bhubaneswar</v>
      </c>
      <c r="J172" s="17" t="str">
        <f t="shared" si="4"/>
        <v>ZestVita</v>
      </c>
      <c r="K172" s="18">
        <f t="shared" si="5"/>
        <v>15617</v>
      </c>
      <c r="L172" s="18">
        <f t="shared" si="6"/>
        <v>16242</v>
      </c>
      <c r="M172" s="17">
        <f t="shared" si="7"/>
        <v>135</v>
      </c>
      <c r="N172" s="18">
        <f t="shared" si="8"/>
        <v>2108295</v>
      </c>
      <c r="O172" s="17" t="str">
        <f t="shared" si="9"/>
        <v>East</v>
      </c>
      <c r="P172" s="17" t="str">
        <f t="shared" si="10"/>
        <v>Tanvi Sharma</v>
      </c>
      <c r="Q172" s="19">
        <f t="shared" si="11"/>
        <v>0.125</v>
      </c>
      <c r="R172" s="17">
        <f t="shared" si="12"/>
        <v>1844758.125</v>
      </c>
      <c r="S172" s="18">
        <f t="shared" si="13"/>
        <v>2192670</v>
      </c>
      <c r="T172" s="20">
        <f t="shared" si="14"/>
        <v>55.84</v>
      </c>
      <c r="U172" s="20">
        <f t="shared" si="15"/>
        <v>73.16</v>
      </c>
      <c r="V172" s="21">
        <f t="shared" si="16"/>
        <v>872053.28</v>
      </c>
      <c r="W172" s="21">
        <f t="shared" si="17"/>
        <v>972704.845</v>
      </c>
      <c r="X172" s="17">
        <f t="shared" si="18"/>
        <v>1188264.72</v>
      </c>
      <c r="Y172" s="15"/>
    </row>
    <row r="173">
      <c r="A173" s="16" t="s">
        <v>235</v>
      </c>
      <c r="B173" s="17" t="str">
        <f>IFERROR(__xludf.DUMMYFUNCTION("split(A173,""//"")"),"Month6 ")</f>
        <v>Month6 </v>
      </c>
      <c r="C173" s="17" t="str">
        <f>IFERROR(__xludf.DUMMYFUNCTION("""COMPUTED_VALUE"""),"City_Bhubaneswar")</f>
        <v>City_Bhubaneswar</v>
      </c>
      <c r="D173" s="17" t="str">
        <f>IFERROR(__xludf.DUMMYFUNCTION("""COMPUTED_VALUE"""),"PRD-NutriKid")</f>
        <v>PRD-NutriKid</v>
      </c>
      <c r="E173" s="17" t="str">
        <f>IFERROR(__xludf.DUMMYFUNCTION("""COMPUTED_VALUE"""),"OPQ  22965")</f>
        <v>OPQ  22965</v>
      </c>
      <c r="F173" s="17" t="str">
        <f>IFERROR(__xludf.DUMMYFUNCTION("""COMPUTED_VALUE"""),"NPQ[IPLMARKETTING]23884")</f>
        <v>NPQ[IPLMARKETTING]23884</v>
      </c>
      <c r="G173" s="18">
        <f t="shared" si="1"/>
        <v>6</v>
      </c>
      <c r="H173" s="17" t="str">
        <f t="shared" si="2"/>
        <v>June</v>
      </c>
      <c r="I173" s="17" t="str">
        <f t="shared" si="3"/>
        <v>Bhubaneswar</v>
      </c>
      <c r="J173" s="17" t="str">
        <f t="shared" si="4"/>
        <v>NutriKid</v>
      </c>
      <c r="K173" s="18">
        <f t="shared" si="5"/>
        <v>22965</v>
      </c>
      <c r="L173" s="18">
        <f t="shared" si="6"/>
        <v>23884</v>
      </c>
      <c r="M173" s="17">
        <f t="shared" si="7"/>
        <v>60</v>
      </c>
      <c r="N173" s="18">
        <f t="shared" si="8"/>
        <v>1377900</v>
      </c>
      <c r="O173" s="17" t="str">
        <f t="shared" si="9"/>
        <v>East</v>
      </c>
      <c r="P173" s="17" t="str">
        <f t="shared" si="10"/>
        <v>Tanvi Sharma</v>
      </c>
      <c r="Q173" s="19">
        <f t="shared" si="11"/>
        <v>0.125</v>
      </c>
      <c r="R173" s="17">
        <f t="shared" si="12"/>
        <v>1205662.5</v>
      </c>
      <c r="S173" s="18">
        <f t="shared" si="13"/>
        <v>1433040</v>
      </c>
      <c r="T173" s="20">
        <f t="shared" si="14"/>
        <v>24.108</v>
      </c>
      <c r="U173" s="20">
        <f t="shared" si="15"/>
        <v>29.892</v>
      </c>
      <c r="V173" s="21">
        <f t="shared" si="16"/>
        <v>553640.22</v>
      </c>
      <c r="W173" s="21">
        <f t="shared" si="17"/>
        <v>652022.28</v>
      </c>
      <c r="X173" s="17">
        <f t="shared" si="18"/>
        <v>713940.528</v>
      </c>
      <c r="Y173" s="15"/>
    </row>
    <row r="174">
      <c r="A174" s="16" t="s">
        <v>236</v>
      </c>
      <c r="B174" s="17" t="str">
        <f>IFERROR(__xludf.DUMMYFUNCTION("split(A174,""//"")"),"Month6 ")</f>
        <v>Month6 </v>
      </c>
      <c r="C174" s="17" t="str">
        <f>IFERROR(__xludf.DUMMYFUNCTION("""COMPUTED_VALUE"""),"City_Ahmedabad ")</f>
        <v>City_Ahmedabad </v>
      </c>
      <c r="D174" s="17" t="str">
        <f>IFERROR(__xludf.DUMMYFUNCTION("""COMPUTED_VALUE"""),"PRD-ZestVita")</f>
        <v>PRD-ZestVita</v>
      </c>
      <c r="E174" s="17" t="str">
        <f>IFERROR(__xludf.DUMMYFUNCTION("""COMPUTED_VALUE"""),"OPQ  41023")</f>
        <v>OPQ  41023</v>
      </c>
      <c r="F174" s="17" t="str">
        <f>IFERROR(__xludf.DUMMYFUNCTION("""COMPUTED_VALUE"""),"NPQ[IPLMARKETTING]46766")</f>
        <v>NPQ[IPLMARKETTING]46766</v>
      </c>
      <c r="G174" s="18">
        <f t="shared" si="1"/>
        <v>6</v>
      </c>
      <c r="H174" s="17" t="str">
        <f t="shared" si="2"/>
        <v>June</v>
      </c>
      <c r="I174" s="17" t="str">
        <f t="shared" si="3"/>
        <v>Ahmedabad </v>
      </c>
      <c r="J174" s="17" t="str">
        <f t="shared" si="4"/>
        <v>ZestVita</v>
      </c>
      <c r="K174" s="18">
        <f t="shared" si="5"/>
        <v>41023</v>
      </c>
      <c r="L174" s="18">
        <f t="shared" si="6"/>
        <v>46766</v>
      </c>
      <c r="M174" s="17">
        <f t="shared" si="7"/>
        <v>135</v>
      </c>
      <c r="N174" s="18">
        <f t="shared" si="8"/>
        <v>5538105</v>
      </c>
      <c r="O174" s="17" t="str">
        <f t="shared" si="9"/>
        <v>West</v>
      </c>
      <c r="P174" s="17" t="str">
        <f t="shared" si="10"/>
        <v>Ajay Ghosh</v>
      </c>
      <c r="Q174" s="19">
        <f t="shared" si="11"/>
        <v>0</v>
      </c>
      <c r="R174" s="18">
        <f t="shared" si="12"/>
        <v>5538105</v>
      </c>
      <c r="S174" s="18">
        <f t="shared" si="13"/>
        <v>6313410</v>
      </c>
      <c r="T174" s="20">
        <f t="shared" si="14"/>
        <v>55.84</v>
      </c>
      <c r="U174" s="20">
        <f t="shared" si="15"/>
        <v>73.16</v>
      </c>
      <c r="V174" s="21">
        <f t="shared" si="16"/>
        <v>2290724.32</v>
      </c>
      <c r="W174" s="18">
        <f t="shared" si="17"/>
        <v>3247380.68</v>
      </c>
      <c r="X174" s="17">
        <f t="shared" si="18"/>
        <v>3421400.56</v>
      </c>
      <c r="Y174" s="15"/>
    </row>
    <row r="175">
      <c r="A175" s="16" t="s">
        <v>237</v>
      </c>
      <c r="B175" s="17" t="str">
        <f>IFERROR(__xludf.DUMMYFUNCTION("split(A175,""//"")"),"Month6 ")</f>
        <v>Month6 </v>
      </c>
      <c r="C175" s="17" t="str">
        <f>IFERROR(__xludf.DUMMYFUNCTION("""COMPUTED_VALUE"""),"City_Ahmedabad ")</f>
        <v>City_Ahmedabad </v>
      </c>
      <c r="D175" s="17" t="str">
        <f>IFERROR(__xludf.DUMMYFUNCTION("""COMPUTED_VALUE"""),"PRD-NutriKid")</f>
        <v>PRD-NutriKid</v>
      </c>
      <c r="E175" s="17" t="str">
        <f>IFERROR(__xludf.DUMMYFUNCTION("""COMPUTED_VALUE"""),"OPQ  24476")</f>
        <v>OPQ  24476</v>
      </c>
      <c r="F175" s="17" t="str">
        <f>IFERROR(__xludf.DUMMYFUNCTION("""COMPUTED_VALUE"""),"NPQ[IPLMARKETTING]29126")</f>
        <v>NPQ[IPLMARKETTING]29126</v>
      </c>
      <c r="G175" s="18">
        <f t="shared" si="1"/>
        <v>6</v>
      </c>
      <c r="H175" s="17" t="str">
        <f t="shared" si="2"/>
        <v>June</v>
      </c>
      <c r="I175" s="17" t="str">
        <f t="shared" si="3"/>
        <v>Ahmedabad </v>
      </c>
      <c r="J175" s="17" t="str">
        <f t="shared" si="4"/>
        <v>NutriKid</v>
      </c>
      <c r="K175" s="18">
        <f t="shared" si="5"/>
        <v>24476</v>
      </c>
      <c r="L175" s="18">
        <f t="shared" si="6"/>
        <v>29126</v>
      </c>
      <c r="M175" s="17">
        <f t="shared" si="7"/>
        <v>60</v>
      </c>
      <c r="N175" s="18">
        <f t="shared" si="8"/>
        <v>1468560</v>
      </c>
      <c r="O175" s="17" t="str">
        <f t="shared" si="9"/>
        <v>West</v>
      </c>
      <c r="P175" s="17" t="str">
        <f t="shared" si="10"/>
        <v>Ajay Ghosh</v>
      </c>
      <c r="Q175" s="19">
        <f t="shared" si="11"/>
        <v>0</v>
      </c>
      <c r="R175" s="18">
        <f t="shared" si="12"/>
        <v>1468560</v>
      </c>
      <c r="S175" s="18">
        <f t="shared" si="13"/>
        <v>1747560</v>
      </c>
      <c r="T175" s="20">
        <f t="shared" si="14"/>
        <v>24.108</v>
      </c>
      <c r="U175" s="20">
        <f t="shared" si="15"/>
        <v>29.892</v>
      </c>
      <c r="V175" s="21">
        <f t="shared" si="16"/>
        <v>590067.408</v>
      </c>
      <c r="W175" s="18">
        <f t="shared" si="17"/>
        <v>878492.592</v>
      </c>
      <c r="X175" s="17">
        <f t="shared" si="18"/>
        <v>870634.392</v>
      </c>
      <c r="Y175" s="15"/>
    </row>
    <row r="176">
      <c r="A176" s="16" t="s">
        <v>238</v>
      </c>
      <c r="B176" s="17" t="str">
        <f>IFERROR(__xludf.DUMMYFUNCTION("split(A176,""//"")"),"Month6 ")</f>
        <v>Month6 </v>
      </c>
      <c r="C176" s="17" t="str">
        <f>IFERROR(__xludf.DUMMYFUNCTION("""COMPUTED_VALUE"""),"City_Chennai")</f>
        <v>City_Chennai</v>
      </c>
      <c r="D176" s="17" t="str">
        <f>IFERROR(__xludf.DUMMYFUNCTION("""COMPUTED_VALUE"""),"PRD-ZestVita")</f>
        <v>PRD-ZestVita</v>
      </c>
      <c r="E176" s="17" t="str">
        <f>IFERROR(__xludf.DUMMYFUNCTION("""COMPUTED_VALUE"""),"OPQ  26217")</f>
        <v>OPQ  26217</v>
      </c>
      <c r="F176" s="17" t="str">
        <f>IFERROR(__xludf.DUMMYFUNCTION("""COMPUTED_VALUE"""),"NPQ[IPLMARKETTING]32509")</f>
        <v>NPQ[IPLMARKETTING]32509</v>
      </c>
      <c r="G176" s="18">
        <f t="shared" si="1"/>
        <v>6</v>
      </c>
      <c r="H176" s="17" t="str">
        <f t="shared" si="2"/>
        <v>June</v>
      </c>
      <c r="I176" s="17" t="str">
        <f t="shared" si="3"/>
        <v>Chennai</v>
      </c>
      <c r="J176" s="17" t="str">
        <f t="shared" si="4"/>
        <v>ZestVita</v>
      </c>
      <c r="K176" s="18">
        <f t="shared" si="5"/>
        <v>26217</v>
      </c>
      <c r="L176" s="18">
        <f t="shared" si="6"/>
        <v>32509</v>
      </c>
      <c r="M176" s="17">
        <f t="shared" si="7"/>
        <v>135</v>
      </c>
      <c r="N176" s="18">
        <f t="shared" si="8"/>
        <v>3539295</v>
      </c>
      <c r="O176" s="17" t="str">
        <f t="shared" si="9"/>
        <v>South</v>
      </c>
      <c r="P176" s="17" t="str">
        <f t="shared" si="10"/>
        <v>Anjali Krishna Murthy</v>
      </c>
      <c r="Q176" s="19">
        <f t="shared" si="11"/>
        <v>0</v>
      </c>
      <c r="R176" s="18">
        <f t="shared" si="12"/>
        <v>3539295</v>
      </c>
      <c r="S176" s="18">
        <f t="shared" si="13"/>
        <v>4388715</v>
      </c>
      <c r="T176" s="20">
        <f t="shared" si="14"/>
        <v>55.84</v>
      </c>
      <c r="U176" s="20">
        <f t="shared" si="15"/>
        <v>73.16</v>
      </c>
      <c r="V176" s="21">
        <f t="shared" si="16"/>
        <v>1463957.28</v>
      </c>
      <c r="W176" s="18">
        <f t="shared" si="17"/>
        <v>2075337.72</v>
      </c>
      <c r="X176" s="17">
        <f t="shared" si="18"/>
        <v>2378358.44</v>
      </c>
      <c r="Y176" s="15"/>
    </row>
    <row r="177">
      <c r="A177" s="16" t="s">
        <v>239</v>
      </c>
      <c r="B177" s="17" t="str">
        <f>IFERROR(__xludf.DUMMYFUNCTION("split(A177,""//"")"),"Month6 ")</f>
        <v>Month6 </v>
      </c>
      <c r="C177" s="17" t="str">
        <f>IFERROR(__xludf.DUMMYFUNCTION("""COMPUTED_VALUE"""),"City_Chennai")</f>
        <v>City_Chennai</v>
      </c>
      <c r="D177" s="17" t="str">
        <f>IFERROR(__xludf.DUMMYFUNCTION("""COMPUTED_VALUE"""),"PRD-NutriKid")</f>
        <v>PRD-NutriKid</v>
      </c>
      <c r="E177" s="17" t="str">
        <f>IFERROR(__xludf.DUMMYFUNCTION("""COMPUTED_VALUE"""),"OPQ  28267")</f>
        <v>OPQ  28267</v>
      </c>
      <c r="F177" s="17" t="str">
        <f>IFERROR(__xludf.DUMMYFUNCTION("""COMPUTED_VALUE"""),"NPQ[IPLMARKETTING]33638")</f>
        <v>NPQ[IPLMARKETTING]33638</v>
      </c>
      <c r="G177" s="18">
        <f t="shared" si="1"/>
        <v>6</v>
      </c>
      <c r="H177" s="17" t="str">
        <f t="shared" si="2"/>
        <v>June</v>
      </c>
      <c r="I177" s="17" t="str">
        <f t="shared" si="3"/>
        <v>Chennai</v>
      </c>
      <c r="J177" s="17" t="str">
        <f t="shared" si="4"/>
        <v>NutriKid</v>
      </c>
      <c r="K177" s="18">
        <f t="shared" si="5"/>
        <v>28267</v>
      </c>
      <c r="L177" s="18">
        <f t="shared" si="6"/>
        <v>33638</v>
      </c>
      <c r="M177" s="17">
        <f t="shared" si="7"/>
        <v>60</v>
      </c>
      <c r="N177" s="18">
        <f t="shared" si="8"/>
        <v>1696020</v>
      </c>
      <c r="O177" s="17" t="str">
        <f t="shared" si="9"/>
        <v>South</v>
      </c>
      <c r="P177" s="17" t="str">
        <f t="shared" si="10"/>
        <v>Anjali Krishna Murthy</v>
      </c>
      <c r="Q177" s="19">
        <f t="shared" si="11"/>
        <v>0</v>
      </c>
      <c r="R177" s="18">
        <f t="shared" si="12"/>
        <v>1696020</v>
      </c>
      <c r="S177" s="18">
        <f t="shared" si="13"/>
        <v>2018280</v>
      </c>
      <c r="T177" s="20">
        <f t="shared" si="14"/>
        <v>24.108</v>
      </c>
      <c r="U177" s="20">
        <f t="shared" si="15"/>
        <v>29.892</v>
      </c>
      <c r="V177" s="21">
        <f t="shared" si="16"/>
        <v>681460.836</v>
      </c>
      <c r="W177" s="18">
        <f t="shared" si="17"/>
        <v>1014559.164</v>
      </c>
      <c r="X177" s="17">
        <f t="shared" si="18"/>
        <v>1005507.096</v>
      </c>
      <c r="Y177" s="15"/>
    </row>
    <row r="178">
      <c r="A178" s="16" t="s">
        <v>240</v>
      </c>
      <c r="B178" s="17" t="str">
        <f>IFERROR(__xludf.DUMMYFUNCTION("split(A178,""//"")"),"Month6 ")</f>
        <v>Month6 </v>
      </c>
      <c r="C178" s="17" t="str">
        <f>IFERROR(__xludf.DUMMYFUNCTION("""COMPUTED_VALUE"""),"City_Lucknow")</f>
        <v>City_Lucknow</v>
      </c>
      <c r="D178" s="17" t="str">
        <f>IFERROR(__xludf.DUMMYFUNCTION("""COMPUTED_VALUE"""),"PRD-ZestVita")</f>
        <v>PRD-ZestVita</v>
      </c>
      <c r="E178" s="17" t="str">
        <f>IFERROR(__xludf.DUMMYFUNCTION("""COMPUTED_VALUE"""),"OPQ  26640")</f>
        <v>OPQ  26640</v>
      </c>
      <c r="F178" s="17" t="str">
        <f>IFERROR(__xludf.DUMMYFUNCTION("""COMPUTED_VALUE"""),"NPQ[IPLMARKETTING]31702")</f>
        <v>NPQ[IPLMARKETTING]31702</v>
      </c>
      <c r="G178" s="18">
        <f t="shared" si="1"/>
        <v>6</v>
      </c>
      <c r="H178" s="17" t="str">
        <f t="shared" si="2"/>
        <v>June</v>
      </c>
      <c r="I178" s="17" t="str">
        <f t="shared" si="3"/>
        <v>Lucknow</v>
      </c>
      <c r="J178" s="17" t="str">
        <f t="shared" si="4"/>
        <v>ZestVita</v>
      </c>
      <c r="K178" s="18">
        <f t="shared" si="5"/>
        <v>26640</v>
      </c>
      <c r="L178" s="18">
        <f t="shared" si="6"/>
        <v>31702</v>
      </c>
      <c r="M178" s="17">
        <f t="shared" si="7"/>
        <v>135</v>
      </c>
      <c r="N178" s="18">
        <f t="shared" si="8"/>
        <v>3596400</v>
      </c>
      <c r="O178" s="17" t="str">
        <f t="shared" si="9"/>
        <v>North</v>
      </c>
      <c r="P178" s="17" t="str">
        <f t="shared" si="10"/>
        <v>Ajay Kumar</v>
      </c>
      <c r="Q178" s="19">
        <f t="shared" si="11"/>
        <v>0.1</v>
      </c>
      <c r="R178" s="17">
        <f t="shared" si="12"/>
        <v>3236760</v>
      </c>
      <c r="S178" s="18">
        <f t="shared" si="13"/>
        <v>4279770</v>
      </c>
      <c r="T178" s="20">
        <f t="shared" si="14"/>
        <v>55.84</v>
      </c>
      <c r="U178" s="20">
        <f t="shared" si="15"/>
        <v>73.16</v>
      </c>
      <c r="V178" s="21">
        <f t="shared" si="16"/>
        <v>1487577.6</v>
      </c>
      <c r="W178" s="21">
        <f t="shared" si="17"/>
        <v>1749182.4</v>
      </c>
      <c r="X178" s="17">
        <f t="shared" si="18"/>
        <v>2319318.32</v>
      </c>
      <c r="Y178" s="15"/>
    </row>
    <row r="179">
      <c r="A179" s="16" t="s">
        <v>241</v>
      </c>
      <c r="B179" s="17" t="str">
        <f>IFERROR(__xludf.DUMMYFUNCTION("split(A179,""//"")"),"Month6 ")</f>
        <v>Month6 </v>
      </c>
      <c r="C179" s="17" t="str">
        <f>IFERROR(__xludf.DUMMYFUNCTION("""COMPUTED_VALUE"""),"City_Lucknow")</f>
        <v>City_Lucknow</v>
      </c>
      <c r="D179" s="17" t="str">
        <f>IFERROR(__xludf.DUMMYFUNCTION("""COMPUTED_VALUE"""),"PRD-NutriKid")</f>
        <v>PRD-NutriKid</v>
      </c>
      <c r="E179" s="17" t="str">
        <f>IFERROR(__xludf.DUMMYFUNCTION("""COMPUTED_VALUE"""),"OPQ  25414")</f>
        <v>OPQ  25414</v>
      </c>
      <c r="F179" s="17" t="str">
        <f>IFERROR(__xludf.DUMMYFUNCTION("""COMPUTED_VALUE"""),"NPQ[IPLMARKETTING]28210")</f>
        <v>NPQ[IPLMARKETTING]28210</v>
      </c>
      <c r="G179" s="18">
        <f t="shared" si="1"/>
        <v>6</v>
      </c>
      <c r="H179" s="17" t="str">
        <f t="shared" si="2"/>
        <v>June</v>
      </c>
      <c r="I179" s="17" t="str">
        <f t="shared" si="3"/>
        <v>Lucknow</v>
      </c>
      <c r="J179" s="17" t="str">
        <f t="shared" si="4"/>
        <v>NutriKid</v>
      </c>
      <c r="K179" s="18">
        <f t="shared" si="5"/>
        <v>25414</v>
      </c>
      <c r="L179" s="18">
        <f t="shared" si="6"/>
        <v>28210</v>
      </c>
      <c r="M179" s="17">
        <f t="shared" si="7"/>
        <v>60</v>
      </c>
      <c r="N179" s="18">
        <f t="shared" si="8"/>
        <v>1524840</v>
      </c>
      <c r="O179" s="17" t="str">
        <f t="shared" si="9"/>
        <v>North</v>
      </c>
      <c r="P179" s="17" t="str">
        <f t="shared" si="10"/>
        <v>Ajay Kumar</v>
      </c>
      <c r="Q179" s="19">
        <f t="shared" si="11"/>
        <v>0.1</v>
      </c>
      <c r="R179" s="17">
        <f t="shared" si="12"/>
        <v>1372356</v>
      </c>
      <c r="S179" s="18">
        <f t="shared" si="13"/>
        <v>1692600</v>
      </c>
      <c r="T179" s="20">
        <f t="shared" si="14"/>
        <v>24.108</v>
      </c>
      <c r="U179" s="20">
        <f t="shared" si="15"/>
        <v>29.892</v>
      </c>
      <c r="V179" s="21">
        <f t="shared" si="16"/>
        <v>612680.712</v>
      </c>
      <c r="W179" s="21">
        <f t="shared" si="17"/>
        <v>759675.288</v>
      </c>
      <c r="X179" s="17">
        <f t="shared" si="18"/>
        <v>843253.32</v>
      </c>
      <c r="Y179" s="15"/>
    </row>
    <row r="180">
      <c r="A180" s="16" t="s">
        <v>242</v>
      </c>
      <c r="B180" s="17" t="str">
        <f>IFERROR(__xludf.DUMMYFUNCTION("split(A180,""//"")"),"Month6 ")</f>
        <v>Month6 </v>
      </c>
      <c r="C180" s="17" t="str">
        <f>IFERROR(__xludf.DUMMYFUNCTION("""COMPUTED_VALUE"""),"City_Ranchi")</f>
        <v>City_Ranchi</v>
      </c>
      <c r="D180" s="17" t="str">
        <f>IFERROR(__xludf.DUMMYFUNCTION("""COMPUTED_VALUE"""),"PRD-ZestVita")</f>
        <v>PRD-ZestVita</v>
      </c>
      <c r="E180" s="17" t="str">
        <f>IFERROR(__xludf.DUMMYFUNCTION("""COMPUTED_VALUE"""),"OPQ  30986")</f>
        <v>OPQ  30986</v>
      </c>
      <c r="F180" s="17" t="str">
        <f>IFERROR(__xludf.DUMMYFUNCTION("""COMPUTED_VALUE"""),"NPQ[IPLMARKETTING]32535")</f>
        <v>NPQ[IPLMARKETTING]32535</v>
      </c>
      <c r="G180" s="18">
        <f t="shared" si="1"/>
        <v>6</v>
      </c>
      <c r="H180" s="17" t="str">
        <f t="shared" si="2"/>
        <v>June</v>
      </c>
      <c r="I180" s="17" t="str">
        <f t="shared" si="3"/>
        <v>Ranchi</v>
      </c>
      <c r="J180" s="17" t="str">
        <f t="shared" si="4"/>
        <v>ZestVita</v>
      </c>
      <c r="K180" s="18">
        <f t="shared" si="5"/>
        <v>30986</v>
      </c>
      <c r="L180" s="18">
        <f t="shared" si="6"/>
        <v>32535</v>
      </c>
      <c r="M180" s="17">
        <f t="shared" si="7"/>
        <v>135</v>
      </c>
      <c r="N180" s="18">
        <f t="shared" si="8"/>
        <v>4183110</v>
      </c>
      <c r="O180" s="17" t="str">
        <f t="shared" si="9"/>
        <v>East</v>
      </c>
      <c r="P180" s="17" t="str">
        <f t="shared" si="10"/>
        <v>Tanvi Sharma</v>
      </c>
      <c r="Q180" s="19">
        <f t="shared" si="11"/>
        <v>0.05</v>
      </c>
      <c r="R180" s="17">
        <f t="shared" si="12"/>
        <v>3973954.5</v>
      </c>
      <c r="S180" s="18">
        <f t="shared" si="13"/>
        <v>4392225</v>
      </c>
      <c r="T180" s="20">
        <f t="shared" si="14"/>
        <v>55.84</v>
      </c>
      <c r="U180" s="20">
        <f t="shared" si="15"/>
        <v>73.16</v>
      </c>
      <c r="V180" s="21">
        <f t="shared" si="16"/>
        <v>1730258.24</v>
      </c>
      <c r="W180" s="21">
        <f t="shared" si="17"/>
        <v>2243696.26</v>
      </c>
      <c r="X180" s="17">
        <f t="shared" si="18"/>
        <v>2380260.6</v>
      </c>
      <c r="Y180" s="15"/>
    </row>
    <row r="181">
      <c r="A181" s="16" t="s">
        <v>243</v>
      </c>
      <c r="B181" s="17" t="str">
        <f>IFERROR(__xludf.DUMMYFUNCTION("split(A181,""//"")"),"Month6 ")</f>
        <v>Month6 </v>
      </c>
      <c r="C181" s="17" t="str">
        <f>IFERROR(__xludf.DUMMYFUNCTION("""COMPUTED_VALUE"""),"City_Ranchi")</f>
        <v>City_Ranchi</v>
      </c>
      <c r="D181" s="17" t="str">
        <f>IFERROR(__xludf.DUMMYFUNCTION("""COMPUTED_VALUE"""),"PRD-NutriKid")</f>
        <v>PRD-NutriKid</v>
      </c>
      <c r="E181" s="17" t="str">
        <f>IFERROR(__xludf.DUMMYFUNCTION("""COMPUTED_VALUE"""),"OPQ  22275")</f>
        <v>OPQ  22275</v>
      </c>
      <c r="F181" s="17" t="str">
        <f>IFERROR(__xludf.DUMMYFUNCTION("""COMPUTED_VALUE"""),"NPQ[IPLMARKETTING]23389")</f>
        <v>NPQ[IPLMARKETTING]23389</v>
      </c>
      <c r="G181" s="18">
        <f t="shared" si="1"/>
        <v>6</v>
      </c>
      <c r="H181" s="17" t="str">
        <f t="shared" si="2"/>
        <v>June</v>
      </c>
      <c r="I181" s="17" t="str">
        <f t="shared" si="3"/>
        <v>Ranchi</v>
      </c>
      <c r="J181" s="17" t="str">
        <f t="shared" si="4"/>
        <v>NutriKid</v>
      </c>
      <c r="K181" s="18">
        <f t="shared" si="5"/>
        <v>22275</v>
      </c>
      <c r="L181" s="18">
        <f t="shared" si="6"/>
        <v>23389</v>
      </c>
      <c r="M181" s="17">
        <f t="shared" si="7"/>
        <v>60</v>
      </c>
      <c r="N181" s="18">
        <f t="shared" si="8"/>
        <v>1336500</v>
      </c>
      <c r="O181" s="17" t="str">
        <f t="shared" si="9"/>
        <v>East</v>
      </c>
      <c r="P181" s="17" t="str">
        <f t="shared" si="10"/>
        <v>Tanvi Sharma</v>
      </c>
      <c r="Q181" s="19">
        <f t="shared" si="11"/>
        <v>0.05</v>
      </c>
      <c r="R181" s="17">
        <f t="shared" si="12"/>
        <v>1269675</v>
      </c>
      <c r="S181" s="18">
        <f t="shared" si="13"/>
        <v>1403340</v>
      </c>
      <c r="T181" s="20">
        <f t="shared" si="14"/>
        <v>24.108</v>
      </c>
      <c r="U181" s="20">
        <f t="shared" si="15"/>
        <v>29.892</v>
      </c>
      <c r="V181" s="21">
        <f t="shared" si="16"/>
        <v>537005.7</v>
      </c>
      <c r="W181" s="21">
        <f t="shared" si="17"/>
        <v>732669.3</v>
      </c>
      <c r="X181" s="17">
        <f t="shared" si="18"/>
        <v>699143.988</v>
      </c>
      <c r="Y181" s="15"/>
    </row>
    <row r="182">
      <c r="A182" s="16" t="s">
        <v>244</v>
      </c>
      <c r="B182" s="17" t="str">
        <f>IFERROR(__xludf.DUMMYFUNCTION("split(A182,""//"")"),"Month6 ")</f>
        <v>Month6 </v>
      </c>
      <c r="C182" s="17" t="str">
        <f>IFERROR(__xludf.DUMMYFUNCTION("""COMPUTED_VALUE"""),"City_Surat")</f>
        <v>City_Surat</v>
      </c>
      <c r="D182" s="17" t="str">
        <f>IFERROR(__xludf.DUMMYFUNCTION("""COMPUTED_VALUE"""),"PRD-ZestVita")</f>
        <v>PRD-ZestVita</v>
      </c>
      <c r="E182" s="17" t="str">
        <f>IFERROR(__xludf.DUMMYFUNCTION("""COMPUTED_VALUE"""),"OPQ  37779")</f>
        <v>OPQ  37779</v>
      </c>
      <c r="F182" s="17" t="str">
        <f>IFERROR(__xludf.DUMMYFUNCTION("""COMPUTED_VALUE"""),"NPQ[IPLMARKETTING]40801")</f>
        <v>NPQ[IPLMARKETTING]40801</v>
      </c>
      <c r="G182" s="18">
        <f t="shared" si="1"/>
        <v>6</v>
      </c>
      <c r="H182" s="17" t="str">
        <f t="shared" si="2"/>
        <v>June</v>
      </c>
      <c r="I182" s="17" t="str">
        <f t="shared" si="3"/>
        <v>Surat</v>
      </c>
      <c r="J182" s="17" t="str">
        <f t="shared" si="4"/>
        <v>ZestVita</v>
      </c>
      <c r="K182" s="18">
        <f t="shared" si="5"/>
        <v>37779</v>
      </c>
      <c r="L182" s="18">
        <f t="shared" si="6"/>
        <v>40801</v>
      </c>
      <c r="M182" s="17">
        <f t="shared" si="7"/>
        <v>135</v>
      </c>
      <c r="N182" s="18">
        <f t="shared" si="8"/>
        <v>5100165</v>
      </c>
      <c r="O182" s="17" t="str">
        <f t="shared" si="9"/>
        <v>West</v>
      </c>
      <c r="P182" s="17" t="str">
        <f t="shared" si="10"/>
        <v>Ajay Ghosh</v>
      </c>
      <c r="Q182" s="19">
        <f t="shared" si="11"/>
        <v>0.05</v>
      </c>
      <c r="R182" s="17">
        <f t="shared" si="12"/>
        <v>4845156.75</v>
      </c>
      <c r="S182" s="18">
        <f t="shared" si="13"/>
        <v>5508135</v>
      </c>
      <c r="T182" s="20">
        <f t="shared" si="14"/>
        <v>55.84</v>
      </c>
      <c r="U182" s="20">
        <f t="shared" si="15"/>
        <v>73.16</v>
      </c>
      <c r="V182" s="21">
        <f t="shared" si="16"/>
        <v>2109579.36</v>
      </c>
      <c r="W182" s="21">
        <f t="shared" si="17"/>
        <v>2735577.39</v>
      </c>
      <c r="X182" s="17">
        <f t="shared" si="18"/>
        <v>2985001.16</v>
      </c>
      <c r="Y182" s="15"/>
    </row>
    <row r="183">
      <c r="A183" s="16" t="s">
        <v>245</v>
      </c>
      <c r="B183" s="17" t="str">
        <f>IFERROR(__xludf.DUMMYFUNCTION("split(A183,""//"")"),"Month6 ")</f>
        <v>Month6 </v>
      </c>
      <c r="C183" s="17" t="str">
        <f>IFERROR(__xludf.DUMMYFUNCTION("""COMPUTED_VALUE"""),"City_Surat")</f>
        <v>City_Surat</v>
      </c>
      <c r="D183" s="17" t="str">
        <f>IFERROR(__xludf.DUMMYFUNCTION("""COMPUTED_VALUE"""),"PRD-NutriKid")</f>
        <v>PRD-NutriKid</v>
      </c>
      <c r="E183" s="17" t="str">
        <f>IFERROR(__xludf.DUMMYFUNCTION("""COMPUTED_VALUE"""),"OPQ  30903")</f>
        <v>OPQ  30903</v>
      </c>
      <c r="F183" s="17" t="str">
        <f>IFERROR(__xludf.DUMMYFUNCTION("""COMPUTED_VALUE"""),"NPQ[IPLMARKETTING]32757")</f>
        <v>NPQ[IPLMARKETTING]32757</v>
      </c>
      <c r="G183" s="18">
        <f t="shared" si="1"/>
        <v>6</v>
      </c>
      <c r="H183" s="17" t="str">
        <f t="shared" si="2"/>
        <v>June</v>
      </c>
      <c r="I183" s="17" t="str">
        <f t="shared" si="3"/>
        <v>Surat</v>
      </c>
      <c r="J183" s="17" t="str">
        <f t="shared" si="4"/>
        <v>NutriKid</v>
      </c>
      <c r="K183" s="18">
        <f t="shared" si="5"/>
        <v>30903</v>
      </c>
      <c r="L183" s="18">
        <f t="shared" si="6"/>
        <v>32757</v>
      </c>
      <c r="M183" s="17">
        <f t="shared" si="7"/>
        <v>60</v>
      </c>
      <c r="N183" s="18">
        <f t="shared" si="8"/>
        <v>1854180</v>
      </c>
      <c r="O183" s="17" t="str">
        <f t="shared" si="9"/>
        <v>West</v>
      </c>
      <c r="P183" s="17" t="str">
        <f t="shared" si="10"/>
        <v>Ajay Ghosh</v>
      </c>
      <c r="Q183" s="19">
        <f t="shared" si="11"/>
        <v>0.05</v>
      </c>
      <c r="R183" s="17">
        <f t="shared" si="12"/>
        <v>1761471</v>
      </c>
      <c r="S183" s="18">
        <f t="shared" si="13"/>
        <v>1965420</v>
      </c>
      <c r="T183" s="20">
        <f t="shared" si="14"/>
        <v>24.108</v>
      </c>
      <c r="U183" s="20">
        <f t="shared" si="15"/>
        <v>29.892</v>
      </c>
      <c r="V183" s="21">
        <f t="shared" si="16"/>
        <v>745009.524</v>
      </c>
      <c r="W183" s="21">
        <f t="shared" si="17"/>
        <v>1016461.476</v>
      </c>
      <c r="X183" s="17">
        <f t="shared" si="18"/>
        <v>979172.244</v>
      </c>
      <c r="Y183" s="15"/>
    </row>
    <row r="184">
      <c r="A184" s="16" t="s">
        <v>246</v>
      </c>
      <c r="B184" s="17" t="str">
        <f>IFERROR(__xludf.DUMMYFUNCTION("split(A184,""//"")"),"Month6 ")</f>
        <v>Month6 </v>
      </c>
      <c r="C184" s="17" t="str">
        <f>IFERROR(__xludf.DUMMYFUNCTION("""COMPUTED_VALUE"""),"City_Hyderabad")</f>
        <v>City_Hyderabad</v>
      </c>
      <c r="D184" s="17" t="str">
        <f>IFERROR(__xludf.DUMMYFUNCTION("""COMPUTED_VALUE"""),"PRD-ZestVita")</f>
        <v>PRD-ZestVita</v>
      </c>
      <c r="E184" s="17" t="str">
        <f>IFERROR(__xludf.DUMMYFUNCTION("""COMPUTED_VALUE"""),"OPQ  52642")</f>
        <v>OPQ  52642</v>
      </c>
      <c r="F184" s="17" t="str">
        <f>IFERROR(__xludf.DUMMYFUNCTION("""COMPUTED_VALUE"""),"NPQ[IPLMARKETTING]62644")</f>
        <v>NPQ[IPLMARKETTING]62644</v>
      </c>
      <c r="G184" s="18">
        <f t="shared" si="1"/>
        <v>6</v>
      </c>
      <c r="H184" s="17" t="str">
        <f t="shared" si="2"/>
        <v>June</v>
      </c>
      <c r="I184" s="17" t="str">
        <f t="shared" si="3"/>
        <v>Hyderabad</v>
      </c>
      <c r="J184" s="17" t="str">
        <f t="shared" si="4"/>
        <v>ZestVita</v>
      </c>
      <c r="K184" s="18">
        <f t="shared" si="5"/>
        <v>52642</v>
      </c>
      <c r="L184" s="18">
        <f t="shared" si="6"/>
        <v>62644</v>
      </c>
      <c r="M184" s="17">
        <f t="shared" si="7"/>
        <v>135</v>
      </c>
      <c r="N184" s="18">
        <f t="shared" si="8"/>
        <v>7106670</v>
      </c>
      <c r="O184" s="17" t="str">
        <f t="shared" si="9"/>
        <v>South</v>
      </c>
      <c r="P184" s="17" t="str">
        <f t="shared" si="10"/>
        <v>Anjali Krishna Murthy</v>
      </c>
      <c r="Q184" s="19">
        <f t="shared" si="11"/>
        <v>0</v>
      </c>
      <c r="R184" s="18">
        <f t="shared" si="12"/>
        <v>7106670</v>
      </c>
      <c r="S184" s="18">
        <f t="shared" si="13"/>
        <v>8456940</v>
      </c>
      <c r="T184" s="20">
        <f t="shared" si="14"/>
        <v>55.84</v>
      </c>
      <c r="U184" s="20">
        <f t="shared" si="15"/>
        <v>73.16</v>
      </c>
      <c r="V184" s="21">
        <f t="shared" si="16"/>
        <v>2939529.28</v>
      </c>
      <c r="W184" s="18">
        <f t="shared" si="17"/>
        <v>4167140.72</v>
      </c>
      <c r="X184" s="17">
        <f t="shared" si="18"/>
        <v>4583035.04</v>
      </c>
      <c r="Y184" s="15"/>
    </row>
    <row r="185">
      <c r="A185" s="16" t="s">
        <v>247</v>
      </c>
      <c r="B185" s="17" t="str">
        <f>IFERROR(__xludf.DUMMYFUNCTION("split(A185,""//"")"),"Month6 ")</f>
        <v>Month6 </v>
      </c>
      <c r="C185" s="17" t="str">
        <f>IFERROR(__xludf.DUMMYFUNCTION("""COMPUTED_VALUE"""),"City_Hyderabad")</f>
        <v>City_Hyderabad</v>
      </c>
      <c r="D185" s="17" t="str">
        <f>IFERROR(__xludf.DUMMYFUNCTION("""COMPUTED_VALUE"""),"PRD-NutriKid")</f>
        <v>PRD-NutriKid</v>
      </c>
      <c r="E185" s="17" t="str">
        <f>IFERROR(__xludf.DUMMYFUNCTION("""COMPUTED_VALUE"""),"OPQ  52660")</f>
        <v>OPQ  52660</v>
      </c>
      <c r="F185" s="17" t="str">
        <f>IFERROR(__xludf.DUMMYFUNCTION("""COMPUTED_VALUE"""),"NPQ[IPLMARKETTING]60032")</f>
        <v>NPQ[IPLMARKETTING]60032</v>
      </c>
      <c r="G185" s="18">
        <f t="shared" si="1"/>
        <v>6</v>
      </c>
      <c r="H185" s="17" t="str">
        <f t="shared" si="2"/>
        <v>June</v>
      </c>
      <c r="I185" s="17" t="str">
        <f t="shared" si="3"/>
        <v>Hyderabad</v>
      </c>
      <c r="J185" s="17" t="str">
        <f t="shared" si="4"/>
        <v>NutriKid</v>
      </c>
      <c r="K185" s="18">
        <f t="shared" si="5"/>
        <v>52660</v>
      </c>
      <c r="L185" s="18">
        <f t="shared" si="6"/>
        <v>60032</v>
      </c>
      <c r="M185" s="17">
        <f t="shared" si="7"/>
        <v>60</v>
      </c>
      <c r="N185" s="18">
        <f t="shared" si="8"/>
        <v>3159600</v>
      </c>
      <c r="O185" s="17" t="str">
        <f t="shared" si="9"/>
        <v>South</v>
      </c>
      <c r="P185" s="17" t="str">
        <f t="shared" si="10"/>
        <v>Anjali Krishna Murthy</v>
      </c>
      <c r="Q185" s="19">
        <f t="shared" si="11"/>
        <v>0</v>
      </c>
      <c r="R185" s="18">
        <f t="shared" si="12"/>
        <v>3159600</v>
      </c>
      <c r="S185" s="18">
        <f t="shared" si="13"/>
        <v>3601920</v>
      </c>
      <c r="T185" s="20">
        <f t="shared" si="14"/>
        <v>24.108</v>
      </c>
      <c r="U185" s="20">
        <f t="shared" si="15"/>
        <v>29.892</v>
      </c>
      <c r="V185" s="21">
        <f t="shared" si="16"/>
        <v>1269527.28</v>
      </c>
      <c r="W185" s="18">
        <f t="shared" si="17"/>
        <v>1890072.72</v>
      </c>
      <c r="X185" s="17">
        <f t="shared" si="18"/>
        <v>1794476.544</v>
      </c>
      <c r="Y185" s="15"/>
    </row>
    <row r="186">
      <c r="A186" s="16" t="s">
        <v>248</v>
      </c>
      <c r="B186" s="17" t="str">
        <f>IFERROR(__xludf.DUMMYFUNCTION("split(A186,""//"")"),"Month6 ")</f>
        <v>Month6 </v>
      </c>
      <c r="C186" s="17" t="str">
        <f>IFERROR(__xludf.DUMMYFUNCTION("""COMPUTED_VALUE"""),"City_Dehradun")</f>
        <v>City_Dehradun</v>
      </c>
      <c r="D186" s="17" t="str">
        <f>IFERROR(__xludf.DUMMYFUNCTION("""COMPUTED_VALUE"""),"PRD-ZestVita")</f>
        <v>PRD-ZestVita</v>
      </c>
      <c r="E186" s="17" t="str">
        <f>IFERROR(__xludf.DUMMYFUNCTION("""COMPUTED_VALUE"""),"OPQ  25328")</f>
        <v>OPQ  25328</v>
      </c>
      <c r="F186" s="17" t="str">
        <f>IFERROR(__xludf.DUMMYFUNCTION("""COMPUTED_VALUE"""),"NPQ[IPLMARKETTING]25835")</f>
        <v>NPQ[IPLMARKETTING]25835</v>
      </c>
      <c r="G186" s="18">
        <f t="shared" si="1"/>
        <v>6</v>
      </c>
      <c r="H186" s="17" t="str">
        <f t="shared" si="2"/>
        <v>June</v>
      </c>
      <c r="I186" s="17" t="str">
        <f t="shared" si="3"/>
        <v>Dehradun</v>
      </c>
      <c r="J186" s="17" t="str">
        <f t="shared" si="4"/>
        <v>ZestVita</v>
      </c>
      <c r="K186" s="18">
        <f t="shared" si="5"/>
        <v>25328</v>
      </c>
      <c r="L186" s="18">
        <f t="shared" si="6"/>
        <v>25835</v>
      </c>
      <c r="M186" s="17">
        <f t="shared" si="7"/>
        <v>135</v>
      </c>
      <c r="N186" s="18">
        <f t="shared" si="8"/>
        <v>3419280</v>
      </c>
      <c r="O186" s="17" t="str">
        <f t="shared" si="9"/>
        <v>North</v>
      </c>
      <c r="P186" s="17" t="str">
        <f t="shared" si="10"/>
        <v>Ajay Kumar</v>
      </c>
      <c r="Q186" s="19">
        <f t="shared" si="11"/>
        <v>0.125</v>
      </c>
      <c r="R186" s="17">
        <f t="shared" si="12"/>
        <v>2991870</v>
      </c>
      <c r="S186" s="18">
        <f t="shared" si="13"/>
        <v>3487725</v>
      </c>
      <c r="T186" s="20">
        <f t="shared" si="14"/>
        <v>55.84</v>
      </c>
      <c r="U186" s="20">
        <f t="shared" si="15"/>
        <v>73.16</v>
      </c>
      <c r="V186" s="21">
        <f t="shared" si="16"/>
        <v>1414315.52</v>
      </c>
      <c r="W186" s="21">
        <f t="shared" si="17"/>
        <v>1577554.48</v>
      </c>
      <c r="X186" s="17">
        <f t="shared" si="18"/>
        <v>1890088.6</v>
      </c>
      <c r="Y186" s="15"/>
    </row>
    <row r="187">
      <c r="A187" s="16" t="s">
        <v>249</v>
      </c>
      <c r="B187" s="17" t="str">
        <f>IFERROR(__xludf.DUMMYFUNCTION("split(A187,""//"")"),"Month6 ")</f>
        <v>Month6 </v>
      </c>
      <c r="C187" s="17" t="str">
        <f>IFERROR(__xludf.DUMMYFUNCTION("""COMPUTED_VALUE"""),"City_Dehradun")</f>
        <v>City_Dehradun</v>
      </c>
      <c r="D187" s="17" t="str">
        <f>IFERROR(__xludf.DUMMYFUNCTION("""COMPUTED_VALUE"""),"PRD-NutriKid")</f>
        <v>PRD-NutriKid</v>
      </c>
      <c r="E187" s="17" t="str">
        <f>IFERROR(__xludf.DUMMYFUNCTION("""COMPUTED_VALUE"""),"OPQ  15729")</f>
        <v>OPQ  15729</v>
      </c>
      <c r="F187" s="17" t="str">
        <f>IFERROR(__xludf.DUMMYFUNCTION("""COMPUTED_VALUE"""),"NPQ[IPLMARKETTING]16044")</f>
        <v>NPQ[IPLMARKETTING]16044</v>
      </c>
      <c r="G187" s="18">
        <f t="shared" si="1"/>
        <v>6</v>
      </c>
      <c r="H187" s="17" t="str">
        <f t="shared" si="2"/>
        <v>June</v>
      </c>
      <c r="I187" s="17" t="str">
        <f t="shared" si="3"/>
        <v>Dehradun</v>
      </c>
      <c r="J187" s="17" t="str">
        <f t="shared" si="4"/>
        <v>NutriKid</v>
      </c>
      <c r="K187" s="18">
        <f t="shared" si="5"/>
        <v>15729</v>
      </c>
      <c r="L187" s="18">
        <f t="shared" si="6"/>
        <v>16044</v>
      </c>
      <c r="M187" s="17">
        <f t="shared" si="7"/>
        <v>60</v>
      </c>
      <c r="N187" s="18">
        <f t="shared" si="8"/>
        <v>943740</v>
      </c>
      <c r="O187" s="17" t="str">
        <f t="shared" si="9"/>
        <v>North</v>
      </c>
      <c r="P187" s="17" t="str">
        <f t="shared" si="10"/>
        <v>Ajay Kumar</v>
      </c>
      <c r="Q187" s="19">
        <f t="shared" si="11"/>
        <v>0.125</v>
      </c>
      <c r="R187" s="17">
        <f t="shared" si="12"/>
        <v>825772.5</v>
      </c>
      <c r="S187" s="18">
        <f t="shared" si="13"/>
        <v>962640</v>
      </c>
      <c r="T187" s="20">
        <f t="shared" si="14"/>
        <v>24.108</v>
      </c>
      <c r="U187" s="20">
        <f t="shared" si="15"/>
        <v>29.892</v>
      </c>
      <c r="V187" s="21">
        <f t="shared" si="16"/>
        <v>379194.732</v>
      </c>
      <c r="W187" s="21">
        <f t="shared" si="17"/>
        <v>446577.768</v>
      </c>
      <c r="X187" s="17">
        <f t="shared" si="18"/>
        <v>479587.248</v>
      </c>
      <c r="Y187" s="15"/>
    </row>
    <row r="188">
      <c r="A188" s="16" t="s">
        <v>250</v>
      </c>
      <c r="B188" s="17" t="str">
        <f>IFERROR(__xludf.DUMMYFUNCTION("split(A188,""//"")"),"Month6 ")</f>
        <v>Month6 </v>
      </c>
      <c r="C188" s="17" t="str">
        <f>IFERROR(__xludf.DUMMYFUNCTION("""COMPUTED_VALUE"""),"City_Kochi")</f>
        <v>City_Kochi</v>
      </c>
      <c r="D188" s="17" t="str">
        <f>IFERROR(__xludf.DUMMYFUNCTION("""COMPUTED_VALUE"""),"PRD-ZestVita")</f>
        <v>PRD-ZestVita</v>
      </c>
      <c r="E188" s="17" t="str">
        <f>IFERROR(__xludf.DUMMYFUNCTION("""COMPUTED_VALUE"""),"OPQ  27805")</f>
        <v>OPQ  27805</v>
      </c>
      <c r="F188" s="17" t="str">
        <f>IFERROR(__xludf.DUMMYFUNCTION("""COMPUTED_VALUE"""),"NPQ[IPLMARKETTING]28917")</f>
        <v>NPQ[IPLMARKETTING]28917</v>
      </c>
      <c r="G188" s="18">
        <f t="shared" si="1"/>
        <v>6</v>
      </c>
      <c r="H188" s="17" t="str">
        <f t="shared" si="2"/>
        <v>June</v>
      </c>
      <c r="I188" s="17" t="str">
        <f t="shared" si="3"/>
        <v>Kochi</v>
      </c>
      <c r="J188" s="17" t="str">
        <f t="shared" si="4"/>
        <v>ZestVita</v>
      </c>
      <c r="K188" s="18">
        <f t="shared" si="5"/>
        <v>27805</v>
      </c>
      <c r="L188" s="18">
        <f t="shared" si="6"/>
        <v>28917</v>
      </c>
      <c r="M188" s="17">
        <f t="shared" si="7"/>
        <v>135</v>
      </c>
      <c r="N188" s="18">
        <f t="shared" si="8"/>
        <v>3753675</v>
      </c>
      <c r="O188" s="17" t="str">
        <f t="shared" si="9"/>
        <v>South</v>
      </c>
      <c r="P188" s="17" t="str">
        <f t="shared" si="10"/>
        <v>Anjali Krishna Murthy</v>
      </c>
      <c r="Q188" s="19">
        <f t="shared" si="11"/>
        <v>0.1</v>
      </c>
      <c r="R188" s="17">
        <f t="shared" si="12"/>
        <v>3378307.5</v>
      </c>
      <c r="S188" s="18">
        <f t="shared" si="13"/>
        <v>3903795</v>
      </c>
      <c r="T188" s="20">
        <f t="shared" si="14"/>
        <v>55.84</v>
      </c>
      <c r="U188" s="20">
        <f t="shared" si="15"/>
        <v>73.16</v>
      </c>
      <c r="V188" s="21">
        <f t="shared" si="16"/>
        <v>1552631.2</v>
      </c>
      <c r="W188" s="21">
        <f t="shared" si="17"/>
        <v>1825676.3</v>
      </c>
      <c r="X188" s="17">
        <f t="shared" si="18"/>
        <v>2115567.72</v>
      </c>
      <c r="Y188" s="15"/>
    </row>
    <row r="189">
      <c r="A189" s="16" t="s">
        <v>251</v>
      </c>
      <c r="B189" s="17" t="str">
        <f>IFERROR(__xludf.DUMMYFUNCTION("split(A189,""//"")"),"Month6 ")</f>
        <v>Month6 </v>
      </c>
      <c r="C189" s="17" t="str">
        <f>IFERROR(__xludf.DUMMYFUNCTION("""COMPUTED_VALUE"""),"City_Kochi")</f>
        <v>City_Kochi</v>
      </c>
      <c r="D189" s="17" t="str">
        <f>IFERROR(__xludf.DUMMYFUNCTION("""COMPUTED_VALUE"""),"PRD-NutriKid")</f>
        <v>PRD-NutriKid</v>
      </c>
      <c r="E189" s="17" t="str">
        <f>IFERROR(__xludf.DUMMYFUNCTION("""COMPUTED_VALUE"""),"OPQ  18175")</f>
        <v>OPQ  18175</v>
      </c>
      <c r="F189" s="17" t="str">
        <f>IFERROR(__xludf.DUMMYFUNCTION("""COMPUTED_VALUE"""),"NPQ[IPLMARKETTING]19266")</f>
        <v>NPQ[IPLMARKETTING]19266</v>
      </c>
      <c r="G189" s="18">
        <f t="shared" si="1"/>
        <v>6</v>
      </c>
      <c r="H189" s="17" t="str">
        <f t="shared" si="2"/>
        <v>June</v>
      </c>
      <c r="I189" s="17" t="str">
        <f t="shared" si="3"/>
        <v>Kochi</v>
      </c>
      <c r="J189" s="17" t="str">
        <f t="shared" si="4"/>
        <v>NutriKid</v>
      </c>
      <c r="K189" s="18">
        <f t="shared" si="5"/>
        <v>18175</v>
      </c>
      <c r="L189" s="18">
        <f t="shared" si="6"/>
        <v>19266</v>
      </c>
      <c r="M189" s="17">
        <f t="shared" si="7"/>
        <v>60</v>
      </c>
      <c r="N189" s="18">
        <f t="shared" si="8"/>
        <v>1090500</v>
      </c>
      <c r="O189" s="17" t="str">
        <f t="shared" si="9"/>
        <v>South</v>
      </c>
      <c r="P189" s="17" t="str">
        <f t="shared" si="10"/>
        <v>Anjali Krishna Murthy</v>
      </c>
      <c r="Q189" s="19">
        <f t="shared" si="11"/>
        <v>0.1</v>
      </c>
      <c r="R189" s="17">
        <f t="shared" si="12"/>
        <v>981450</v>
      </c>
      <c r="S189" s="18">
        <f t="shared" si="13"/>
        <v>1155960</v>
      </c>
      <c r="T189" s="20">
        <f t="shared" si="14"/>
        <v>24.108</v>
      </c>
      <c r="U189" s="20">
        <f t="shared" si="15"/>
        <v>29.892</v>
      </c>
      <c r="V189" s="21">
        <f t="shared" si="16"/>
        <v>438162.9</v>
      </c>
      <c r="W189" s="21">
        <f t="shared" si="17"/>
        <v>543287.1</v>
      </c>
      <c r="X189" s="17">
        <f t="shared" si="18"/>
        <v>575899.272</v>
      </c>
      <c r="Y189" s="15"/>
    </row>
    <row r="190">
      <c r="A190" s="16" t="s">
        <v>252</v>
      </c>
      <c r="B190" s="17" t="str">
        <f>IFERROR(__xludf.DUMMYFUNCTION("split(A190,""//"")"),"Month6 ")</f>
        <v>Month6 </v>
      </c>
      <c r="C190" s="17" t="str">
        <f>IFERROR(__xludf.DUMMYFUNCTION("""COMPUTED_VALUE"""),"City_Jaipur")</f>
        <v>City_Jaipur</v>
      </c>
      <c r="D190" s="17" t="str">
        <f>IFERROR(__xludf.DUMMYFUNCTION("""COMPUTED_VALUE"""),"PRD-ZestVita")</f>
        <v>PRD-ZestVita</v>
      </c>
      <c r="E190" s="17" t="str">
        <f>IFERROR(__xludf.DUMMYFUNCTION("""COMPUTED_VALUE"""),"OPQ  43289")</f>
        <v>OPQ  43289</v>
      </c>
      <c r="F190" s="17" t="str">
        <f>IFERROR(__xludf.DUMMYFUNCTION("""COMPUTED_VALUE"""),"NPQ[IPLMARKETTING]51514")</f>
        <v>NPQ[IPLMARKETTING]51514</v>
      </c>
      <c r="G190" s="18">
        <f t="shared" si="1"/>
        <v>6</v>
      </c>
      <c r="H190" s="17" t="str">
        <f t="shared" si="2"/>
        <v>June</v>
      </c>
      <c r="I190" s="17" t="str">
        <f t="shared" si="3"/>
        <v>Jaipur</v>
      </c>
      <c r="J190" s="17" t="str">
        <f t="shared" si="4"/>
        <v>ZestVita</v>
      </c>
      <c r="K190" s="18">
        <f t="shared" si="5"/>
        <v>43289</v>
      </c>
      <c r="L190" s="18">
        <f t="shared" si="6"/>
        <v>51514</v>
      </c>
      <c r="M190" s="17">
        <f t="shared" si="7"/>
        <v>135</v>
      </c>
      <c r="N190" s="18">
        <f t="shared" si="8"/>
        <v>5844015</v>
      </c>
      <c r="O190" s="17" t="str">
        <f t="shared" si="9"/>
        <v>West</v>
      </c>
      <c r="P190" s="17" t="str">
        <f t="shared" si="10"/>
        <v>Ajay Ghosh</v>
      </c>
      <c r="Q190" s="19">
        <f t="shared" si="11"/>
        <v>0</v>
      </c>
      <c r="R190" s="18">
        <f t="shared" si="12"/>
        <v>5844015</v>
      </c>
      <c r="S190" s="18">
        <f t="shared" si="13"/>
        <v>6954390</v>
      </c>
      <c r="T190" s="20">
        <f t="shared" si="14"/>
        <v>55.84</v>
      </c>
      <c r="U190" s="20">
        <f t="shared" si="15"/>
        <v>73.16</v>
      </c>
      <c r="V190" s="21">
        <f t="shared" si="16"/>
        <v>2417257.76</v>
      </c>
      <c r="W190" s="18">
        <f t="shared" si="17"/>
        <v>3426757.24</v>
      </c>
      <c r="X190" s="17">
        <f t="shared" si="18"/>
        <v>3768764.24</v>
      </c>
      <c r="Y190" s="15"/>
    </row>
    <row r="191">
      <c r="A191" s="16" t="s">
        <v>253</v>
      </c>
      <c r="B191" s="17" t="str">
        <f>IFERROR(__xludf.DUMMYFUNCTION("split(A191,""//"")"),"Month6 ")</f>
        <v>Month6 </v>
      </c>
      <c r="C191" s="17" t="str">
        <f>IFERROR(__xludf.DUMMYFUNCTION("""COMPUTED_VALUE"""),"City_Jaipur")</f>
        <v>City_Jaipur</v>
      </c>
      <c r="D191" s="17" t="str">
        <f>IFERROR(__xludf.DUMMYFUNCTION("""COMPUTED_VALUE"""),"PRD-NutriKid")</f>
        <v>PRD-NutriKid</v>
      </c>
      <c r="E191" s="17" t="str">
        <f>IFERROR(__xludf.DUMMYFUNCTION("""COMPUTED_VALUE"""),"OPQ  33419")</f>
        <v>OPQ  33419</v>
      </c>
      <c r="F191" s="17" t="str">
        <f>IFERROR(__xludf.DUMMYFUNCTION("""COMPUTED_VALUE"""),"NPQ[IPLMARKETTING]41105")</f>
        <v>NPQ[IPLMARKETTING]41105</v>
      </c>
      <c r="G191" s="18">
        <f t="shared" si="1"/>
        <v>6</v>
      </c>
      <c r="H191" s="17" t="str">
        <f t="shared" si="2"/>
        <v>June</v>
      </c>
      <c r="I191" s="17" t="str">
        <f t="shared" si="3"/>
        <v>Jaipur</v>
      </c>
      <c r="J191" s="17" t="str">
        <f t="shared" si="4"/>
        <v>NutriKid</v>
      </c>
      <c r="K191" s="18">
        <f t="shared" si="5"/>
        <v>33419</v>
      </c>
      <c r="L191" s="18">
        <f t="shared" si="6"/>
        <v>41105</v>
      </c>
      <c r="M191" s="17">
        <f t="shared" si="7"/>
        <v>60</v>
      </c>
      <c r="N191" s="18">
        <f t="shared" si="8"/>
        <v>2005140</v>
      </c>
      <c r="O191" s="17" t="str">
        <f t="shared" si="9"/>
        <v>West</v>
      </c>
      <c r="P191" s="17" t="str">
        <f t="shared" si="10"/>
        <v>Ajay Ghosh</v>
      </c>
      <c r="Q191" s="19">
        <f t="shared" si="11"/>
        <v>0</v>
      </c>
      <c r="R191" s="18">
        <f t="shared" si="12"/>
        <v>2005140</v>
      </c>
      <c r="S191" s="18">
        <f t="shared" si="13"/>
        <v>2466300</v>
      </c>
      <c r="T191" s="20">
        <f t="shared" si="14"/>
        <v>24.108</v>
      </c>
      <c r="U191" s="20">
        <f t="shared" si="15"/>
        <v>29.892</v>
      </c>
      <c r="V191" s="21">
        <f t="shared" si="16"/>
        <v>805665.252</v>
      </c>
      <c r="W191" s="18">
        <f t="shared" si="17"/>
        <v>1199474.748</v>
      </c>
      <c r="X191" s="17">
        <f t="shared" si="18"/>
        <v>1228710.66</v>
      </c>
      <c r="Y191" s="15"/>
    </row>
    <row r="192">
      <c r="A192" s="16" t="s">
        <v>254</v>
      </c>
      <c r="B192" s="17" t="str">
        <f>IFERROR(__xludf.DUMMYFUNCTION("split(A192,""//"")"),"Month6 ")</f>
        <v>Month6 </v>
      </c>
      <c r="C192" s="17" t="str">
        <f>IFERROR(__xludf.DUMMYFUNCTION("""COMPUTED_VALUE"""),"City_Patna")</f>
        <v>City_Patna</v>
      </c>
      <c r="D192" s="17" t="str">
        <f>IFERROR(__xludf.DUMMYFUNCTION("""COMPUTED_VALUE"""),"PRD-ZestVita")</f>
        <v>PRD-ZestVita</v>
      </c>
      <c r="E192" s="17" t="str">
        <f>IFERROR(__xludf.DUMMYFUNCTION("""COMPUTED_VALUE"""),"OPQ  36992")</f>
        <v>OPQ  36992</v>
      </c>
      <c r="F192" s="17" t="str">
        <f>IFERROR(__xludf.DUMMYFUNCTION("""COMPUTED_VALUE"""),"NPQ[IPLMARKETTING]45130")</f>
        <v>NPQ[IPLMARKETTING]45130</v>
      </c>
      <c r="G192" s="18">
        <f t="shared" si="1"/>
        <v>6</v>
      </c>
      <c r="H192" s="17" t="str">
        <f t="shared" si="2"/>
        <v>June</v>
      </c>
      <c r="I192" s="17" t="str">
        <f t="shared" si="3"/>
        <v>Patna</v>
      </c>
      <c r="J192" s="17" t="str">
        <f t="shared" si="4"/>
        <v>ZestVita</v>
      </c>
      <c r="K192" s="18">
        <f t="shared" si="5"/>
        <v>36992</v>
      </c>
      <c r="L192" s="18">
        <f t="shared" si="6"/>
        <v>45130</v>
      </c>
      <c r="M192" s="17">
        <f t="shared" si="7"/>
        <v>135</v>
      </c>
      <c r="N192" s="18">
        <f t="shared" si="8"/>
        <v>4993920</v>
      </c>
      <c r="O192" s="17" t="str">
        <f t="shared" si="9"/>
        <v>East</v>
      </c>
      <c r="P192" s="17" t="str">
        <f t="shared" si="10"/>
        <v>Tanvi Sharma</v>
      </c>
      <c r="Q192" s="19">
        <f t="shared" si="11"/>
        <v>0.05</v>
      </c>
      <c r="R192" s="17">
        <f t="shared" si="12"/>
        <v>4744224</v>
      </c>
      <c r="S192" s="18">
        <f t="shared" si="13"/>
        <v>6092550</v>
      </c>
      <c r="T192" s="20">
        <f t="shared" si="14"/>
        <v>55.84</v>
      </c>
      <c r="U192" s="20">
        <f t="shared" si="15"/>
        <v>73.16</v>
      </c>
      <c r="V192" s="21">
        <f t="shared" si="16"/>
        <v>2065633.28</v>
      </c>
      <c r="W192" s="21">
        <f t="shared" si="17"/>
        <v>2678590.72</v>
      </c>
      <c r="X192" s="17">
        <f t="shared" si="18"/>
        <v>3301710.8</v>
      </c>
      <c r="Y192" s="15"/>
    </row>
    <row r="193">
      <c r="A193" s="16" t="s">
        <v>255</v>
      </c>
      <c r="B193" s="17" t="str">
        <f>IFERROR(__xludf.DUMMYFUNCTION("split(A193,""//"")"),"Month6 ")</f>
        <v>Month6 </v>
      </c>
      <c r="C193" s="17" t="str">
        <f>IFERROR(__xludf.DUMMYFUNCTION("""COMPUTED_VALUE"""),"City_Patna")</f>
        <v>City_Patna</v>
      </c>
      <c r="D193" s="17" t="str">
        <f>IFERROR(__xludf.DUMMYFUNCTION("""COMPUTED_VALUE"""),"PRD-NutriKid")</f>
        <v>PRD-NutriKid</v>
      </c>
      <c r="E193" s="17" t="str">
        <f>IFERROR(__xludf.DUMMYFUNCTION("""COMPUTED_VALUE"""),"OPQ  47607")</f>
        <v>OPQ  47607</v>
      </c>
      <c r="F193" s="17" t="str">
        <f>IFERROR(__xludf.DUMMYFUNCTION("""COMPUTED_VALUE"""),"NPQ[IPLMARKETTING]53320")</f>
        <v>NPQ[IPLMARKETTING]53320</v>
      </c>
      <c r="G193" s="18">
        <f t="shared" si="1"/>
        <v>6</v>
      </c>
      <c r="H193" s="17" t="str">
        <f t="shared" si="2"/>
        <v>June</v>
      </c>
      <c r="I193" s="17" t="str">
        <f t="shared" si="3"/>
        <v>Patna</v>
      </c>
      <c r="J193" s="17" t="str">
        <f t="shared" si="4"/>
        <v>NutriKid</v>
      </c>
      <c r="K193" s="18">
        <f t="shared" si="5"/>
        <v>47607</v>
      </c>
      <c r="L193" s="18">
        <f t="shared" si="6"/>
        <v>53320</v>
      </c>
      <c r="M193" s="17">
        <f t="shared" si="7"/>
        <v>60</v>
      </c>
      <c r="N193" s="18">
        <f t="shared" si="8"/>
        <v>2856420</v>
      </c>
      <c r="O193" s="17" t="str">
        <f t="shared" si="9"/>
        <v>East</v>
      </c>
      <c r="P193" s="17" t="str">
        <f t="shared" si="10"/>
        <v>Tanvi Sharma</v>
      </c>
      <c r="Q193" s="19">
        <f t="shared" si="11"/>
        <v>0.05</v>
      </c>
      <c r="R193" s="17">
        <f t="shared" si="12"/>
        <v>2713599</v>
      </c>
      <c r="S193" s="18">
        <f t="shared" si="13"/>
        <v>3199200</v>
      </c>
      <c r="T193" s="20">
        <f t="shared" si="14"/>
        <v>24.108</v>
      </c>
      <c r="U193" s="20">
        <f t="shared" si="15"/>
        <v>29.892</v>
      </c>
      <c r="V193" s="21">
        <f t="shared" si="16"/>
        <v>1147709.556</v>
      </c>
      <c r="W193" s="21">
        <f t="shared" si="17"/>
        <v>1565889.444</v>
      </c>
      <c r="X193" s="17">
        <f t="shared" si="18"/>
        <v>1593841.44</v>
      </c>
      <c r="Y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4.13"/>
    <col customWidth="1" min="4" max="4" width="14.75"/>
  </cols>
  <sheetData>
    <row r="1">
      <c r="A1" s="22" t="s">
        <v>256</v>
      </c>
      <c r="B1" s="23"/>
      <c r="C1" s="23"/>
      <c r="D1" s="23"/>
      <c r="E1" s="2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3" t="s">
        <v>0</v>
      </c>
      <c r="B2" s="25" t="s">
        <v>1</v>
      </c>
      <c r="C2" s="23"/>
      <c r="D2" s="23"/>
      <c r="E2" s="2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 t="s">
        <v>42</v>
      </c>
      <c r="B3" s="25" t="s">
        <v>257</v>
      </c>
      <c r="C3" s="23"/>
      <c r="D3" s="23"/>
      <c r="E3" s="2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6" t="s">
        <v>10</v>
      </c>
      <c r="B4" s="27" t="s">
        <v>258</v>
      </c>
      <c r="C4" s="24"/>
      <c r="D4" s="27" t="s">
        <v>259</v>
      </c>
      <c r="E4" s="2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8"/>
      <c r="B5" s="16" t="s">
        <v>260</v>
      </c>
      <c r="C5" s="16" t="s">
        <v>261</v>
      </c>
      <c r="D5" s="16" t="s">
        <v>260</v>
      </c>
      <c r="E5" s="16" t="s">
        <v>261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 t="str">
        <f t="array" ref="A6:A21">UNIQUE(Sales_Data!I2:I193)</f>
        <v>Delhi</v>
      </c>
      <c r="B6" s="17">
        <f>if($B$3="Overall",sumifs(Sales_Data!$K$2:$K$193,Sales_Data!$I$2:$I$193,$A6,Sales_Data!$O$2:$O$193,$B$2),sumifs(Sales_Data!$K$2:$K$193,Sales_Data!$I$2:$I$193,$A6,Sales_Data!$J$2:$J$193,$B$3,Sales_Data!$O$2:$O$193,$B$2))</f>
        <v>339166</v>
      </c>
      <c r="C6" s="17">
        <f>if($B$3="Overall",sumifs(Sales_Data!$R$2:$R$193,Sales_Data!$I$2:$I$193,$A6,Sales_Data!$O$2:$O$193,$B$2), sumifs(Sales_Data!$R$2:$R$193,Sales_Data!$I$2:$I$193,$A6,Sales_Data!$J$2:$J$193,$B$3,Sales_Data!$O$2:$O$193,$B$2))</f>
        <v>34701735</v>
      </c>
      <c r="D6" s="17">
        <f>if($B$3="Overall",sumifs(Sales_Data!$L$2:$L$193,Sales_Data!$I$2:$I$193,$A6,Sales_Data!$O$2:$O$193,$B$2),sumifs(Sales_Data!$L$2:$L$193,Sales_Data!$I$2:$I$193,$A6,Sales_Data!$J$2:$J$193,$B$3,Sales_Data!$O$2:$O$193,$B$2))</f>
        <v>403054</v>
      </c>
      <c r="E6" s="17">
        <f>if($B$3="Overall",sumifs(Sales_Data!$S$2:$S$193,Sales_Data!$I$2:$I$193,$A6,Sales_Data!$O$2:$O$193,$B$2),sumifs(Sales_Data!$S$2:$S$193,Sales_Data!$I$2:$I$193,$A6,Sales_Data!$J$2:$J$193,$B$3,Sales_Data!$O$2:$O$193,$B$2))</f>
        <v>41318265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7" t="s">
        <v>13</v>
      </c>
      <c r="B7" s="17">
        <f>if($B$3="Overall",sumifs(Sales_Data!$K$2:$K$193,Sales_Data!$I$2:$I$193,$A7,Sales_Data!$O$2:$O$193,$B$2),sumifs(Sales_Data!$K$2:$K$193,Sales_Data!$I$2:$I$193,$A7,Sales_Data!$J$2:$J$193,$B$3,Sales_Data!$O$2:$O$193,$B$2))</f>
        <v>0</v>
      </c>
      <c r="C7" s="17">
        <f>if($B$3="Overall",sumifs(Sales_Data!$R$2:$R$193,Sales_Data!$I$2:$I$193,$A7,Sales_Data!$O$2:$O$193,$B$2), sumifs(Sales_Data!$R$2:$R$193,Sales_Data!$I$2:$I$193,$A7,Sales_Data!$J$2:$J$193,$B$3,Sales_Data!$O$2:$O$193,$B$2))</f>
        <v>0</v>
      </c>
      <c r="D7" s="17">
        <f>if($B$3="Overall",sumifs(Sales_Data!$L$2:$L$193,Sales_Data!$I$2:$I$193,$A7,Sales_Data!$O$2:$O$193,$B$2),sumifs(Sales_Data!$L$2:$L$193,Sales_Data!$I$2:$I$193,$A7,Sales_Data!$J$2:$J$193,$B$3,Sales_Data!$O$2:$O$193,$B$2))</f>
        <v>0</v>
      </c>
      <c r="E7" s="17">
        <f>if($B$3="Overall",sumifs(Sales_Data!$S$2:$S$193,Sales_Data!$I$2:$I$193,$A7,Sales_Data!$O$2:$O$193,$B$2),sumifs(Sales_Data!$S$2:$S$193,Sales_Data!$I$2:$I$193,$A7,Sales_Data!$J$2:$J$193,$B$3,Sales_Data!$O$2:$O$193,$B$2))</f>
        <v>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7" t="s">
        <v>14</v>
      </c>
      <c r="B8" s="17">
        <f>if($B$3="Overall",sumifs(Sales_Data!$K$2:$K$193,Sales_Data!$I$2:$I$193,$A8,Sales_Data!$O$2:$O$193,$B$2),sumifs(Sales_Data!$K$2:$K$193,Sales_Data!$I$2:$I$193,$A8,Sales_Data!$J$2:$J$193,$B$3,Sales_Data!$O$2:$O$193,$B$2))</f>
        <v>0</v>
      </c>
      <c r="C8" s="17">
        <f>if($B$3="Overall",sumifs(Sales_Data!$R$2:$R$193,Sales_Data!$I$2:$I$193,$A8,Sales_Data!$O$2:$O$193,$B$2), sumifs(Sales_Data!$R$2:$R$193,Sales_Data!$I$2:$I$193,$A8,Sales_Data!$J$2:$J$193,$B$3,Sales_Data!$O$2:$O$193,$B$2))</f>
        <v>0</v>
      </c>
      <c r="D8" s="17">
        <f>if($B$3="Overall",sumifs(Sales_Data!$L$2:$L$193,Sales_Data!$I$2:$I$193,$A8,Sales_Data!$O$2:$O$193,$B$2),sumifs(Sales_Data!$L$2:$L$193,Sales_Data!$I$2:$I$193,$A8,Sales_Data!$J$2:$J$193,$B$3,Sales_Data!$O$2:$O$193,$B$2))</f>
        <v>0</v>
      </c>
      <c r="E8" s="17">
        <f>if($B$3="Overall",sumifs(Sales_Data!$S$2:$S$193,Sales_Data!$I$2:$I$193,$A8,Sales_Data!$O$2:$O$193,$B$2),sumifs(Sales_Data!$S$2:$S$193,Sales_Data!$I$2:$I$193,$A8,Sales_Data!$J$2:$J$193,$B$3,Sales_Data!$O$2:$O$193,$B$2))</f>
        <v>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7" t="s">
        <v>15</v>
      </c>
      <c r="B9" s="17">
        <f>if($B$3="Overall",sumifs(Sales_Data!$K$2:$K$193,Sales_Data!$I$2:$I$193,$A9,Sales_Data!$O$2:$O$193,$B$2),sumifs(Sales_Data!$K$2:$K$193,Sales_Data!$I$2:$I$193,$A9,Sales_Data!$J$2:$J$193,$B$3,Sales_Data!$O$2:$O$193,$B$2))</f>
        <v>0</v>
      </c>
      <c r="C9" s="17">
        <f>if($B$3="Overall",sumifs(Sales_Data!$R$2:$R$193,Sales_Data!$I$2:$I$193,$A9,Sales_Data!$O$2:$O$193,$B$2), sumifs(Sales_Data!$R$2:$R$193,Sales_Data!$I$2:$I$193,$A9,Sales_Data!$J$2:$J$193,$B$3,Sales_Data!$O$2:$O$193,$B$2))</f>
        <v>0</v>
      </c>
      <c r="D9" s="17">
        <f>if($B$3="Overall",sumifs(Sales_Data!$L$2:$L$193,Sales_Data!$I$2:$I$193,$A9,Sales_Data!$O$2:$O$193,$B$2),sumifs(Sales_Data!$L$2:$L$193,Sales_Data!$I$2:$I$193,$A9,Sales_Data!$J$2:$J$193,$B$3,Sales_Data!$O$2:$O$193,$B$2))</f>
        <v>0</v>
      </c>
      <c r="E9" s="17">
        <f>if($B$3="Overall",sumifs(Sales_Data!$S$2:$S$193,Sales_Data!$I$2:$I$193,$A9,Sales_Data!$O$2:$O$193,$B$2),sumifs(Sales_Data!$S$2:$S$193,Sales_Data!$I$2:$I$193,$A9,Sales_Data!$J$2:$J$193,$B$3,Sales_Data!$O$2:$O$193,$B$2))</f>
        <v>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7" t="s">
        <v>16</v>
      </c>
      <c r="B10" s="17">
        <f>if($B$3="Overall",sumifs(Sales_Data!$K$2:$K$193,Sales_Data!$I$2:$I$193,$A10,Sales_Data!$O$2:$O$193,$B$2),sumifs(Sales_Data!$K$2:$K$193,Sales_Data!$I$2:$I$193,$A10,Sales_Data!$J$2:$J$193,$B$3,Sales_Data!$O$2:$O$193,$B$2))</f>
        <v>414769</v>
      </c>
      <c r="C10" s="17">
        <f>if($B$3="Overall",sumifs(Sales_Data!$R$2:$R$193,Sales_Data!$I$2:$I$193,$A10,Sales_Data!$O$2:$O$193,$B$2), sumifs(Sales_Data!$R$2:$R$193,Sales_Data!$I$2:$I$193,$A10,Sales_Data!$J$2:$J$193,$B$3,Sales_Data!$O$2:$O$193,$B$2))</f>
        <v>40064040</v>
      </c>
      <c r="D10" s="17">
        <f>if($B$3="Overall",sumifs(Sales_Data!$L$2:$L$193,Sales_Data!$I$2:$I$193,$A10,Sales_Data!$O$2:$O$193,$B$2),sumifs(Sales_Data!$L$2:$L$193,Sales_Data!$I$2:$I$193,$A10,Sales_Data!$J$2:$J$193,$B$3,Sales_Data!$O$2:$O$193,$B$2))</f>
        <v>496302</v>
      </c>
      <c r="E10" s="17">
        <f>if($B$3="Overall",sumifs(Sales_Data!$S$2:$S$193,Sales_Data!$I$2:$I$193,$A10,Sales_Data!$O$2:$O$193,$B$2),sumifs(Sales_Data!$S$2:$S$193,Sales_Data!$I$2:$I$193,$A10,Sales_Data!$J$2:$J$193,$B$3,Sales_Data!$O$2:$O$193,$B$2))</f>
        <v>47763495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7" t="s">
        <v>17</v>
      </c>
      <c r="B11" s="17">
        <f>if($B$3="Overall",sumifs(Sales_Data!$K$2:$K$193,Sales_Data!$I$2:$I$193,$A11,Sales_Data!$O$2:$O$193,$B$2),sumifs(Sales_Data!$K$2:$K$193,Sales_Data!$I$2:$I$193,$A11,Sales_Data!$J$2:$J$193,$B$3,Sales_Data!$O$2:$O$193,$B$2))</f>
        <v>0</v>
      </c>
      <c r="C11" s="17">
        <f>if($B$3="Overall",sumifs(Sales_Data!$R$2:$R$193,Sales_Data!$I$2:$I$193,$A11,Sales_Data!$O$2:$O$193,$B$2), sumifs(Sales_Data!$R$2:$R$193,Sales_Data!$I$2:$I$193,$A11,Sales_Data!$J$2:$J$193,$B$3,Sales_Data!$O$2:$O$193,$B$2))</f>
        <v>0</v>
      </c>
      <c r="D11" s="17">
        <f>if($B$3="Overall",sumifs(Sales_Data!$L$2:$L$193,Sales_Data!$I$2:$I$193,$A11,Sales_Data!$O$2:$O$193,$B$2),sumifs(Sales_Data!$L$2:$L$193,Sales_Data!$I$2:$I$193,$A11,Sales_Data!$J$2:$J$193,$B$3,Sales_Data!$O$2:$O$193,$B$2))</f>
        <v>0</v>
      </c>
      <c r="E11" s="17">
        <f>if($B$3="Overall",sumifs(Sales_Data!$S$2:$S$193,Sales_Data!$I$2:$I$193,$A11,Sales_Data!$O$2:$O$193,$B$2),sumifs(Sales_Data!$S$2:$S$193,Sales_Data!$I$2:$I$193,$A11,Sales_Data!$J$2:$J$193,$B$3,Sales_Data!$O$2:$O$193,$B$2))</f>
        <v>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7" t="s">
        <v>262</v>
      </c>
      <c r="B12" s="17">
        <f>if($B$3="Overall",sumifs(Sales_Data!$K$2:$K$193,Sales_Data!$I$2:$I$193,$A12,Sales_Data!$O$2:$O$193,$B$2),sumifs(Sales_Data!$K$2:$K$193,Sales_Data!$I$2:$I$193,$A12,Sales_Data!$J$2:$J$193,$B$3,Sales_Data!$O$2:$O$193,$B$2))</f>
        <v>0</v>
      </c>
      <c r="C12" s="17">
        <f>if($B$3="Overall",sumifs(Sales_Data!$R$2:$R$193,Sales_Data!$I$2:$I$193,$A12,Sales_Data!$O$2:$O$193,$B$2), sumifs(Sales_Data!$R$2:$R$193,Sales_Data!$I$2:$I$193,$A12,Sales_Data!$J$2:$J$193,$B$3,Sales_Data!$O$2:$O$193,$B$2))</f>
        <v>0</v>
      </c>
      <c r="D12" s="17">
        <f>if($B$3="Overall",sumifs(Sales_Data!$L$2:$L$193,Sales_Data!$I$2:$I$193,$A12,Sales_Data!$O$2:$O$193,$B$2),sumifs(Sales_Data!$L$2:$L$193,Sales_Data!$I$2:$I$193,$A12,Sales_Data!$J$2:$J$193,$B$3,Sales_Data!$O$2:$O$193,$B$2))</f>
        <v>0</v>
      </c>
      <c r="E12" s="17">
        <f>if($B$3="Overall",sumifs(Sales_Data!$S$2:$S$193,Sales_Data!$I$2:$I$193,$A12,Sales_Data!$O$2:$O$193,$B$2),sumifs(Sales_Data!$S$2:$S$193,Sales_Data!$I$2:$I$193,$A12,Sales_Data!$J$2:$J$193,$B$3,Sales_Data!$O$2:$O$193,$B$2))</f>
        <v>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7" t="s">
        <v>19</v>
      </c>
      <c r="B13" s="17">
        <f>if($B$3="Overall",sumifs(Sales_Data!$K$2:$K$193,Sales_Data!$I$2:$I$193,$A13,Sales_Data!$O$2:$O$193,$B$2),sumifs(Sales_Data!$K$2:$K$193,Sales_Data!$I$2:$I$193,$A13,Sales_Data!$J$2:$J$193,$B$3,Sales_Data!$O$2:$O$193,$B$2))</f>
        <v>0</v>
      </c>
      <c r="C13" s="17">
        <f>if($B$3="Overall",sumifs(Sales_Data!$R$2:$R$193,Sales_Data!$I$2:$I$193,$A13,Sales_Data!$O$2:$O$193,$B$2), sumifs(Sales_Data!$R$2:$R$193,Sales_Data!$I$2:$I$193,$A13,Sales_Data!$J$2:$J$193,$B$3,Sales_Data!$O$2:$O$193,$B$2))</f>
        <v>0</v>
      </c>
      <c r="D13" s="17">
        <f>if($B$3="Overall",sumifs(Sales_Data!$L$2:$L$193,Sales_Data!$I$2:$I$193,$A13,Sales_Data!$O$2:$O$193,$B$2),sumifs(Sales_Data!$L$2:$L$193,Sales_Data!$I$2:$I$193,$A13,Sales_Data!$J$2:$J$193,$B$3,Sales_Data!$O$2:$O$193,$B$2))</f>
        <v>0</v>
      </c>
      <c r="E13" s="17">
        <f>if($B$3="Overall",sumifs(Sales_Data!$S$2:$S$193,Sales_Data!$I$2:$I$193,$A13,Sales_Data!$O$2:$O$193,$B$2),sumifs(Sales_Data!$S$2:$S$193,Sales_Data!$I$2:$I$193,$A13,Sales_Data!$J$2:$J$193,$B$3,Sales_Data!$O$2:$O$193,$B$2))</f>
        <v>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7" t="s">
        <v>20</v>
      </c>
      <c r="B14" s="17">
        <f>if($B$3="Overall",sumifs(Sales_Data!$K$2:$K$193,Sales_Data!$I$2:$I$193,$A14,Sales_Data!$O$2:$O$193,$B$2),sumifs(Sales_Data!$K$2:$K$193,Sales_Data!$I$2:$I$193,$A14,Sales_Data!$J$2:$J$193,$B$3,Sales_Data!$O$2:$O$193,$B$2))</f>
        <v>279660</v>
      </c>
      <c r="C14" s="17">
        <f>if($B$3="Overall",sumifs(Sales_Data!$R$2:$R$193,Sales_Data!$I$2:$I$193,$A14,Sales_Data!$O$2:$O$193,$B$2), sumifs(Sales_Data!$R$2:$R$193,Sales_Data!$I$2:$I$193,$A14,Sales_Data!$J$2:$J$193,$B$3,Sales_Data!$O$2:$O$193,$B$2))</f>
        <v>25001797.5</v>
      </c>
      <c r="D14" s="17">
        <f>if($B$3="Overall",sumifs(Sales_Data!$L$2:$L$193,Sales_Data!$I$2:$I$193,$A14,Sales_Data!$O$2:$O$193,$B$2),sumifs(Sales_Data!$L$2:$L$193,Sales_Data!$I$2:$I$193,$A14,Sales_Data!$J$2:$J$193,$B$3,Sales_Data!$O$2:$O$193,$B$2))</f>
        <v>324852</v>
      </c>
      <c r="E14" s="17">
        <f>if($B$3="Overall",sumifs(Sales_Data!$S$2:$S$193,Sales_Data!$I$2:$I$193,$A14,Sales_Data!$O$2:$O$193,$B$2),sumifs(Sales_Data!$S$2:$S$193,Sales_Data!$I$2:$I$193,$A14,Sales_Data!$J$2:$J$193,$B$3,Sales_Data!$O$2:$O$193,$B$2))</f>
        <v>32537895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7" t="s">
        <v>21</v>
      </c>
      <c r="B15" s="17">
        <f>if($B$3="Overall",sumifs(Sales_Data!$K$2:$K$193,Sales_Data!$I$2:$I$193,$A15,Sales_Data!$O$2:$O$193,$B$2),sumifs(Sales_Data!$K$2:$K$193,Sales_Data!$I$2:$I$193,$A15,Sales_Data!$J$2:$J$193,$B$3,Sales_Data!$O$2:$O$193,$B$2))</f>
        <v>0</v>
      </c>
      <c r="C15" s="17">
        <f>if($B$3="Overall",sumifs(Sales_Data!$R$2:$R$193,Sales_Data!$I$2:$I$193,$A15,Sales_Data!$O$2:$O$193,$B$2), sumifs(Sales_Data!$R$2:$R$193,Sales_Data!$I$2:$I$193,$A15,Sales_Data!$J$2:$J$193,$B$3,Sales_Data!$O$2:$O$193,$B$2))</f>
        <v>0</v>
      </c>
      <c r="D15" s="17">
        <f>if($B$3="Overall",sumifs(Sales_Data!$L$2:$L$193,Sales_Data!$I$2:$I$193,$A15,Sales_Data!$O$2:$O$193,$B$2),sumifs(Sales_Data!$L$2:$L$193,Sales_Data!$I$2:$I$193,$A15,Sales_Data!$J$2:$J$193,$B$3,Sales_Data!$O$2:$O$193,$B$2))</f>
        <v>0</v>
      </c>
      <c r="E15" s="17">
        <f>if($B$3="Overall",sumifs(Sales_Data!$S$2:$S$193,Sales_Data!$I$2:$I$193,$A15,Sales_Data!$O$2:$O$193,$B$2),sumifs(Sales_Data!$S$2:$S$193,Sales_Data!$I$2:$I$193,$A15,Sales_Data!$J$2:$J$193,$B$3,Sales_Data!$O$2:$O$193,$B$2))</f>
        <v>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7" t="s">
        <v>22</v>
      </c>
      <c r="B16" s="17">
        <f>if($B$3="Overall",sumifs(Sales_Data!$K$2:$K$193,Sales_Data!$I$2:$I$193,$A16,Sales_Data!$O$2:$O$193,$B$2),sumifs(Sales_Data!$K$2:$K$193,Sales_Data!$I$2:$I$193,$A16,Sales_Data!$J$2:$J$193,$B$3,Sales_Data!$O$2:$O$193,$B$2))</f>
        <v>0</v>
      </c>
      <c r="C16" s="17">
        <f>if($B$3="Overall",sumifs(Sales_Data!$R$2:$R$193,Sales_Data!$I$2:$I$193,$A16,Sales_Data!$O$2:$O$193,$B$2), sumifs(Sales_Data!$R$2:$R$193,Sales_Data!$I$2:$I$193,$A16,Sales_Data!$J$2:$J$193,$B$3,Sales_Data!$O$2:$O$193,$B$2))</f>
        <v>0</v>
      </c>
      <c r="D16" s="17">
        <f>if($B$3="Overall",sumifs(Sales_Data!$L$2:$L$193,Sales_Data!$I$2:$I$193,$A16,Sales_Data!$O$2:$O$193,$B$2),sumifs(Sales_Data!$L$2:$L$193,Sales_Data!$I$2:$I$193,$A16,Sales_Data!$J$2:$J$193,$B$3,Sales_Data!$O$2:$O$193,$B$2))</f>
        <v>0</v>
      </c>
      <c r="E16" s="17">
        <f>if($B$3="Overall",sumifs(Sales_Data!$S$2:$S$193,Sales_Data!$I$2:$I$193,$A16,Sales_Data!$O$2:$O$193,$B$2),sumifs(Sales_Data!$S$2:$S$193,Sales_Data!$I$2:$I$193,$A16,Sales_Data!$J$2:$J$193,$B$3,Sales_Data!$O$2:$O$193,$B$2))</f>
        <v>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7" t="s">
        <v>23</v>
      </c>
      <c r="B17" s="17">
        <f>if($B$3="Overall",sumifs(Sales_Data!$K$2:$K$193,Sales_Data!$I$2:$I$193,$A17,Sales_Data!$O$2:$O$193,$B$2),sumifs(Sales_Data!$K$2:$K$193,Sales_Data!$I$2:$I$193,$A17,Sales_Data!$J$2:$J$193,$B$3,Sales_Data!$O$2:$O$193,$B$2))</f>
        <v>0</v>
      </c>
      <c r="C17" s="17">
        <f>if($B$3="Overall",sumifs(Sales_Data!$R$2:$R$193,Sales_Data!$I$2:$I$193,$A17,Sales_Data!$O$2:$O$193,$B$2), sumifs(Sales_Data!$R$2:$R$193,Sales_Data!$I$2:$I$193,$A17,Sales_Data!$J$2:$J$193,$B$3,Sales_Data!$O$2:$O$193,$B$2))</f>
        <v>0</v>
      </c>
      <c r="D17" s="17">
        <f>if($B$3="Overall",sumifs(Sales_Data!$L$2:$L$193,Sales_Data!$I$2:$I$193,$A17,Sales_Data!$O$2:$O$193,$B$2),sumifs(Sales_Data!$L$2:$L$193,Sales_Data!$I$2:$I$193,$A17,Sales_Data!$J$2:$J$193,$B$3,Sales_Data!$O$2:$O$193,$B$2))</f>
        <v>0</v>
      </c>
      <c r="E17" s="17">
        <f>if($B$3="Overall",sumifs(Sales_Data!$S$2:$S$193,Sales_Data!$I$2:$I$193,$A17,Sales_Data!$O$2:$O$193,$B$2),sumifs(Sales_Data!$S$2:$S$193,Sales_Data!$I$2:$I$193,$A17,Sales_Data!$J$2:$J$193,$B$3,Sales_Data!$O$2:$O$193,$B$2))</f>
        <v>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7" t="s">
        <v>24</v>
      </c>
      <c r="B18" s="17">
        <f>if($B$3="Overall",sumifs(Sales_Data!$K$2:$K$193,Sales_Data!$I$2:$I$193,$A18,Sales_Data!$O$2:$O$193,$B$2),sumifs(Sales_Data!$K$2:$K$193,Sales_Data!$I$2:$I$193,$A18,Sales_Data!$J$2:$J$193,$B$3,Sales_Data!$O$2:$O$193,$B$2))</f>
        <v>226447</v>
      </c>
      <c r="C18" s="17">
        <f>if($B$3="Overall",sumifs(Sales_Data!$R$2:$R$193,Sales_Data!$I$2:$I$193,$A18,Sales_Data!$O$2:$O$193,$B$2), sumifs(Sales_Data!$R$2:$R$193,Sales_Data!$I$2:$I$193,$A18,Sales_Data!$J$2:$J$193,$B$3,Sales_Data!$O$2:$O$193,$B$2))</f>
        <v>21055098.75</v>
      </c>
      <c r="D18" s="17">
        <f>if($B$3="Overall",sumifs(Sales_Data!$L$2:$L$193,Sales_Data!$I$2:$I$193,$A18,Sales_Data!$O$2:$O$193,$B$2),sumifs(Sales_Data!$L$2:$L$193,Sales_Data!$I$2:$I$193,$A18,Sales_Data!$J$2:$J$193,$B$3,Sales_Data!$O$2:$O$193,$B$2))</f>
        <v>237572</v>
      </c>
      <c r="E18" s="17">
        <f>if($B$3="Overall",sumifs(Sales_Data!$S$2:$S$193,Sales_Data!$I$2:$I$193,$A18,Sales_Data!$O$2:$O$193,$B$2),sumifs(Sales_Data!$S$2:$S$193,Sales_Data!$I$2:$I$193,$A18,Sales_Data!$J$2:$J$193,$B$3,Sales_Data!$O$2:$O$193,$B$2))</f>
        <v>25167270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7" t="s">
        <v>27</v>
      </c>
      <c r="B19" s="17">
        <f>if($B$3="Overall",sumifs(Sales_Data!$K$2:$K$193,Sales_Data!$I$2:$I$193,$A19,Sales_Data!$O$2:$O$193,$B$2),sumifs(Sales_Data!$K$2:$K$193,Sales_Data!$I$2:$I$193,$A19,Sales_Data!$J$2:$J$193,$B$3,Sales_Data!$O$2:$O$193,$B$2))</f>
        <v>0</v>
      </c>
      <c r="C19" s="17">
        <f>if($B$3="Overall",sumifs(Sales_Data!$R$2:$R$193,Sales_Data!$I$2:$I$193,$A19,Sales_Data!$O$2:$O$193,$B$2), sumifs(Sales_Data!$R$2:$R$193,Sales_Data!$I$2:$I$193,$A19,Sales_Data!$J$2:$J$193,$B$3,Sales_Data!$O$2:$O$193,$B$2))</f>
        <v>0</v>
      </c>
      <c r="D19" s="17">
        <f>if($B$3="Overall",sumifs(Sales_Data!$L$2:$L$193,Sales_Data!$I$2:$I$193,$A19,Sales_Data!$O$2:$O$193,$B$2),sumifs(Sales_Data!$L$2:$L$193,Sales_Data!$I$2:$I$193,$A19,Sales_Data!$J$2:$J$193,$B$3,Sales_Data!$O$2:$O$193,$B$2))</f>
        <v>0</v>
      </c>
      <c r="E19" s="17">
        <f>if($B$3="Overall",sumifs(Sales_Data!$S$2:$S$193,Sales_Data!$I$2:$I$193,$A19,Sales_Data!$O$2:$O$193,$B$2),sumifs(Sales_Data!$S$2:$S$193,Sales_Data!$I$2:$I$193,$A19,Sales_Data!$J$2:$J$193,$B$3,Sales_Data!$O$2:$O$193,$B$2))</f>
        <v>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7" t="s">
        <v>26</v>
      </c>
      <c r="B20" s="17">
        <f>if($B$3="Overall",sumifs(Sales_Data!$K$2:$K$193,Sales_Data!$I$2:$I$193,$A20,Sales_Data!$O$2:$O$193,$B$2),sumifs(Sales_Data!$K$2:$K$193,Sales_Data!$I$2:$I$193,$A20,Sales_Data!$J$2:$J$193,$B$3,Sales_Data!$O$2:$O$193,$B$2))</f>
        <v>0</v>
      </c>
      <c r="C20" s="17">
        <f>if($B$3="Overall",sumifs(Sales_Data!$R$2:$R$193,Sales_Data!$I$2:$I$193,$A20,Sales_Data!$O$2:$O$193,$B$2), sumifs(Sales_Data!$R$2:$R$193,Sales_Data!$I$2:$I$193,$A20,Sales_Data!$J$2:$J$193,$B$3,Sales_Data!$O$2:$O$193,$B$2))</f>
        <v>0</v>
      </c>
      <c r="D20" s="17">
        <f>if($B$3="Overall",sumifs(Sales_Data!$L$2:$L$193,Sales_Data!$I$2:$I$193,$A20,Sales_Data!$O$2:$O$193,$B$2),sumifs(Sales_Data!$L$2:$L$193,Sales_Data!$I$2:$I$193,$A20,Sales_Data!$J$2:$J$193,$B$3,Sales_Data!$O$2:$O$193,$B$2))</f>
        <v>0</v>
      </c>
      <c r="E20" s="17">
        <f>if($B$3="Overall",sumifs(Sales_Data!$S$2:$S$193,Sales_Data!$I$2:$I$193,$A20,Sales_Data!$O$2:$O$193,$B$2),sumifs(Sales_Data!$S$2:$S$193,Sales_Data!$I$2:$I$193,$A20,Sales_Data!$J$2:$J$193,$B$3,Sales_Data!$O$2:$O$193,$B$2))</f>
        <v>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7" t="s">
        <v>25</v>
      </c>
      <c r="B21" s="17">
        <f>if($B$3="Overall",sumifs(Sales_Data!$K$2:$K$193,Sales_Data!$I$2:$I$193,$A21,Sales_Data!$O$2:$O$193,$B$2),sumifs(Sales_Data!$K$2:$K$193,Sales_Data!$I$2:$I$193,$A21,Sales_Data!$J$2:$J$193,$B$3,Sales_Data!$O$2:$O$193,$B$2))</f>
        <v>0</v>
      </c>
      <c r="C21" s="17">
        <f>if($B$3="Overall",sumifs(Sales_Data!$R$2:$R$193,Sales_Data!$I$2:$I$193,$A21,Sales_Data!$O$2:$O$193,$B$2), sumifs(Sales_Data!$R$2:$R$193,Sales_Data!$I$2:$I$193,$A21,Sales_Data!$J$2:$J$193,$B$3,Sales_Data!$O$2:$O$193,$B$2))</f>
        <v>0</v>
      </c>
      <c r="D21" s="17">
        <f>if($B$3="Overall",sumifs(Sales_Data!$L$2:$L$193,Sales_Data!$I$2:$I$193,$A21,Sales_Data!$O$2:$O$193,$B$2),sumifs(Sales_Data!$L$2:$L$193,Sales_Data!$I$2:$I$193,$A21,Sales_Data!$J$2:$J$193,$B$3,Sales_Data!$O$2:$O$193,$B$2))</f>
        <v>0</v>
      </c>
      <c r="E21" s="17">
        <f>if($B$3="Overall",sumifs(Sales_Data!$S$2:$S$193,Sales_Data!$I$2:$I$193,$A21,Sales_Data!$O$2:$O$193,$B$2),sumifs(Sales_Data!$S$2:$S$193,Sales_Data!$I$2:$I$193,$A21,Sales_Data!$J$2:$J$193,$B$3,Sales_Data!$O$2:$O$193,$B$2))</f>
        <v>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6" t="s">
        <v>263</v>
      </c>
      <c r="B22" s="17">
        <f t="shared" ref="B22:E22" si="1">sum(B6:B21)</f>
        <v>1260042</v>
      </c>
      <c r="C22" s="17">
        <f t="shared" si="1"/>
        <v>120822671.3</v>
      </c>
      <c r="D22" s="17">
        <f t="shared" si="1"/>
        <v>1461780</v>
      </c>
      <c r="E22" s="17">
        <f t="shared" si="1"/>
        <v>146786925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6">
    <mergeCell ref="A1:E1"/>
    <mergeCell ref="B2:E2"/>
    <mergeCell ref="B3:E3"/>
    <mergeCell ref="A4:A5"/>
    <mergeCell ref="B4:C4"/>
    <mergeCell ref="D4:E4"/>
  </mergeCells>
  <dataValidations>
    <dataValidation type="list" allowBlank="1" showErrorMessage="1" sqref="B3">
      <formula1>"ZestVita,NutriKid,Overall"</formula1>
    </dataValidation>
    <dataValidation type="list" allowBlank="1" showErrorMessage="1" sqref="B2">
      <formula1>"East,West,North,South"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9.5"/>
    <col customWidth="1" min="3" max="3" width="18.5"/>
    <col customWidth="1" min="4" max="4" width="18.75"/>
    <col customWidth="1" min="5" max="5" width="20.75"/>
    <col customWidth="1" min="6" max="6" width="14.75"/>
  </cols>
  <sheetData>
    <row r="1">
      <c r="A1" s="29" t="s">
        <v>264</v>
      </c>
      <c r="B1" s="23"/>
      <c r="C1" s="23"/>
      <c r="D1" s="23"/>
      <c r="E1" s="23"/>
      <c r="F1" s="2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3" t="s">
        <v>265</v>
      </c>
      <c r="B2" s="25" t="s">
        <v>21</v>
      </c>
      <c r="C2" s="23"/>
      <c r="D2" s="23"/>
      <c r="E2" s="23"/>
      <c r="F2" s="2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 t="s">
        <v>42</v>
      </c>
      <c r="B3" s="30" t="s">
        <v>257</v>
      </c>
      <c r="C3" s="23"/>
      <c r="D3" s="23"/>
      <c r="E3" s="23"/>
      <c r="F3" s="2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6" t="s">
        <v>33</v>
      </c>
      <c r="B4" s="27" t="s">
        <v>258</v>
      </c>
      <c r="C4" s="24"/>
      <c r="D4" s="27" t="s">
        <v>259</v>
      </c>
      <c r="E4" s="24"/>
      <c r="F4" s="31" t="s">
        <v>266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8"/>
      <c r="B5" s="32" t="s">
        <v>260</v>
      </c>
      <c r="C5" s="32" t="s">
        <v>261</v>
      </c>
      <c r="D5" s="32" t="s">
        <v>260</v>
      </c>
      <c r="E5" s="32" t="s">
        <v>261</v>
      </c>
      <c r="F5" s="28"/>
      <c r="G5" s="15"/>
      <c r="H5" s="33"/>
      <c r="I5" s="3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 t="str">
        <f t="array" ref="A6:A11">UNIQUE(Sales_Data!H2:H193)</f>
        <v>January</v>
      </c>
      <c r="B6" s="17">
        <f>if($B$3="Overall",sumifs(Sales_Data!$K$2:$K$193,Sales_Data!$H$2:$H$193,$A6,Sales_Data!$I$2:$I$193,$B$2),sumifs(Sales_Data!$K$2:$K$193,Sales_Data!$H$2:$H$193,$A6,Sales_Data!$J$2:$J$193,$B$3,Sales_Data!$I$2:$I$193,$B$2))</f>
        <v>41143</v>
      </c>
      <c r="C6" s="17">
        <f>if($B$3="Overall",sumifs(Sales_Data!$R$2:$R$193,Sales_Data!$H$2:$H$193,$A6,Sales_Data!$I$2:$I$193,$B$2),sumifs(Sales_Data!$R$2:$R$193,Sales_Data!$H$2:$H$193,$A6,Sales_Data!$I$2:$I$193,$B$2,Sales_Data!$J$2:$J$193,$B$3))</f>
        <v>4144427.25</v>
      </c>
      <c r="D6" s="17">
        <f>if($B$3="Overall",sumifs(Sales_Data!$L$2:$L$193,Sales_Data!$H$2:$H$193,$A6,Sales_Data!$I$2:$I$193,$B$2),sumifs(Sales_Data!$L$2:$L$193,Sales_Data!$H$2:$H$193,$A6,Sales_Data!$I$2:$I$193,$B$2,Sales_Data!$J$2:$J$193,$B$3))</f>
        <v>43481</v>
      </c>
      <c r="E6" s="17">
        <f>if($B$3="Overall",sumifs(Sales_Data!$S$2:$S$193,Sales_Data!$H$2:$H$193,$A6,Sales_Data!$I$2:$I$193,$B$2),sumifs(Sales_Data!$S$2:$S$193,Sales_Data!$H$2:$H$193,$A6,Sales_Data!$I$2:$I$193,$B$2,Sales_Data!$J$2:$J$193,$B$3))</f>
        <v>4654335</v>
      </c>
      <c r="F6" s="17">
        <f t="shared" ref="F6:F11" si="1">D6-B6</f>
        <v>2338</v>
      </c>
      <c r="G6" s="15"/>
      <c r="H6" s="33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7" t="s">
        <v>267</v>
      </c>
      <c r="B7" s="17">
        <f>if($B$3="Overall",sumifs(Sales_Data!$K$2:$K$193,Sales_Data!$H$2:$H$193,$A7,Sales_Data!$I$2:$I$193,$B$2),sumifs(Sales_Data!$K$2:$K$193,Sales_Data!$H$2:$H$193,$A7,Sales_Data!$J$2:$J$193,$B$3,Sales_Data!$I$2:$I$193,$B$2))</f>
        <v>42789</v>
      </c>
      <c r="C7" s="17">
        <f>if($B$3="Overall",sumifs(Sales_Data!$R$2:$R$193,Sales_Data!$H$2:$H$193,$A7,Sales_Data!$I$2:$I$193,$B$2),sumifs(Sales_Data!$R$2:$R$193,Sales_Data!$H$2:$H$193,$A7,Sales_Data!$I$2:$I$193,$B$2,Sales_Data!$J$2:$J$193,$B$3))</f>
        <v>4310211.75</v>
      </c>
      <c r="D7" s="17">
        <f>if($B$3="Overall",sumifs(Sales_Data!$L$2:$L$193,Sales_Data!$H$2:$H$193,$A7,Sales_Data!$I$2:$I$193,$B$2),sumifs(Sales_Data!$L$2:$L$193,Sales_Data!$H$2:$H$193,$A7,Sales_Data!$I$2:$I$193,$B$2,Sales_Data!$J$2:$J$193,$B$3))</f>
        <v>44861</v>
      </c>
      <c r="E7" s="17">
        <f>if($B$3="Overall",sumifs(Sales_Data!$S$2:$S$193,Sales_Data!$H$2:$H$193,$A7,Sales_Data!$I$2:$I$193,$B$2),sumifs(Sales_Data!$S$2:$S$193,Sales_Data!$H$2:$H$193,$A7,Sales_Data!$I$2:$I$193,$B$2,Sales_Data!$J$2:$J$193,$B$3))</f>
        <v>4779585</v>
      </c>
      <c r="F7" s="17">
        <f t="shared" si="1"/>
        <v>2072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7" t="s">
        <v>268</v>
      </c>
      <c r="B8" s="17">
        <f>if($B$3="Overall",sumifs(Sales_Data!$K$2:$K$193,Sales_Data!$H$2:$H$193,$A8,Sales_Data!$I$2:$I$193,$B$2),sumifs(Sales_Data!$K$2:$K$193,Sales_Data!$H$2:$H$193,$A8,Sales_Data!$J$2:$J$193,$B$3,Sales_Data!$I$2:$I$193,$B$2))</f>
        <v>46212</v>
      </c>
      <c r="C8" s="17">
        <f>if($B$3="Overall",sumifs(Sales_Data!$R$2:$R$193,Sales_Data!$H$2:$H$193,$A8,Sales_Data!$I$2:$I$193,$B$2),sumifs(Sales_Data!$R$2:$R$193,Sales_Data!$H$2:$H$193,$A8,Sales_Data!$I$2:$I$193,$B$2,Sales_Data!$J$2:$J$193,$B$3))</f>
        <v>4655019</v>
      </c>
      <c r="D8" s="17">
        <f>if($B$3="Overall",sumifs(Sales_Data!$L$2:$L$193,Sales_Data!$H$2:$H$193,$A8,Sales_Data!$I$2:$I$193,$B$2),sumifs(Sales_Data!$L$2:$L$193,Sales_Data!$H$2:$H$193,$A8,Sales_Data!$I$2:$I$193,$B$2,Sales_Data!$J$2:$J$193,$B$3))</f>
        <v>49268</v>
      </c>
      <c r="E8" s="17">
        <f>if($B$3="Overall",sumifs(Sales_Data!$S$2:$S$193,Sales_Data!$H$2:$H$193,$A8,Sales_Data!$I$2:$I$193,$B$2),sumifs(Sales_Data!$S$2:$S$193,Sales_Data!$H$2:$H$193,$A8,Sales_Data!$I$2:$I$193,$B$2,Sales_Data!$J$2:$J$193,$B$3))</f>
        <v>5232255</v>
      </c>
      <c r="F8" s="17">
        <f t="shared" si="1"/>
        <v>3056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7" t="s">
        <v>269</v>
      </c>
      <c r="B9" s="17">
        <f>if($B$3="Overall",sumifs(Sales_Data!$K$2:$K$193,Sales_Data!$H$2:$H$193,$A9,Sales_Data!$I$2:$I$193,$B$2),sumifs(Sales_Data!$K$2:$K$193,Sales_Data!$H$2:$H$193,$A9,Sales_Data!$J$2:$J$193,$B$3,Sales_Data!$I$2:$I$193,$B$2))</f>
        <v>48879</v>
      </c>
      <c r="C9" s="17">
        <f>if($B$3="Overall",sumifs(Sales_Data!$R$2:$R$193,Sales_Data!$H$2:$H$193,$A9,Sales_Data!$I$2:$I$193,$B$2),sumifs(Sales_Data!$R$2:$R$193,Sales_Data!$H$2:$H$193,$A9,Sales_Data!$I$2:$I$193,$B$2,Sales_Data!$J$2:$J$193,$B$3))</f>
        <v>4908070.5</v>
      </c>
      <c r="D9" s="17">
        <f>if($B$3="Overall",sumifs(Sales_Data!$L$2:$L$193,Sales_Data!$H$2:$H$193,$A9,Sales_Data!$I$2:$I$193,$B$2),sumifs(Sales_Data!$L$2:$L$193,Sales_Data!$H$2:$H$193,$A9,Sales_Data!$I$2:$I$193,$B$2,Sales_Data!$J$2:$J$193,$B$3))</f>
        <v>50430</v>
      </c>
      <c r="E9" s="17">
        <f>if($B$3="Overall",sumifs(Sales_Data!$S$2:$S$193,Sales_Data!$H$2:$H$193,$A9,Sales_Data!$I$2:$I$193,$B$2),sumifs(Sales_Data!$S$2:$S$193,Sales_Data!$H$2:$H$193,$A9,Sales_Data!$I$2:$I$193,$B$2,Sales_Data!$J$2:$J$193,$B$3))</f>
        <v>5304150</v>
      </c>
      <c r="F9" s="17">
        <f t="shared" si="1"/>
        <v>1551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7" t="s">
        <v>270</v>
      </c>
      <c r="B10" s="17">
        <f>if($B$3="Overall",sumifs(Sales_Data!$K$2:$K$193,Sales_Data!$H$2:$H$193,$A10,Sales_Data!$I$2:$I$193,$B$2),sumifs(Sales_Data!$K$2:$K$193,Sales_Data!$H$2:$H$193,$A10,Sales_Data!$J$2:$J$193,$B$3,Sales_Data!$I$2:$I$193,$B$2))</f>
        <v>51003</v>
      </c>
      <c r="C10" s="17">
        <f>if($B$3="Overall",sumifs(Sales_Data!$R$2:$R$193,Sales_Data!$H$2:$H$193,$A10,Sales_Data!$I$2:$I$193,$B$2),sumifs(Sales_Data!$R$2:$R$193,Sales_Data!$H$2:$H$193,$A10,Sales_Data!$I$2:$I$193,$B$2,Sales_Data!$J$2:$J$193,$B$3))</f>
        <v>5071603.5</v>
      </c>
      <c r="D10" s="17">
        <f>if($B$3="Overall",sumifs(Sales_Data!$L$2:$L$193,Sales_Data!$H$2:$H$193,$A10,Sales_Data!$I$2:$I$193,$B$2),sumifs(Sales_Data!$L$2:$L$193,Sales_Data!$H$2:$H$193,$A10,Sales_Data!$I$2:$I$193,$B$2,Sales_Data!$J$2:$J$193,$B$3))</f>
        <v>54258</v>
      </c>
      <c r="E10" s="17">
        <f>if($B$3="Overall",sumifs(Sales_Data!$S$2:$S$193,Sales_Data!$H$2:$H$193,$A10,Sales_Data!$I$2:$I$193,$B$2),sumifs(Sales_Data!$S$2:$S$193,Sales_Data!$H$2:$H$193,$A10,Sales_Data!$I$2:$I$193,$B$2,Sales_Data!$J$2:$J$193,$B$3))</f>
        <v>5716080</v>
      </c>
      <c r="F10" s="17">
        <f t="shared" si="1"/>
        <v>3255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7" t="s">
        <v>271</v>
      </c>
      <c r="B11" s="17">
        <f>if($B$3="Overall",sumifs(Sales_Data!$K$2:$K$193,Sales_Data!$H$2:$H$193,$A11,Sales_Data!$I$2:$I$193,$B$2),sumifs(Sales_Data!$K$2:$K$193,Sales_Data!$H$2:$H$193,$A11,Sales_Data!$J$2:$J$193,$B$3,Sales_Data!$I$2:$I$193,$B$2))</f>
        <v>53261</v>
      </c>
      <c r="C11" s="17">
        <f>if($B$3="Overall",sumifs(Sales_Data!$R$2:$R$193,Sales_Data!$H$2:$H$193,$A11,Sales_Data!$I$2:$I$193,$B$2),sumifs(Sales_Data!$R$2:$R$193,Sales_Data!$H$2:$H$193,$A11,Sales_Data!$I$2:$I$193,$B$2,Sales_Data!$J$2:$J$193,$B$3))</f>
        <v>5243629.5</v>
      </c>
      <c r="D11" s="17">
        <f>if($B$3="Overall",sumifs(Sales_Data!$L$2:$L$193,Sales_Data!$H$2:$H$193,$A11,Sales_Data!$I$2:$I$193,$B$2),sumifs(Sales_Data!$L$2:$L$193,Sales_Data!$H$2:$H$193,$A11,Sales_Data!$I$2:$I$193,$B$2,Sales_Data!$J$2:$J$193,$B$3))</f>
        <v>55924</v>
      </c>
      <c r="E11" s="17">
        <f>if($B$3="Overall",sumifs(Sales_Data!$S$2:$S$193,Sales_Data!$H$2:$H$193,$A11,Sales_Data!$I$2:$I$193,$B$2),sumifs(Sales_Data!$S$2:$S$193,Sales_Data!$H$2:$H$193,$A11,Sales_Data!$I$2:$I$193,$B$2,Sales_Data!$J$2:$J$193,$B$3))</f>
        <v>5795565</v>
      </c>
      <c r="F11" s="17">
        <f t="shared" si="1"/>
        <v>2663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7">
    <mergeCell ref="A1:F1"/>
    <mergeCell ref="B2:F2"/>
    <mergeCell ref="B3:F3"/>
    <mergeCell ref="A4:A5"/>
    <mergeCell ref="B4:C4"/>
    <mergeCell ref="D4:E4"/>
    <mergeCell ref="F4:F5"/>
  </mergeCells>
  <dataValidations>
    <dataValidation type="list" allowBlank="1" showErrorMessage="1" sqref="B3">
      <formula1>"ZestVita,NutriKid,Overall"</formula1>
    </dataValidation>
    <dataValidation type="list" allowBlank="1" showErrorMessage="1" sqref="B2">
      <formula1>Sales_Data!$I$2:$I$193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9.63"/>
    <col customWidth="1" min="3" max="3" width="16.88"/>
    <col customWidth="1" min="4" max="4" width="21.13"/>
  </cols>
  <sheetData>
    <row r="1">
      <c r="A1" s="35"/>
      <c r="B1" s="36"/>
      <c r="C1" s="37" t="s">
        <v>272</v>
      </c>
      <c r="D1" s="37" t="s">
        <v>273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274</v>
      </c>
      <c r="B2" s="35" t="s">
        <v>275</v>
      </c>
      <c r="C2" s="35">
        <v>300.0</v>
      </c>
      <c r="D2" s="35">
        <v>135.0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6"/>
      <c r="B3" s="35" t="s">
        <v>276</v>
      </c>
      <c r="C3" s="35">
        <v>200.0</v>
      </c>
      <c r="D3" s="35">
        <v>60.0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7" t="s">
        <v>277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7" t="s">
        <v>278</v>
      </c>
      <c r="B6" s="37" t="s">
        <v>279</v>
      </c>
      <c r="C6" s="37" t="s">
        <v>280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5" t="s">
        <v>281</v>
      </c>
      <c r="B7" s="38">
        <v>0.35</v>
      </c>
      <c r="C7" s="38">
        <v>0.42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9" t="s">
        <v>282</v>
      </c>
      <c r="B8" s="38">
        <v>0.35</v>
      </c>
      <c r="C8" s="40" t="s">
        <v>283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9" t="s">
        <v>284</v>
      </c>
      <c r="B9" s="38">
        <v>0.1</v>
      </c>
      <c r="C9" s="40" t="s">
        <v>283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9" t="s">
        <v>285</v>
      </c>
      <c r="B10" s="38">
        <v>0.1</v>
      </c>
      <c r="C10" s="40" t="s">
        <v>283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9" t="s">
        <v>286</v>
      </c>
      <c r="B11" s="38">
        <v>0.05</v>
      </c>
      <c r="C11" s="38">
        <v>0.06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9" t="s">
        <v>287</v>
      </c>
      <c r="B12" s="38">
        <v>0.02</v>
      </c>
      <c r="C12" s="40" t="s">
        <v>283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9" t="s">
        <v>288</v>
      </c>
      <c r="B13" s="38">
        <v>0.03</v>
      </c>
      <c r="C13" s="38">
        <v>0.03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9" t="s">
        <v>289</v>
      </c>
      <c r="B14" s="40" t="s">
        <v>283</v>
      </c>
      <c r="C14" s="38">
        <v>0.2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9" t="s">
        <v>290</v>
      </c>
      <c r="B15" s="40" t="s">
        <v>283</v>
      </c>
      <c r="C15" s="38">
        <v>0.15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9" t="s">
        <v>291</v>
      </c>
      <c r="B16" s="40" t="s">
        <v>283</v>
      </c>
      <c r="C16" s="38">
        <v>0.07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9" t="s">
        <v>292</v>
      </c>
      <c r="B17" s="40" t="s">
        <v>283</v>
      </c>
      <c r="C17" s="38">
        <v>0.07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41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7" t="s">
        <v>293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7" t="s">
        <v>278</v>
      </c>
      <c r="B20" s="37" t="s">
        <v>294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5" t="s">
        <v>281</v>
      </c>
      <c r="B21" s="42">
        <v>8.0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5" t="s">
        <v>282</v>
      </c>
      <c r="B22" s="42">
        <v>50.0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5" t="s">
        <v>284</v>
      </c>
      <c r="B23" s="42">
        <v>400.0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5" t="s">
        <v>285</v>
      </c>
      <c r="B24" s="42">
        <v>300.0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5" t="s">
        <v>286</v>
      </c>
      <c r="B25" s="42">
        <v>90.0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5" t="s">
        <v>287</v>
      </c>
      <c r="B26" s="42">
        <v>1100.0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5" t="s">
        <v>288</v>
      </c>
      <c r="B27" s="42">
        <v>1200.0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5" t="s">
        <v>289</v>
      </c>
      <c r="B28" s="42">
        <v>80.0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5" t="s">
        <v>290</v>
      </c>
      <c r="B29" s="42">
        <v>40.0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5" t="s">
        <v>291</v>
      </c>
      <c r="B30" s="42">
        <v>29.0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5" t="s">
        <v>292</v>
      </c>
      <c r="B31" s="42">
        <v>25.0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5"/>
      <c r="B33" s="37" t="s">
        <v>258</v>
      </c>
      <c r="C33" s="37" t="s">
        <v>259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7" t="s">
        <v>295</v>
      </c>
      <c r="B34" s="35">
        <v>2.0</v>
      </c>
      <c r="C34" s="35">
        <v>5.0</v>
      </c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7" t="s">
        <v>296</v>
      </c>
      <c r="B35" s="35">
        <v>8.0</v>
      </c>
      <c r="C35" s="35">
        <v>11.0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7" t="s">
        <v>297</v>
      </c>
      <c r="B37" s="37" t="s">
        <v>258</v>
      </c>
      <c r="C37" s="37" t="s">
        <v>259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5" t="s">
        <v>298</v>
      </c>
      <c r="B38" s="42">
        <f>value(150000)</f>
        <v>150000</v>
      </c>
      <c r="C38" s="35" t="s">
        <v>283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5" t="s">
        <v>299</v>
      </c>
      <c r="B39" s="42">
        <v>75000.0</v>
      </c>
      <c r="C39" s="35" t="s">
        <v>283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5" t="s">
        <v>300</v>
      </c>
      <c r="B40" s="42">
        <v>85725.0</v>
      </c>
      <c r="C40" s="35" t="s">
        <v>301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5" t="s">
        <v>302</v>
      </c>
      <c r="B41" s="42">
        <v>1.0E7</v>
      </c>
      <c r="C41" s="35" t="s">
        <v>283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5" t="s">
        <v>303</v>
      </c>
      <c r="B42" s="42">
        <f>value(100000)</f>
        <v>100000</v>
      </c>
      <c r="C42" s="35" t="s">
        <v>283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5" t="s">
        <v>304</v>
      </c>
      <c r="B43" s="42">
        <f>value(1200000)</f>
        <v>1200000</v>
      </c>
      <c r="C43" s="35" t="s">
        <v>305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4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43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14.5"/>
  </cols>
  <sheetData>
    <row r="1">
      <c r="A1" s="44" t="s">
        <v>306</v>
      </c>
      <c r="B1" s="44" t="s">
        <v>307</v>
      </c>
      <c r="C1" s="45" t="s">
        <v>308</v>
      </c>
      <c r="D1" s="45" t="s">
        <v>267</v>
      </c>
      <c r="E1" s="45" t="s">
        <v>268</v>
      </c>
      <c r="F1" s="45" t="s">
        <v>269</v>
      </c>
      <c r="G1" s="45" t="s">
        <v>270</v>
      </c>
      <c r="H1" s="45" t="s">
        <v>271</v>
      </c>
      <c r="I1" s="46"/>
      <c r="J1" s="46"/>
      <c r="K1" s="46"/>
      <c r="L1" s="46"/>
      <c r="M1" s="46"/>
      <c r="N1" s="46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47" t="s">
        <v>258</v>
      </c>
      <c r="B2" s="43" t="str">
        <f>Assumption!B2</f>
        <v>ZestVita</v>
      </c>
      <c r="C2" s="34">
        <f>sumifs(Sales_Data!$K$2:$K$193,Sales_Data!$H$2:$H$193,C$1,Sales_Data!$J$2:$J$193,$B2)</f>
        <v>309397</v>
      </c>
      <c r="D2" s="34">
        <f>sumifs(Sales_Data!$K$2:$K$193,Sales_Data!$H$2:$H$193,D$1,Sales_Data!$J$2:$J$193,$B2)</f>
        <v>348728</v>
      </c>
      <c r="E2" s="34">
        <f>sumifs(Sales_Data!$K$2:$K$193,Sales_Data!$H$2:$H$193,E$1,Sales_Data!$J$2:$J$193,$B2)</f>
        <v>393862</v>
      </c>
      <c r="F2" s="34">
        <f>sumifs(Sales_Data!$K$2:$K$193,Sales_Data!$H$2:$H$193,F$1,Sales_Data!$J$2:$J$193,$B2)</f>
        <v>442908</v>
      </c>
      <c r="G2" s="34">
        <f>sumifs(Sales_Data!$K$2:$K$193,Sales_Data!$H$2:$H$193,G$1,Sales_Data!$J$2:$J$193,$B2)</f>
        <v>500422</v>
      </c>
      <c r="H2" s="34">
        <f>sumifs(Sales_Data!$K$2:$K$193,Sales_Data!$H$2:$H$193,H$1,Sales_Data!$J$2:$J$193,$B2)</f>
        <v>565628</v>
      </c>
      <c r="I2" s="48"/>
      <c r="J2" s="48"/>
      <c r="K2" s="48"/>
      <c r="L2" s="48"/>
      <c r="M2" s="48"/>
      <c r="N2" s="48"/>
      <c r="O2" s="49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43"/>
      <c r="B3" s="43" t="str">
        <f>Assumption!B3</f>
        <v>NutriKid</v>
      </c>
      <c r="C3" s="34">
        <f>sumifs(Sales_Data!$K$2:$K$193,Sales_Data!$H$2:$H$193,C$1,Sales_Data!$J$2:$J$193,$B3)</f>
        <v>273222</v>
      </c>
      <c r="D3" s="34">
        <f>sumifs(Sales_Data!$K$2:$K$193,Sales_Data!$H$2:$H$193,D$1,Sales_Data!$J$2:$J$193,$B3)</f>
        <v>307880</v>
      </c>
      <c r="E3" s="34">
        <f>sumifs(Sales_Data!$K$2:$K$193,Sales_Data!$H$2:$H$193,E$1,Sales_Data!$J$2:$J$193,$B3)</f>
        <v>348993</v>
      </c>
      <c r="F3" s="34">
        <f>sumifs(Sales_Data!$K$2:$K$193,Sales_Data!$H$2:$H$193,F$1,Sales_Data!$J$2:$J$193,$B3)</f>
        <v>397553</v>
      </c>
      <c r="G3" s="34">
        <f>sumifs(Sales_Data!$K$2:$K$193,Sales_Data!$H$2:$H$193,G$1,Sales_Data!$J$2:$J$193,$B3)</f>
        <v>453944</v>
      </c>
      <c r="H3" s="34">
        <f>sumifs(Sales_Data!$K$2:$K$193,Sales_Data!$H$2:$H$193,H$1,Sales_Data!$J$2:$J$193,$B3)</f>
        <v>518336</v>
      </c>
      <c r="I3" s="50"/>
      <c r="J3" s="50"/>
      <c r="K3" s="50"/>
      <c r="L3" s="50"/>
      <c r="M3" s="50"/>
      <c r="N3" s="50"/>
      <c r="O3" s="43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43"/>
      <c r="B4" s="43"/>
      <c r="C4" s="43"/>
      <c r="D4" s="43"/>
      <c r="E4" s="43"/>
      <c r="F4" s="43"/>
      <c r="G4" s="43"/>
      <c r="H4" s="43"/>
      <c r="I4" s="50"/>
      <c r="J4" s="50"/>
      <c r="K4" s="50"/>
      <c r="L4" s="50"/>
      <c r="M4" s="50"/>
      <c r="N4" s="50"/>
      <c r="O4" s="43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44" t="s">
        <v>306</v>
      </c>
      <c r="B5" s="44" t="s">
        <v>307</v>
      </c>
      <c r="C5" s="45" t="s">
        <v>308</v>
      </c>
      <c r="D5" s="45" t="s">
        <v>267</v>
      </c>
      <c r="E5" s="45" t="s">
        <v>268</v>
      </c>
      <c r="F5" s="45" t="s">
        <v>269</v>
      </c>
      <c r="G5" s="45" t="s">
        <v>270</v>
      </c>
      <c r="H5" s="45" t="s">
        <v>271</v>
      </c>
      <c r="I5" s="46"/>
      <c r="J5" s="46"/>
      <c r="K5" s="46"/>
      <c r="L5" s="46"/>
      <c r="M5" s="46"/>
      <c r="N5" s="46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47" t="s">
        <v>309</v>
      </c>
      <c r="B6" s="43" t="s">
        <v>275</v>
      </c>
      <c r="C6" s="15">
        <f>sumifs(Sales_Data!$L$2:$L$193,Sales_Data!$H$2:$H$193,C$5,Sales_Data!$J$2:$J$193,$B6)</f>
        <v>350453</v>
      </c>
      <c r="D6" s="15">
        <f>sumifs(Sales_Data!$L$2:$L$193,Sales_Data!$H$2:$H$193,D$5,Sales_Data!$J$2:$J$193,$B6)</f>
        <v>393986</v>
      </c>
      <c r="E6" s="15">
        <f>sumifs(Sales_Data!$L$2:$L$193,Sales_Data!$H$2:$H$193,E$5,Sales_Data!$J$2:$J$193,$B6)</f>
        <v>455401</v>
      </c>
      <c r="F6" s="15">
        <f>sumifs(Sales_Data!$L$2:$L$193,Sales_Data!$H$2:$H$193,F$5,Sales_Data!$J$2:$J$193,$B6)</f>
        <v>510037</v>
      </c>
      <c r="G6" s="15">
        <f>sumifs(Sales_Data!$L$2:$L$193,Sales_Data!$H$2:$H$193,G$5,Sales_Data!$J$2:$J$193,$B6)</f>
        <v>575847</v>
      </c>
      <c r="H6" s="15">
        <f>sumifs(Sales_Data!$L$2:$L$193,Sales_Data!$H$2:$H$193,H$5,Sales_Data!$J$2:$J$193,$B6)</f>
        <v>655279</v>
      </c>
      <c r="I6" s="51"/>
      <c r="J6" s="51"/>
      <c r="K6" s="51"/>
      <c r="L6" s="51"/>
      <c r="M6" s="51"/>
      <c r="N6" s="51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5"/>
      <c r="B7" s="15" t="s">
        <v>276</v>
      </c>
      <c r="C7" s="15">
        <f>sumifs(Sales_Data!$L$2:$L$193,Sales_Data!$H$2:$H$193,C$5,Sales_Data!$J$2:$J$193,$B7)</f>
        <v>315855</v>
      </c>
      <c r="D7" s="15">
        <f>sumifs(Sales_Data!$L$2:$L$193,Sales_Data!$H$2:$H$193,D$5,Sales_Data!$J$2:$J$193,$B7)</f>
        <v>352265</v>
      </c>
      <c r="E7" s="15">
        <f>sumifs(Sales_Data!$L$2:$L$193,Sales_Data!$H$2:$H$193,E$5,Sales_Data!$J$2:$J$193,$B7)</f>
        <v>401237</v>
      </c>
      <c r="F7" s="15">
        <f>sumifs(Sales_Data!$L$2:$L$193,Sales_Data!$H$2:$H$193,F$5,Sales_Data!$J$2:$J$193,$B7)</f>
        <v>462085</v>
      </c>
      <c r="G7" s="15">
        <f>sumifs(Sales_Data!$L$2:$L$193,Sales_Data!$H$2:$H$193,G$5,Sales_Data!$J$2:$J$193,$B7)</f>
        <v>519273</v>
      </c>
      <c r="H7" s="15">
        <f>sumifs(Sales_Data!$L$2:$L$193,Sales_Data!$H$2:$H$193,H$5,Sales_Data!$J$2:$J$193,$B7)</f>
        <v>597654</v>
      </c>
      <c r="I7" s="51"/>
      <c r="J7" s="51"/>
      <c r="K7" s="51"/>
      <c r="L7" s="51"/>
      <c r="M7" s="51"/>
      <c r="N7" s="51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15"/>
      <c r="E8" s="15"/>
      <c r="F8" s="15"/>
      <c r="G8" s="15"/>
      <c r="H8" s="15"/>
      <c r="I8" s="51"/>
      <c r="J8" s="51"/>
      <c r="K8" s="51"/>
      <c r="L8" s="51"/>
      <c r="M8" s="51"/>
      <c r="N8" s="51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45" t="s">
        <v>310</v>
      </c>
      <c r="B9" s="44" t="s">
        <v>307</v>
      </c>
      <c r="C9" s="45" t="s">
        <v>308</v>
      </c>
      <c r="D9" s="45" t="s">
        <v>267</v>
      </c>
      <c r="E9" s="45" t="s">
        <v>268</v>
      </c>
      <c r="F9" s="45" t="s">
        <v>269</v>
      </c>
      <c r="G9" s="45" t="s">
        <v>270</v>
      </c>
      <c r="H9" s="45" t="s">
        <v>271</v>
      </c>
      <c r="I9" s="46"/>
      <c r="J9" s="46"/>
      <c r="K9" s="46"/>
      <c r="L9" s="46"/>
      <c r="M9" s="46"/>
      <c r="N9" s="46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43" t="s">
        <v>258</v>
      </c>
      <c r="B10" s="52" t="s">
        <v>275</v>
      </c>
      <c r="C10" s="53">
        <f>Assumption!$D$2</f>
        <v>135</v>
      </c>
      <c r="D10" s="53">
        <f>Assumption!$D$2</f>
        <v>135</v>
      </c>
      <c r="E10" s="53">
        <f>Assumption!$D$2</f>
        <v>135</v>
      </c>
      <c r="F10" s="53">
        <f>Assumption!$D$2</f>
        <v>135</v>
      </c>
      <c r="G10" s="53">
        <f>Assumption!$D$2</f>
        <v>135</v>
      </c>
      <c r="H10" s="53">
        <f>Assumption!$D$2</f>
        <v>135</v>
      </c>
      <c r="I10" s="54"/>
      <c r="J10" s="54"/>
      <c r="K10" s="54"/>
      <c r="L10" s="54"/>
      <c r="M10" s="54"/>
      <c r="N10" s="5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52" t="s">
        <v>276</v>
      </c>
      <c r="C11" s="15">
        <f>Assumption!$D$3</f>
        <v>60</v>
      </c>
      <c r="D11" s="15">
        <f>Assumption!$D$3</f>
        <v>60</v>
      </c>
      <c r="E11" s="15">
        <f>Assumption!$D$3</f>
        <v>60</v>
      </c>
      <c r="F11" s="15">
        <f>Assumption!$D$3</f>
        <v>60</v>
      </c>
      <c r="G11" s="15">
        <f>Assumption!$D$3</f>
        <v>60</v>
      </c>
      <c r="H11" s="15">
        <f>Assumption!$D$3</f>
        <v>60</v>
      </c>
      <c r="I11" s="51"/>
      <c r="J11" s="51"/>
      <c r="K11" s="51"/>
      <c r="L11" s="51"/>
      <c r="M11" s="51"/>
      <c r="N11" s="51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46"/>
      <c r="B12" s="5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45" t="s">
        <v>310</v>
      </c>
      <c r="B13" s="44" t="s">
        <v>307</v>
      </c>
      <c r="C13" s="45" t="s">
        <v>308</v>
      </c>
      <c r="D13" s="45" t="s">
        <v>267</v>
      </c>
      <c r="E13" s="45" t="s">
        <v>268</v>
      </c>
      <c r="F13" s="45" t="s">
        <v>269</v>
      </c>
      <c r="G13" s="45" t="s">
        <v>270</v>
      </c>
      <c r="H13" s="45" t="s">
        <v>271</v>
      </c>
      <c r="I13" s="46"/>
      <c r="J13" s="46"/>
      <c r="K13" s="46"/>
      <c r="L13" s="46"/>
      <c r="M13" s="46"/>
      <c r="N13" s="4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43" t="s">
        <v>259</v>
      </c>
      <c r="B14" s="52" t="s">
        <v>275</v>
      </c>
      <c r="C14" s="53">
        <f>Assumption!$D$2</f>
        <v>135</v>
      </c>
      <c r="D14" s="53">
        <f>Assumption!$D$2</f>
        <v>135</v>
      </c>
      <c r="E14" s="53">
        <f>Assumption!$D$2</f>
        <v>135</v>
      </c>
      <c r="F14" s="53">
        <f>Assumption!$D$2</f>
        <v>135</v>
      </c>
      <c r="G14" s="53">
        <f>Assumption!$D$2</f>
        <v>135</v>
      </c>
      <c r="H14" s="53">
        <f>Assumption!$D$2</f>
        <v>135</v>
      </c>
      <c r="I14" s="54"/>
      <c r="J14" s="54"/>
      <c r="K14" s="54"/>
      <c r="L14" s="54"/>
      <c r="M14" s="54"/>
      <c r="N14" s="5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15"/>
      <c r="B15" s="52" t="s">
        <v>276</v>
      </c>
      <c r="C15" s="15">
        <f>Assumption!$D$3</f>
        <v>60</v>
      </c>
      <c r="D15" s="15">
        <f>Assumption!$D$3</f>
        <v>60</v>
      </c>
      <c r="E15" s="15">
        <f>Assumption!$D$3</f>
        <v>60</v>
      </c>
      <c r="F15" s="15">
        <f>Assumption!$D$3</f>
        <v>60</v>
      </c>
      <c r="G15" s="15">
        <f>Assumption!$D$3</f>
        <v>60</v>
      </c>
      <c r="H15" s="15">
        <f>Assumption!$D$3</f>
        <v>60</v>
      </c>
      <c r="I15" s="51"/>
      <c r="J15" s="51"/>
      <c r="K15" s="51"/>
      <c r="L15" s="51"/>
      <c r="M15" s="51"/>
      <c r="N15" s="51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56"/>
      <c r="B1" s="44"/>
      <c r="C1" s="45" t="s">
        <v>308</v>
      </c>
      <c r="D1" s="45" t="s">
        <v>267</v>
      </c>
      <c r="E1" s="45" t="s">
        <v>268</v>
      </c>
      <c r="F1" s="45" t="s">
        <v>269</v>
      </c>
      <c r="G1" s="45" t="s">
        <v>270</v>
      </c>
      <c r="H1" s="45" t="s">
        <v>271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57" t="s">
        <v>311</v>
      </c>
      <c r="B2" s="58"/>
      <c r="C2" s="58"/>
      <c r="D2" s="58"/>
      <c r="E2" s="58"/>
      <c r="F2" s="58"/>
      <c r="G2" s="58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58" t="str">
        <f>Assumption!A7</f>
        <v>Water</v>
      </c>
      <c r="B3" s="59"/>
      <c r="C3" s="59">
        <f>Assumption!$C$2*Assumption!$B7</f>
        <v>105</v>
      </c>
      <c r="D3" s="59">
        <f>Assumption!$C$2*Assumption!$B7</f>
        <v>105</v>
      </c>
      <c r="E3" s="59">
        <f>Assumption!$C$2*Assumption!$B7</f>
        <v>105</v>
      </c>
      <c r="F3" s="59">
        <f>Assumption!$C$2*Assumption!$B7</f>
        <v>105</v>
      </c>
      <c r="G3" s="59">
        <f>Assumption!$C$2*Assumption!$B7</f>
        <v>105</v>
      </c>
      <c r="H3" s="59">
        <f>Assumption!$C$2*Assumption!$B7</f>
        <v>105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58" t="str">
        <f>Assumption!A8</f>
        <v>Milk</v>
      </c>
      <c r="B4" s="59"/>
      <c r="C4" s="59">
        <f>Assumption!$C$2*Assumption!$B8</f>
        <v>105</v>
      </c>
      <c r="D4" s="59">
        <f>Assumption!$C$2*Assumption!$B8</f>
        <v>105</v>
      </c>
      <c r="E4" s="59">
        <f>Assumption!$C$2*Assumption!$B8</f>
        <v>105</v>
      </c>
      <c r="F4" s="59">
        <f>Assumption!$C$2*Assumption!$B8</f>
        <v>105</v>
      </c>
      <c r="G4" s="59">
        <f>Assumption!$C$2*Assumption!$B8</f>
        <v>105</v>
      </c>
      <c r="H4" s="59">
        <f>Assumption!$C$2*Assumption!$B8</f>
        <v>105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58" t="str">
        <f>Assumption!A9</f>
        <v>Pea Protein Extract</v>
      </c>
      <c r="B5" s="59"/>
      <c r="C5" s="59">
        <f>Assumption!$C$2*Assumption!$B9</f>
        <v>30</v>
      </c>
      <c r="D5" s="59">
        <f>Assumption!$C$2*Assumption!$B9</f>
        <v>30</v>
      </c>
      <c r="E5" s="59">
        <f>Assumption!$C$2*Assumption!$B9</f>
        <v>30</v>
      </c>
      <c r="F5" s="59">
        <f>Assumption!$C$2*Assumption!$B9</f>
        <v>30</v>
      </c>
      <c r="G5" s="59">
        <f>Assumption!$C$2*Assumption!$B9</f>
        <v>30</v>
      </c>
      <c r="H5" s="59">
        <f>Assumption!$C$2*Assumption!$B9</f>
        <v>30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58" t="str">
        <f>Assumption!A10</f>
        <v>Coffee Bean Extract</v>
      </c>
      <c r="B6" s="59"/>
      <c r="C6" s="59">
        <f>Assumption!$C$2*Assumption!$B10</f>
        <v>30</v>
      </c>
      <c r="D6" s="59">
        <f>Assumption!$C$2*Assumption!$B10</f>
        <v>30</v>
      </c>
      <c r="E6" s="59">
        <f>Assumption!$C$2*Assumption!$B10</f>
        <v>30</v>
      </c>
      <c r="F6" s="59">
        <f>Assumption!$C$2*Assumption!$B10</f>
        <v>30</v>
      </c>
      <c r="G6" s="59">
        <f>Assumption!$C$2*Assumption!$B10</f>
        <v>30</v>
      </c>
      <c r="H6" s="59">
        <f>Assumption!$C$2*Assumption!$B10</f>
        <v>30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58" t="str">
        <f>Assumption!A11</f>
        <v>Dates Extract</v>
      </c>
      <c r="B7" s="59"/>
      <c r="C7" s="59">
        <f>Assumption!$C$2*Assumption!$B11</f>
        <v>15</v>
      </c>
      <c r="D7" s="59">
        <f>Assumption!$C$2*Assumption!$B11</f>
        <v>15</v>
      </c>
      <c r="E7" s="59">
        <f>Assumption!$C$2*Assumption!$B11</f>
        <v>15</v>
      </c>
      <c r="F7" s="59">
        <f>Assumption!$C$2*Assumption!$B11</f>
        <v>15</v>
      </c>
      <c r="G7" s="59">
        <f>Assumption!$C$2*Assumption!$B11</f>
        <v>15</v>
      </c>
      <c r="H7" s="59">
        <f>Assumption!$C$2*Assumption!$B11</f>
        <v>15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58" t="str">
        <f>Assumption!A12</f>
        <v>Monk Fruit Extract</v>
      </c>
      <c r="B8" s="59"/>
      <c r="C8" s="59">
        <f>Assumption!$C$2*Assumption!$B12</f>
        <v>6</v>
      </c>
      <c r="D8" s="59">
        <f>Assumption!$C$2*Assumption!$B12</f>
        <v>6</v>
      </c>
      <c r="E8" s="59">
        <f>Assumption!$C$2*Assumption!$B12</f>
        <v>6</v>
      </c>
      <c r="F8" s="59">
        <f>Assumption!$C$2*Assumption!$B12</f>
        <v>6</v>
      </c>
      <c r="G8" s="59">
        <f>Assumption!$C$2*Assumption!$B12</f>
        <v>6</v>
      </c>
      <c r="H8" s="59">
        <f>Assumption!$C$2*Assumption!$B12</f>
        <v>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58" t="str">
        <f>Assumption!A13</f>
        <v>Other Ingredients</v>
      </c>
      <c r="B9" s="59"/>
      <c r="C9" s="59">
        <f>Assumption!$C$2*Assumption!$B13</f>
        <v>9</v>
      </c>
      <c r="D9" s="59">
        <f>Assumption!$C$2*Assumption!$B13</f>
        <v>9</v>
      </c>
      <c r="E9" s="59">
        <f>Assumption!$C$2*Assumption!$B13</f>
        <v>9</v>
      </c>
      <c r="F9" s="59">
        <f>Assumption!$C$2*Assumption!$B13</f>
        <v>9</v>
      </c>
      <c r="G9" s="59">
        <f>Assumption!$C$2*Assumption!$B13</f>
        <v>9</v>
      </c>
      <c r="H9" s="59">
        <f>Assumption!$C$2*Assumption!$B13</f>
        <v>9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58"/>
      <c r="B10" s="58"/>
      <c r="C10" s="58"/>
      <c r="D10" s="58"/>
      <c r="E10" s="58"/>
      <c r="F10" s="58"/>
      <c r="G10" s="58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57" t="s">
        <v>312</v>
      </c>
      <c r="B11" s="58"/>
      <c r="C11" s="58"/>
      <c r="D11" s="58"/>
      <c r="E11" s="58"/>
      <c r="F11" s="58"/>
      <c r="G11" s="58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58" t="str">
        <f>Assumption!A21</f>
        <v>Water</v>
      </c>
      <c r="B12" s="58"/>
      <c r="C12" s="60">
        <f>Assumption!$C$3*Assumption!$C$7</f>
        <v>84</v>
      </c>
      <c r="D12" s="60">
        <f>Assumption!$C$3*Assumption!$C$7</f>
        <v>84</v>
      </c>
      <c r="E12" s="60">
        <f>Assumption!$C$3*Assumption!$C$7</f>
        <v>84</v>
      </c>
      <c r="F12" s="60">
        <f>Assumption!$C$3*Assumption!$C$7</f>
        <v>84</v>
      </c>
      <c r="G12" s="60">
        <f>Assumption!$C$3*Assumption!$C$7</f>
        <v>84</v>
      </c>
      <c r="H12" s="60">
        <f>Assumption!$C$3*Assumption!$C$7</f>
        <v>84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58" t="str">
        <f>Assumption!A25</f>
        <v>Dates Extract</v>
      </c>
      <c r="B13" s="58"/>
      <c r="C13" s="60">
        <f>Assumption!$C$3*Assumption!$C$11</f>
        <v>12</v>
      </c>
      <c r="D13" s="60">
        <f>Assumption!$C$3*Assumption!$C$11</f>
        <v>12</v>
      </c>
      <c r="E13" s="60">
        <f>Assumption!$C$3*Assumption!$C$11</f>
        <v>12</v>
      </c>
      <c r="F13" s="60">
        <f>Assumption!$C$3*Assumption!$C$11</f>
        <v>12</v>
      </c>
      <c r="G13" s="60">
        <f>Assumption!$C$3*Assumption!$C$11</f>
        <v>12</v>
      </c>
      <c r="H13" s="60">
        <f>Assumption!$C$3*Assumption!$C$11</f>
        <v>12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58" t="str">
        <f>Assumption!A27</f>
        <v>Other Ingredients</v>
      </c>
      <c r="B14" s="58"/>
      <c r="C14" s="60">
        <f>Assumption!$C$3*Assumption!$C$13</f>
        <v>6</v>
      </c>
      <c r="D14" s="60">
        <f>Assumption!$C$3*Assumption!$C$13</f>
        <v>6</v>
      </c>
      <c r="E14" s="60">
        <f>Assumption!$C$3*Assumption!$C$13</f>
        <v>6</v>
      </c>
      <c r="F14" s="60">
        <f>Assumption!$C$3*Assumption!$C$13</f>
        <v>6</v>
      </c>
      <c r="G14" s="60">
        <f>Assumption!$C$3*Assumption!$C$13</f>
        <v>6</v>
      </c>
      <c r="H14" s="60">
        <f>Assumption!$C$3*Assumption!$C$13</f>
        <v>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58" t="str">
        <f>Assumption!A28</f>
        <v>Oats Extract</v>
      </c>
      <c r="B15" s="58"/>
      <c r="C15" s="60">
        <f>Assumption!$C$3*Assumption!$C$14</f>
        <v>40</v>
      </c>
      <c r="D15" s="60">
        <f>Assumption!$C$3*Assumption!$C$14</f>
        <v>40</v>
      </c>
      <c r="E15" s="60">
        <f>Assumption!$C$3*Assumption!$C$14</f>
        <v>40</v>
      </c>
      <c r="F15" s="60">
        <f>Assumption!$C$3*Assumption!$C$14</f>
        <v>40</v>
      </c>
      <c r="G15" s="60">
        <f>Assumption!$C$3*Assumption!$C$14</f>
        <v>40</v>
      </c>
      <c r="H15" s="60">
        <f>Assumption!$C$3*Assumption!$C$14</f>
        <v>40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58" t="str">
        <f>Assumption!A29</f>
        <v>Ragi Extract</v>
      </c>
      <c r="B16" s="58"/>
      <c r="C16" s="60">
        <f>Assumption!$C$3*Assumption!$C$15</f>
        <v>30</v>
      </c>
      <c r="D16" s="60">
        <f>Assumption!$C$3*Assumption!$C$15</f>
        <v>30</v>
      </c>
      <c r="E16" s="60">
        <f>Assumption!$C$3*Assumption!$C$15</f>
        <v>30</v>
      </c>
      <c r="F16" s="60">
        <f>Assumption!$C$3*Assumption!$C$15</f>
        <v>30</v>
      </c>
      <c r="G16" s="60">
        <f>Assumption!$C$3*Assumption!$C$15</f>
        <v>30</v>
      </c>
      <c r="H16" s="60">
        <f>Assumption!$C$3*Assumption!$C$15</f>
        <v>30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58" t="str">
        <f>Assumption!A30</f>
        <v>Jowar Extract</v>
      </c>
      <c r="B17" s="58"/>
      <c r="C17" s="60">
        <f>Assumption!$C$3*Assumption!$C$16</f>
        <v>14</v>
      </c>
      <c r="D17" s="60">
        <f>Assumption!$C$3*Assumption!$C$16</f>
        <v>14</v>
      </c>
      <c r="E17" s="60">
        <f>Assumption!$C$3*Assumption!$C$16</f>
        <v>14</v>
      </c>
      <c r="F17" s="60">
        <f>Assumption!$C$3*Assumption!$C$16</f>
        <v>14</v>
      </c>
      <c r="G17" s="60">
        <f>Assumption!$C$3*Assumption!$C$16</f>
        <v>14</v>
      </c>
      <c r="H17" s="60">
        <f>Assumption!$C$3*Assumption!$C$16</f>
        <v>14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58" t="str">
        <f>Assumption!A31</f>
        <v>Bajra Extract</v>
      </c>
      <c r="B18" s="57"/>
      <c r="C18" s="60">
        <f>Assumption!$C$3*Assumption!$C$17</f>
        <v>14</v>
      </c>
      <c r="D18" s="60">
        <f>Assumption!$C$3*Assumption!$C$17</f>
        <v>14</v>
      </c>
      <c r="E18" s="60">
        <f>Assumption!$C$3*Assumption!$C$17</f>
        <v>14</v>
      </c>
      <c r="F18" s="60">
        <f>Assumption!$C$3*Assumption!$C$17</f>
        <v>14</v>
      </c>
      <c r="G18" s="60">
        <f>Assumption!$C$3*Assumption!$C$17</f>
        <v>14</v>
      </c>
      <c r="H18" s="60">
        <f>Assumption!$C$3*Assumption!$C$17</f>
        <v>14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61"/>
      <c r="B19" s="57"/>
      <c r="C19" s="58"/>
      <c r="D19" s="58"/>
      <c r="E19" s="58"/>
      <c r="F19" s="58"/>
      <c r="G19" s="58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57" t="s">
        <v>313</v>
      </c>
      <c r="B20" s="57" t="s">
        <v>307</v>
      </c>
      <c r="C20" s="58"/>
      <c r="D20" s="58"/>
      <c r="E20" s="58"/>
      <c r="F20" s="58"/>
      <c r="G20" s="58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58" t="s">
        <v>258</v>
      </c>
      <c r="B21" s="62" t="s">
        <v>275</v>
      </c>
      <c r="C21" s="59">
        <f>'Sales Quantity'!C2</f>
        <v>309397</v>
      </c>
      <c r="D21" s="59">
        <f>'Sales Quantity'!D2</f>
        <v>348728</v>
      </c>
      <c r="E21" s="59">
        <f>'Sales Quantity'!E2</f>
        <v>393862</v>
      </c>
      <c r="F21" s="59">
        <f>'Sales Quantity'!F2</f>
        <v>442908</v>
      </c>
      <c r="G21" s="59">
        <f>'Sales Quantity'!G2</f>
        <v>500422</v>
      </c>
      <c r="H21" s="59">
        <f>'Sales Quantity'!H2</f>
        <v>565628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58"/>
      <c r="B22" s="62" t="s">
        <v>276</v>
      </c>
      <c r="C22" s="59">
        <f>'Sales Quantity'!C3</f>
        <v>273222</v>
      </c>
      <c r="D22" s="59">
        <f>'Sales Quantity'!D3</f>
        <v>307880</v>
      </c>
      <c r="E22" s="59">
        <f>'Sales Quantity'!E3</f>
        <v>348993</v>
      </c>
      <c r="F22" s="59">
        <f>'Sales Quantity'!F3</f>
        <v>397553</v>
      </c>
      <c r="G22" s="59">
        <f>'Sales Quantity'!G3</f>
        <v>453944</v>
      </c>
      <c r="H22" s="59">
        <f>'Sales Quantity'!H3</f>
        <v>518336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58"/>
      <c r="B23" s="63"/>
      <c r="C23" s="59"/>
      <c r="D23" s="59"/>
      <c r="E23" s="59"/>
      <c r="F23" s="59"/>
      <c r="G23" s="5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58" t="s">
        <v>259</v>
      </c>
      <c r="B24" s="62" t="s">
        <v>275</v>
      </c>
      <c r="C24" s="59">
        <f>'Sales Quantity'!C6</f>
        <v>350453</v>
      </c>
      <c r="D24" s="59">
        <f>'Sales Quantity'!D6</f>
        <v>393986</v>
      </c>
      <c r="E24" s="59">
        <f>'Sales Quantity'!E6</f>
        <v>455401</v>
      </c>
      <c r="F24" s="59">
        <f>'Sales Quantity'!F6</f>
        <v>510037</v>
      </c>
      <c r="G24" s="59">
        <f>'Sales Quantity'!G6</f>
        <v>575847</v>
      </c>
      <c r="H24" s="59">
        <f>'Sales Quantity'!H6</f>
        <v>655279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58"/>
      <c r="B25" s="62" t="s">
        <v>276</v>
      </c>
      <c r="C25" s="59">
        <f>'Sales Quantity'!C7</f>
        <v>315855</v>
      </c>
      <c r="D25" s="59">
        <f>'Sales Quantity'!D7</f>
        <v>352265</v>
      </c>
      <c r="E25" s="59">
        <f>'Sales Quantity'!E7</f>
        <v>401237</v>
      </c>
      <c r="F25" s="59">
        <f>'Sales Quantity'!F7</f>
        <v>462085</v>
      </c>
      <c r="G25" s="59">
        <f>'Sales Quantity'!G7</f>
        <v>519273</v>
      </c>
      <c r="H25" s="59">
        <f>'Sales Quantity'!H7</f>
        <v>597654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61"/>
      <c r="B26" s="58"/>
      <c r="C26" s="58"/>
      <c r="D26" s="58"/>
      <c r="E26" s="58"/>
      <c r="F26" s="58"/>
      <c r="G26" s="58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61"/>
      <c r="B27" s="58"/>
      <c r="C27" s="58"/>
      <c r="D27" s="58"/>
      <c r="E27" s="58"/>
      <c r="F27" s="58"/>
      <c r="G27" s="58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61" t="s">
        <v>314</v>
      </c>
      <c r="B28" s="58"/>
      <c r="C28" s="58"/>
      <c r="D28" s="58"/>
      <c r="E28" s="58"/>
      <c r="F28" s="58"/>
      <c r="G28" s="58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61" t="s">
        <v>258</v>
      </c>
      <c r="B29" s="58"/>
      <c r="C29" s="58"/>
      <c r="D29" s="58"/>
      <c r="E29" s="58"/>
      <c r="F29" s="58"/>
      <c r="G29" s="58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57" t="s">
        <v>275</v>
      </c>
      <c r="B30" s="59"/>
      <c r="C30" s="59"/>
      <c r="D30" s="59"/>
      <c r="E30" s="59"/>
      <c r="F30" s="59"/>
      <c r="G30" s="59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58" t="s">
        <v>281</v>
      </c>
      <c r="B31" s="59"/>
      <c r="C31" s="59">
        <f t="shared" ref="C31:H31" si="1">(C$21*C3)/1000</f>
        <v>32486.685</v>
      </c>
      <c r="D31" s="59">
        <f t="shared" si="1"/>
        <v>36616.44</v>
      </c>
      <c r="E31" s="59">
        <f t="shared" si="1"/>
        <v>41355.51</v>
      </c>
      <c r="F31" s="59">
        <f t="shared" si="1"/>
        <v>46505.34</v>
      </c>
      <c r="G31" s="59">
        <f t="shared" si="1"/>
        <v>52544.31</v>
      </c>
      <c r="H31" s="59">
        <f t="shared" si="1"/>
        <v>59390.94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58" t="s">
        <v>282</v>
      </c>
      <c r="B32" s="59"/>
      <c r="C32" s="59">
        <f t="shared" ref="C32:H32" si="2">(C$21*C4)/1000</f>
        <v>32486.685</v>
      </c>
      <c r="D32" s="59">
        <f t="shared" si="2"/>
        <v>36616.44</v>
      </c>
      <c r="E32" s="59">
        <f t="shared" si="2"/>
        <v>41355.51</v>
      </c>
      <c r="F32" s="59">
        <f t="shared" si="2"/>
        <v>46505.34</v>
      </c>
      <c r="G32" s="59">
        <f t="shared" si="2"/>
        <v>52544.31</v>
      </c>
      <c r="H32" s="59">
        <f t="shared" si="2"/>
        <v>59390.94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58" t="s">
        <v>284</v>
      </c>
      <c r="B33" s="59"/>
      <c r="C33" s="59">
        <f t="shared" ref="C33:H33" si="3">(C$21*C5)/1000</f>
        <v>9281.91</v>
      </c>
      <c r="D33" s="59">
        <f t="shared" si="3"/>
        <v>10461.84</v>
      </c>
      <c r="E33" s="59">
        <f t="shared" si="3"/>
        <v>11815.86</v>
      </c>
      <c r="F33" s="59">
        <f t="shared" si="3"/>
        <v>13287.24</v>
      </c>
      <c r="G33" s="59">
        <f t="shared" si="3"/>
        <v>15012.66</v>
      </c>
      <c r="H33" s="59">
        <f t="shared" si="3"/>
        <v>16968.84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58" t="s">
        <v>285</v>
      </c>
      <c r="B34" s="59"/>
      <c r="C34" s="59">
        <f t="shared" ref="C34:H34" si="4">(C$21*C6)/1000</f>
        <v>9281.91</v>
      </c>
      <c r="D34" s="59">
        <f t="shared" si="4"/>
        <v>10461.84</v>
      </c>
      <c r="E34" s="59">
        <f t="shared" si="4"/>
        <v>11815.86</v>
      </c>
      <c r="F34" s="59">
        <f t="shared" si="4"/>
        <v>13287.24</v>
      </c>
      <c r="G34" s="59">
        <f t="shared" si="4"/>
        <v>15012.66</v>
      </c>
      <c r="H34" s="59">
        <f t="shared" si="4"/>
        <v>16968.84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58" t="s">
        <v>286</v>
      </c>
      <c r="B35" s="59"/>
      <c r="C35" s="59">
        <f t="shared" ref="C35:H35" si="5">(C$21*C7)/1000</f>
        <v>4640.955</v>
      </c>
      <c r="D35" s="59">
        <f t="shared" si="5"/>
        <v>5230.92</v>
      </c>
      <c r="E35" s="59">
        <f t="shared" si="5"/>
        <v>5907.93</v>
      </c>
      <c r="F35" s="59">
        <f t="shared" si="5"/>
        <v>6643.62</v>
      </c>
      <c r="G35" s="59">
        <f t="shared" si="5"/>
        <v>7506.33</v>
      </c>
      <c r="H35" s="59">
        <f t="shared" si="5"/>
        <v>8484.42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58" t="s">
        <v>287</v>
      </c>
      <c r="B36" s="59"/>
      <c r="C36" s="59">
        <f t="shared" ref="C36:H36" si="6">(C$21*C8)/1000</f>
        <v>1856.382</v>
      </c>
      <c r="D36" s="59">
        <f t="shared" si="6"/>
        <v>2092.368</v>
      </c>
      <c r="E36" s="59">
        <f t="shared" si="6"/>
        <v>2363.172</v>
      </c>
      <c r="F36" s="59">
        <f t="shared" si="6"/>
        <v>2657.448</v>
      </c>
      <c r="G36" s="59">
        <f t="shared" si="6"/>
        <v>3002.532</v>
      </c>
      <c r="H36" s="59">
        <f t="shared" si="6"/>
        <v>3393.768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58" t="s">
        <v>288</v>
      </c>
      <c r="B37" s="59"/>
      <c r="C37" s="59">
        <f t="shared" ref="C37:H37" si="7">(C$21*C9)/1000</f>
        <v>2784.573</v>
      </c>
      <c r="D37" s="59">
        <f t="shared" si="7"/>
        <v>3138.552</v>
      </c>
      <c r="E37" s="59">
        <f t="shared" si="7"/>
        <v>3544.758</v>
      </c>
      <c r="F37" s="59">
        <f t="shared" si="7"/>
        <v>3986.172</v>
      </c>
      <c r="G37" s="59">
        <f t="shared" si="7"/>
        <v>4503.798</v>
      </c>
      <c r="H37" s="59">
        <f t="shared" si="7"/>
        <v>5090.652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58"/>
      <c r="B38" s="59"/>
      <c r="C38" s="59"/>
      <c r="D38" s="59"/>
      <c r="E38" s="59"/>
      <c r="F38" s="59"/>
      <c r="G38" s="59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57" t="s">
        <v>276</v>
      </c>
      <c r="B39" s="59"/>
      <c r="C39" s="59"/>
      <c r="D39" s="59"/>
      <c r="E39" s="59"/>
      <c r="F39" s="59"/>
      <c r="G39" s="59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58" t="s">
        <v>281</v>
      </c>
      <c r="B40" s="59"/>
      <c r="C40" s="59">
        <f t="shared" ref="C40:H40" si="8">(C$22*C12)/1000</f>
        <v>22950.648</v>
      </c>
      <c r="D40" s="59">
        <f t="shared" si="8"/>
        <v>25861.92</v>
      </c>
      <c r="E40" s="59">
        <f t="shared" si="8"/>
        <v>29315.412</v>
      </c>
      <c r="F40" s="59">
        <f t="shared" si="8"/>
        <v>33394.452</v>
      </c>
      <c r="G40" s="59">
        <f t="shared" si="8"/>
        <v>38131.296</v>
      </c>
      <c r="H40" s="59">
        <f t="shared" si="8"/>
        <v>43540.224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58" t="s">
        <v>286</v>
      </c>
      <c r="B41" s="59"/>
      <c r="C41" s="59">
        <f t="shared" ref="C41:H41" si="9">(C$22*C13)/1000</f>
        <v>3278.664</v>
      </c>
      <c r="D41" s="59">
        <f t="shared" si="9"/>
        <v>3694.56</v>
      </c>
      <c r="E41" s="59">
        <f t="shared" si="9"/>
        <v>4187.916</v>
      </c>
      <c r="F41" s="59">
        <f t="shared" si="9"/>
        <v>4770.636</v>
      </c>
      <c r="G41" s="59">
        <f t="shared" si="9"/>
        <v>5447.328</v>
      </c>
      <c r="H41" s="59">
        <f t="shared" si="9"/>
        <v>6220.032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58" t="s">
        <v>288</v>
      </c>
      <c r="B42" s="59"/>
      <c r="C42" s="59">
        <f t="shared" ref="C42:H42" si="10">(C$22*C14)/1000</f>
        <v>1639.332</v>
      </c>
      <c r="D42" s="59">
        <f t="shared" si="10"/>
        <v>1847.28</v>
      </c>
      <c r="E42" s="59">
        <f t="shared" si="10"/>
        <v>2093.958</v>
      </c>
      <c r="F42" s="59">
        <f t="shared" si="10"/>
        <v>2385.318</v>
      </c>
      <c r="G42" s="59">
        <f t="shared" si="10"/>
        <v>2723.664</v>
      </c>
      <c r="H42" s="59">
        <f t="shared" si="10"/>
        <v>3110.016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58" t="s">
        <v>289</v>
      </c>
      <c r="B43" s="59"/>
      <c r="C43" s="59">
        <f t="shared" ref="C43:H43" si="11">(C$22*C15)/1000</f>
        <v>10928.88</v>
      </c>
      <c r="D43" s="59">
        <f t="shared" si="11"/>
        <v>12315.2</v>
      </c>
      <c r="E43" s="59">
        <f t="shared" si="11"/>
        <v>13959.72</v>
      </c>
      <c r="F43" s="59">
        <f t="shared" si="11"/>
        <v>15902.12</v>
      </c>
      <c r="G43" s="59">
        <f t="shared" si="11"/>
        <v>18157.76</v>
      </c>
      <c r="H43" s="59">
        <f t="shared" si="11"/>
        <v>20733.44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58" t="s">
        <v>290</v>
      </c>
      <c r="B44" s="59"/>
      <c r="C44" s="59">
        <f t="shared" ref="C44:H44" si="12">(C$22*C16)/1000</f>
        <v>8196.66</v>
      </c>
      <c r="D44" s="59">
        <f t="shared" si="12"/>
        <v>9236.4</v>
      </c>
      <c r="E44" s="59">
        <f t="shared" si="12"/>
        <v>10469.79</v>
      </c>
      <c r="F44" s="59">
        <f t="shared" si="12"/>
        <v>11926.59</v>
      </c>
      <c r="G44" s="59">
        <f t="shared" si="12"/>
        <v>13618.32</v>
      </c>
      <c r="H44" s="59">
        <f t="shared" si="12"/>
        <v>15550.08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58" t="s">
        <v>291</v>
      </c>
      <c r="B45" s="59"/>
      <c r="C45" s="59">
        <f t="shared" ref="C45:H45" si="13">(C$22*C17)/1000</f>
        <v>3825.108</v>
      </c>
      <c r="D45" s="59">
        <f t="shared" si="13"/>
        <v>4310.32</v>
      </c>
      <c r="E45" s="59">
        <f t="shared" si="13"/>
        <v>4885.902</v>
      </c>
      <c r="F45" s="59">
        <f t="shared" si="13"/>
        <v>5565.742</v>
      </c>
      <c r="G45" s="59">
        <f t="shared" si="13"/>
        <v>6355.216</v>
      </c>
      <c r="H45" s="59">
        <f t="shared" si="13"/>
        <v>7256.704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58" t="s">
        <v>292</v>
      </c>
      <c r="B46" s="58"/>
      <c r="C46" s="59">
        <f t="shared" ref="C46:H46" si="14">(C$22*C18)/1000</f>
        <v>3825.108</v>
      </c>
      <c r="D46" s="59">
        <f t="shared" si="14"/>
        <v>4310.32</v>
      </c>
      <c r="E46" s="59">
        <f t="shared" si="14"/>
        <v>4885.902</v>
      </c>
      <c r="F46" s="59">
        <f t="shared" si="14"/>
        <v>5565.742</v>
      </c>
      <c r="G46" s="59">
        <f t="shared" si="14"/>
        <v>6355.216</v>
      </c>
      <c r="H46" s="59">
        <f t="shared" si="14"/>
        <v>7256.704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61"/>
      <c r="B47" s="58"/>
      <c r="C47" s="58"/>
      <c r="D47" s="58"/>
      <c r="E47" s="58"/>
      <c r="F47" s="58"/>
      <c r="G47" s="58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61"/>
      <c r="B48" s="58"/>
      <c r="C48" s="58"/>
      <c r="D48" s="58"/>
      <c r="E48" s="58"/>
      <c r="F48" s="58"/>
      <c r="G48" s="58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61" t="s">
        <v>314</v>
      </c>
      <c r="B49" s="58"/>
      <c r="C49" s="58"/>
      <c r="D49" s="58"/>
      <c r="E49" s="58"/>
      <c r="F49" s="58"/>
      <c r="G49" s="58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61" t="s">
        <v>259</v>
      </c>
      <c r="B50" s="58"/>
      <c r="C50" s="58"/>
      <c r="D50" s="58"/>
      <c r="E50" s="58"/>
      <c r="F50" s="58"/>
      <c r="G50" s="58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57" t="s">
        <v>275</v>
      </c>
      <c r="B51" s="59"/>
      <c r="C51" s="59"/>
      <c r="D51" s="59"/>
      <c r="E51" s="59"/>
      <c r="F51" s="59"/>
      <c r="G51" s="59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58" t="s">
        <v>281</v>
      </c>
      <c r="B52" s="59"/>
      <c r="C52" s="59">
        <f t="shared" ref="C52:H52" si="15">(C$24*C3)/1000</f>
        <v>36797.565</v>
      </c>
      <c r="D52" s="59">
        <f t="shared" si="15"/>
        <v>41368.53</v>
      </c>
      <c r="E52" s="59">
        <f t="shared" si="15"/>
        <v>47817.105</v>
      </c>
      <c r="F52" s="59">
        <f t="shared" si="15"/>
        <v>53553.885</v>
      </c>
      <c r="G52" s="59">
        <f t="shared" si="15"/>
        <v>60463.935</v>
      </c>
      <c r="H52" s="59">
        <f t="shared" si="15"/>
        <v>68804.295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58" t="s">
        <v>282</v>
      </c>
      <c r="B53" s="59"/>
      <c r="C53" s="59">
        <f t="shared" ref="C53:H53" si="16">(C$24*C4)/1000</f>
        <v>36797.565</v>
      </c>
      <c r="D53" s="59">
        <f t="shared" si="16"/>
        <v>41368.53</v>
      </c>
      <c r="E53" s="59">
        <f t="shared" si="16"/>
        <v>47817.105</v>
      </c>
      <c r="F53" s="59">
        <f t="shared" si="16"/>
        <v>53553.885</v>
      </c>
      <c r="G53" s="59">
        <f t="shared" si="16"/>
        <v>60463.935</v>
      </c>
      <c r="H53" s="59">
        <f t="shared" si="16"/>
        <v>68804.295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58" t="s">
        <v>284</v>
      </c>
      <c r="B54" s="59"/>
      <c r="C54" s="59">
        <f t="shared" ref="C54:H54" si="17">(C$24*C5)/1000</f>
        <v>10513.59</v>
      </c>
      <c r="D54" s="59">
        <f t="shared" si="17"/>
        <v>11819.58</v>
      </c>
      <c r="E54" s="59">
        <f t="shared" si="17"/>
        <v>13662.03</v>
      </c>
      <c r="F54" s="59">
        <f t="shared" si="17"/>
        <v>15301.11</v>
      </c>
      <c r="G54" s="59">
        <f t="shared" si="17"/>
        <v>17275.41</v>
      </c>
      <c r="H54" s="59">
        <f t="shared" si="17"/>
        <v>19658.37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58" t="s">
        <v>285</v>
      </c>
      <c r="B55" s="59"/>
      <c r="C55" s="59">
        <f t="shared" ref="C55:H55" si="18">(C$24*C6)/1000</f>
        <v>10513.59</v>
      </c>
      <c r="D55" s="59">
        <f t="shared" si="18"/>
        <v>11819.58</v>
      </c>
      <c r="E55" s="59">
        <f t="shared" si="18"/>
        <v>13662.03</v>
      </c>
      <c r="F55" s="59">
        <f t="shared" si="18"/>
        <v>15301.11</v>
      </c>
      <c r="G55" s="59">
        <f t="shared" si="18"/>
        <v>17275.41</v>
      </c>
      <c r="H55" s="59">
        <f t="shared" si="18"/>
        <v>19658.37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58" t="s">
        <v>286</v>
      </c>
      <c r="B56" s="59"/>
      <c r="C56" s="59">
        <f t="shared" ref="C56:H56" si="19">(C$24*C7)/1000</f>
        <v>5256.795</v>
      </c>
      <c r="D56" s="59">
        <f t="shared" si="19"/>
        <v>5909.79</v>
      </c>
      <c r="E56" s="59">
        <f t="shared" si="19"/>
        <v>6831.015</v>
      </c>
      <c r="F56" s="59">
        <f t="shared" si="19"/>
        <v>7650.555</v>
      </c>
      <c r="G56" s="59">
        <f t="shared" si="19"/>
        <v>8637.705</v>
      </c>
      <c r="H56" s="59">
        <f t="shared" si="19"/>
        <v>9829.185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58" t="s">
        <v>287</v>
      </c>
      <c r="B57" s="59"/>
      <c r="C57" s="59">
        <f t="shared" ref="C57:H57" si="20">(C$24*C8)/1000</f>
        <v>2102.718</v>
      </c>
      <c r="D57" s="59">
        <f t="shared" si="20"/>
        <v>2363.916</v>
      </c>
      <c r="E57" s="59">
        <f t="shared" si="20"/>
        <v>2732.406</v>
      </c>
      <c r="F57" s="59">
        <f t="shared" si="20"/>
        <v>3060.222</v>
      </c>
      <c r="G57" s="59">
        <f t="shared" si="20"/>
        <v>3455.082</v>
      </c>
      <c r="H57" s="59">
        <f t="shared" si="20"/>
        <v>3931.674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58" t="s">
        <v>288</v>
      </c>
      <c r="B58" s="59"/>
      <c r="C58" s="59">
        <f t="shared" ref="C58:H58" si="21">(C$24*C9)/1000</f>
        <v>3154.077</v>
      </c>
      <c r="D58" s="59">
        <f t="shared" si="21"/>
        <v>3545.874</v>
      </c>
      <c r="E58" s="59">
        <f t="shared" si="21"/>
        <v>4098.609</v>
      </c>
      <c r="F58" s="59">
        <f t="shared" si="21"/>
        <v>4590.333</v>
      </c>
      <c r="G58" s="59">
        <f t="shared" si="21"/>
        <v>5182.623</v>
      </c>
      <c r="H58" s="59">
        <f t="shared" si="21"/>
        <v>5897.511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58"/>
      <c r="B59" s="59"/>
      <c r="C59" s="59"/>
      <c r="D59" s="59"/>
      <c r="E59" s="59"/>
      <c r="F59" s="59"/>
      <c r="G59" s="59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57" t="s">
        <v>276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58" t="s">
        <v>281</v>
      </c>
      <c r="B61" s="15"/>
      <c r="C61" s="34">
        <f t="shared" ref="C61:H61" si="22">(C$25*C12)/1000</f>
        <v>26531.82</v>
      </c>
      <c r="D61" s="34">
        <f t="shared" si="22"/>
        <v>29590.26</v>
      </c>
      <c r="E61" s="34">
        <f t="shared" si="22"/>
        <v>33703.908</v>
      </c>
      <c r="F61" s="34">
        <f t="shared" si="22"/>
        <v>38815.14</v>
      </c>
      <c r="G61" s="34">
        <f t="shared" si="22"/>
        <v>43618.932</v>
      </c>
      <c r="H61" s="34">
        <f t="shared" si="22"/>
        <v>50202.936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58" t="s">
        <v>286</v>
      </c>
      <c r="B62" s="15"/>
      <c r="C62" s="34">
        <f t="shared" ref="C62:H62" si="23">(C$25*C13)/1000</f>
        <v>3790.26</v>
      </c>
      <c r="D62" s="34">
        <f t="shared" si="23"/>
        <v>4227.18</v>
      </c>
      <c r="E62" s="34">
        <f t="shared" si="23"/>
        <v>4814.844</v>
      </c>
      <c r="F62" s="34">
        <f t="shared" si="23"/>
        <v>5545.02</v>
      </c>
      <c r="G62" s="34">
        <f t="shared" si="23"/>
        <v>6231.276</v>
      </c>
      <c r="H62" s="34">
        <f t="shared" si="23"/>
        <v>7171.848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58" t="s">
        <v>288</v>
      </c>
      <c r="B63" s="15"/>
      <c r="C63" s="34">
        <f t="shared" ref="C63:H63" si="24">(C$25*C14)/1000</f>
        <v>1895.13</v>
      </c>
      <c r="D63" s="34">
        <f t="shared" si="24"/>
        <v>2113.59</v>
      </c>
      <c r="E63" s="34">
        <f t="shared" si="24"/>
        <v>2407.422</v>
      </c>
      <c r="F63" s="34">
        <f t="shared" si="24"/>
        <v>2772.51</v>
      </c>
      <c r="G63" s="34">
        <f t="shared" si="24"/>
        <v>3115.638</v>
      </c>
      <c r="H63" s="34">
        <f t="shared" si="24"/>
        <v>3585.924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58" t="s">
        <v>289</v>
      </c>
      <c r="B64" s="15"/>
      <c r="C64" s="34">
        <f t="shared" ref="C64:H64" si="25">(C$25*C15)/1000</f>
        <v>12634.2</v>
      </c>
      <c r="D64" s="34">
        <f t="shared" si="25"/>
        <v>14090.6</v>
      </c>
      <c r="E64" s="34">
        <f t="shared" si="25"/>
        <v>16049.48</v>
      </c>
      <c r="F64" s="34">
        <f t="shared" si="25"/>
        <v>18483.4</v>
      </c>
      <c r="G64" s="34">
        <f t="shared" si="25"/>
        <v>20770.92</v>
      </c>
      <c r="H64" s="34">
        <f t="shared" si="25"/>
        <v>23906.16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58" t="s">
        <v>290</v>
      </c>
      <c r="B65" s="15"/>
      <c r="C65" s="34">
        <f t="shared" ref="C65:H65" si="26">(C$25*C16)/1000</f>
        <v>9475.65</v>
      </c>
      <c r="D65" s="34">
        <f t="shared" si="26"/>
        <v>10567.95</v>
      </c>
      <c r="E65" s="34">
        <f t="shared" si="26"/>
        <v>12037.11</v>
      </c>
      <c r="F65" s="34">
        <f t="shared" si="26"/>
        <v>13862.55</v>
      </c>
      <c r="G65" s="34">
        <f t="shared" si="26"/>
        <v>15578.19</v>
      </c>
      <c r="H65" s="34">
        <f t="shared" si="26"/>
        <v>17929.62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58" t="s">
        <v>291</v>
      </c>
      <c r="B66" s="15"/>
      <c r="C66" s="34">
        <f t="shared" ref="C66:H66" si="27">(C$25*C17)/1000</f>
        <v>4421.97</v>
      </c>
      <c r="D66" s="34">
        <f t="shared" si="27"/>
        <v>4931.71</v>
      </c>
      <c r="E66" s="34">
        <f t="shared" si="27"/>
        <v>5617.318</v>
      </c>
      <c r="F66" s="34">
        <f t="shared" si="27"/>
        <v>6469.19</v>
      </c>
      <c r="G66" s="34">
        <f t="shared" si="27"/>
        <v>7269.822</v>
      </c>
      <c r="H66" s="34">
        <f t="shared" si="27"/>
        <v>8367.156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58" t="s">
        <v>292</v>
      </c>
      <c r="B67" s="15"/>
      <c r="C67" s="34">
        <f t="shared" ref="C67:H67" si="28">(C$25*C18)/1000</f>
        <v>4421.97</v>
      </c>
      <c r="D67" s="34">
        <f t="shared" si="28"/>
        <v>4931.71</v>
      </c>
      <c r="E67" s="34">
        <f t="shared" si="28"/>
        <v>5617.318</v>
      </c>
      <c r="F67" s="34">
        <f t="shared" si="28"/>
        <v>6469.19</v>
      </c>
      <c r="G67" s="34">
        <f t="shared" si="28"/>
        <v>7269.822</v>
      </c>
      <c r="H67" s="34">
        <f t="shared" si="28"/>
        <v>8367.156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64" t="s">
        <v>315</v>
      </c>
      <c r="B1" s="45" t="s">
        <v>308</v>
      </c>
      <c r="C1" s="45" t="s">
        <v>267</v>
      </c>
      <c r="D1" s="45" t="s">
        <v>268</v>
      </c>
      <c r="E1" s="45" t="s">
        <v>269</v>
      </c>
      <c r="F1" s="45" t="s">
        <v>270</v>
      </c>
      <c r="G1" s="45" t="s">
        <v>271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65" t="s">
        <v>316</v>
      </c>
      <c r="B2" s="60"/>
      <c r="C2" s="60"/>
      <c r="D2" s="60"/>
      <c r="E2" s="60"/>
      <c r="F2" s="60"/>
      <c r="G2" s="15"/>
      <c r="H2" s="15"/>
      <c r="I2" s="15"/>
      <c r="J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5" t="s">
        <v>275</v>
      </c>
      <c r="B3" s="59"/>
      <c r="C3" s="59"/>
      <c r="D3" s="59"/>
      <c r="E3" s="59"/>
      <c r="F3" s="59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58" t="s">
        <v>281</v>
      </c>
      <c r="B4" s="59">
        <f>'RM Consumed'!C31*Assumption!$B21</f>
        <v>259893.48</v>
      </c>
      <c r="C4" s="59">
        <f>'RM Consumed'!D31*Assumption!$B21</f>
        <v>292931.52</v>
      </c>
      <c r="D4" s="59">
        <f>'RM Consumed'!E31*Assumption!$B21</f>
        <v>330844.08</v>
      </c>
      <c r="E4" s="59">
        <f>'RM Consumed'!F31*Assumption!$B21</f>
        <v>372042.72</v>
      </c>
      <c r="F4" s="59">
        <f>'RM Consumed'!G31*Assumption!$B21</f>
        <v>420354.48</v>
      </c>
      <c r="G4" s="59">
        <f>'RM Consumed'!H31*Assumption!$B21</f>
        <v>475127.52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58" t="s">
        <v>282</v>
      </c>
      <c r="B5" s="59">
        <f>Assumption!$B22*'RM Consumed'!C32</f>
        <v>1624334.25</v>
      </c>
      <c r="C5" s="59">
        <f>Assumption!$B22*'RM Consumed'!D32</f>
        <v>1830822</v>
      </c>
      <c r="D5" s="59">
        <f>Assumption!$B22*'RM Consumed'!E32</f>
        <v>2067775.5</v>
      </c>
      <c r="E5" s="59">
        <f>Assumption!$B22*'RM Consumed'!F32</f>
        <v>2325267</v>
      </c>
      <c r="F5" s="59">
        <f>Assumption!$B22*'RM Consumed'!G32</f>
        <v>2627215.5</v>
      </c>
      <c r="G5" s="59">
        <f>Assumption!$B22*'RM Consumed'!H32</f>
        <v>2969547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58" t="s">
        <v>284</v>
      </c>
      <c r="B6" s="59">
        <f>Assumption!$B23*'RM Consumed'!C33</f>
        <v>3712764</v>
      </c>
      <c r="C6" s="59">
        <f>Assumption!$B23*'RM Consumed'!D33</f>
        <v>4184736</v>
      </c>
      <c r="D6" s="59">
        <f>Assumption!$B23*'RM Consumed'!E33</f>
        <v>4726344</v>
      </c>
      <c r="E6" s="59">
        <f>Assumption!$B23*'RM Consumed'!F33</f>
        <v>5314896</v>
      </c>
      <c r="F6" s="59">
        <f>Assumption!$B23*'RM Consumed'!G33</f>
        <v>6005064</v>
      </c>
      <c r="G6" s="59">
        <f>Assumption!$B23*'RM Consumed'!H33</f>
        <v>6787536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58" t="s">
        <v>285</v>
      </c>
      <c r="B7" s="59">
        <f>Assumption!$B24*'RM Consumed'!C34</f>
        <v>2784573</v>
      </c>
      <c r="C7" s="59">
        <f>Assumption!$B24*'RM Consumed'!D34</f>
        <v>3138552</v>
      </c>
      <c r="D7" s="59">
        <f>Assumption!$B24*'RM Consumed'!E34</f>
        <v>3544758</v>
      </c>
      <c r="E7" s="59">
        <f>Assumption!$B24*'RM Consumed'!F34</f>
        <v>3986172</v>
      </c>
      <c r="F7" s="59">
        <f>Assumption!$B24*'RM Consumed'!G34</f>
        <v>4503798</v>
      </c>
      <c r="G7" s="59">
        <f>Assumption!$B24*'RM Consumed'!H34</f>
        <v>5090652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58" t="s">
        <v>286</v>
      </c>
      <c r="B8" s="59">
        <f>Assumption!$B25*'RM Consumed'!C35</f>
        <v>417685.95</v>
      </c>
      <c r="C8" s="59">
        <f>Assumption!$B25*'RM Consumed'!D35</f>
        <v>470782.8</v>
      </c>
      <c r="D8" s="59">
        <f>Assumption!$B25*'RM Consumed'!E35</f>
        <v>531713.7</v>
      </c>
      <c r="E8" s="59">
        <f>Assumption!$B25*'RM Consumed'!F35</f>
        <v>597925.8</v>
      </c>
      <c r="F8" s="59">
        <f>Assumption!$B25*'RM Consumed'!G35</f>
        <v>675569.7</v>
      </c>
      <c r="G8" s="59">
        <f>Assumption!$B25*'RM Consumed'!H35</f>
        <v>763597.8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58" t="s">
        <v>287</v>
      </c>
      <c r="B9" s="59">
        <f>Assumption!$B26*'RM Consumed'!C36</f>
        <v>2042020.2</v>
      </c>
      <c r="C9" s="59">
        <f>Assumption!$B26*'RM Consumed'!D36</f>
        <v>2301604.8</v>
      </c>
      <c r="D9" s="59">
        <f>Assumption!$B26*'RM Consumed'!E36</f>
        <v>2599489.2</v>
      </c>
      <c r="E9" s="59">
        <f>Assumption!$B26*'RM Consumed'!F36</f>
        <v>2923192.8</v>
      </c>
      <c r="F9" s="59">
        <f>Assumption!$B26*'RM Consumed'!G36</f>
        <v>3302785.2</v>
      </c>
      <c r="G9" s="59">
        <f>Assumption!$B26*'RM Consumed'!H36</f>
        <v>3733144.8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58" t="s">
        <v>288</v>
      </c>
      <c r="B10" s="59">
        <f>Assumption!$B27*'RM Consumed'!C37</f>
        <v>3341487.6</v>
      </c>
      <c r="C10" s="59">
        <f>Assumption!$B27*'RM Consumed'!D37</f>
        <v>3766262.4</v>
      </c>
      <c r="D10" s="59">
        <f>Assumption!$B27*'RM Consumed'!E37</f>
        <v>4253709.6</v>
      </c>
      <c r="E10" s="59">
        <f>Assumption!$B27*'RM Consumed'!F37</f>
        <v>4783406.4</v>
      </c>
      <c r="F10" s="59">
        <f>Assumption!$B27*'RM Consumed'!G37</f>
        <v>5404557.6</v>
      </c>
      <c r="G10" s="59">
        <f>Assumption!$B27*'RM Consumed'!H37</f>
        <v>6108782.4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66" t="s">
        <v>263</v>
      </c>
      <c r="B11" s="67">
        <f t="shared" ref="B11:G11" si="1">sum(B4:B10)</f>
        <v>14182758.48</v>
      </c>
      <c r="C11" s="67">
        <f t="shared" si="1"/>
        <v>15985691.52</v>
      </c>
      <c r="D11" s="67">
        <f t="shared" si="1"/>
        <v>18054634.08</v>
      </c>
      <c r="E11" s="67">
        <f t="shared" si="1"/>
        <v>20302902.72</v>
      </c>
      <c r="F11" s="67">
        <f t="shared" si="1"/>
        <v>22939344.48</v>
      </c>
      <c r="G11" s="67">
        <f t="shared" si="1"/>
        <v>25928387.52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68"/>
      <c r="C12" s="68"/>
      <c r="D12" s="68"/>
      <c r="E12" s="68"/>
      <c r="F12" s="68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66" t="s">
        <v>317</v>
      </c>
      <c r="B13" s="69">
        <f>B11/'Sales Quantity'!C$2</f>
        <v>45.84</v>
      </c>
      <c r="C13" s="69">
        <f>C11/'Sales Quantity'!D$2</f>
        <v>45.84</v>
      </c>
      <c r="D13" s="69">
        <f>D11/'Sales Quantity'!E$2</f>
        <v>45.84</v>
      </c>
      <c r="E13" s="69">
        <f>E11/'Sales Quantity'!F$2</f>
        <v>45.84</v>
      </c>
      <c r="F13" s="69">
        <f>F11/'Sales Quantity'!G$2</f>
        <v>45.84</v>
      </c>
      <c r="G13" s="69">
        <f>G11/'Sales Quantity'!H$2</f>
        <v>45.84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70"/>
      <c r="B14" s="69"/>
      <c r="C14" s="69"/>
      <c r="D14" s="69"/>
      <c r="E14" s="69"/>
      <c r="F14" s="6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70" t="s">
        <v>276</v>
      </c>
      <c r="B15" s="69"/>
      <c r="C15" s="69"/>
      <c r="D15" s="69"/>
      <c r="E15" s="69"/>
      <c r="F15" s="6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58" t="s">
        <v>281</v>
      </c>
      <c r="B16" s="68">
        <f>Assumption!$B21*'RM Consumed'!C40</f>
        <v>183605.184</v>
      </c>
      <c r="C16" s="68">
        <f>Assumption!$B21*'RM Consumed'!D40</f>
        <v>206895.36</v>
      </c>
      <c r="D16" s="68">
        <f>Assumption!$B21*'RM Consumed'!E40</f>
        <v>234523.296</v>
      </c>
      <c r="E16" s="68">
        <f>Assumption!$B21*'RM Consumed'!F40</f>
        <v>267155.616</v>
      </c>
      <c r="F16" s="68">
        <f>Assumption!$B21*'RM Consumed'!G40</f>
        <v>305050.368</v>
      </c>
      <c r="G16" s="68">
        <f>Assumption!$B21*'RM Consumed'!H40</f>
        <v>348321.792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58" t="s">
        <v>286</v>
      </c>
      <c r="B17" s="68">
        <f>Assumption!$B25*'RM Consumed'!C41</f>
        <v>295079.76</v>
      </c>
      <c r="C17" s="68">
        <f>Assumption!$B25*'RM Consumed'!D41</f>
        <v>332510.4</v>
      </c>
      <c r="D17" s="68">
        <f>Assumption!$B25*'RM Consumed'!E41</f>
        <v>376912.44</v>
      </c>
      <c r="E17" s="68">
        <f>Assumption!$B25*'RM Consumed'!F41</f>
        <v>429357.24</v>
      </c>
      <c r="F17" s="68">
        <f>Assumption!$B25*'RM Consumed'!G41</f>
        <v>490259.52</v>
      </c>
      <c r="G17" s="68">
        <f>Assumption!$B25*'RM Consumed'!H41</f>
        <v>559802.88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58" t="s">
        <v>288</v>
      </c>
      <c r="B18" s="68">
        <f>Assumption!$B27*'RM Consumed'!C42</f>
        <v>1967198.4</v>
      </c>
      <c r="C18" s="68">
        <f>Assumption!$B27*'RM Consumed'!D42</f>
        <v>2216736</v>
      </c>
      <c r="D18" s="68">
        <f>Assumption!$B27*'RM Consumed'!E42</f>
        <v>2512749.6</v>
      </c>
      <c r="E18" s="68">
        <f>Assumption!$B27*'RM Consumed'!F42</f>
        <v>2862381.6</v>
      </c>
      <c r="F18" s="68">
        <f>Assumption!$B27*'RM Consumed'!G42</f>
        <v>3268396.8</v>
      </c>
      <c r="G18" s="68">
        <f>Assumption!$B27*'RM Consumed'!H42</f>
        <v>3732019.2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58" t="s">
        <v>289</v>
      </c>
      <c r="B19" s="68">
        <f>Assumption!$B28*'RM Consumed'!C43</f>
        <v>874310.4</v>
      </c>
      <c r="C19" s="68">
        <f>Assumption!$B28*'RM Consumed'!D43</f>
        <v>985216</v>
      </c>
      <c r="D19" s="68">
        <f>Assumption!$B28*'RM Consumed'!E43</f>
        <v>1116777.6</v>
      </c>
      <c r="E19" s="68">
        <f>Assumption!$B28*'RM Consumed'!F43</f>
        <v>1272169.6</v>
      </c>
      <c r="F19" s="68">
        <f>Assumption!$B28*'RM Consumed'!G43</f>
        <v>1452620.8</v>
      </c>
      <c r="G19" s="68">
        <f>Assumption!$B28*'RM Consumed'!H43</f>
        <v>1658675.2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58" t="s">
        <v>290</v>
      </c>
      <c r="B20" s="68">
        <f>Assumption!$B29*'RM Consumed'!C44</f>
        <v>327866.4</v>
      </c>
      <c r="C20" s="68">
        <f>Assumption!$B29*'RM Consumed'!D44</f>
        <v>369456</v>
      </c>
      <c r="D20" s="68">
        <f>Assumption!$B29*'RM Consumed'!E44</f>
        <v>418791.6</v>
      </c>
      <c r="E20" s="68">
        <f>Assumption!$B29*'RM Consumed'!F44</f>
        <v>477063.6</v>
      </c>
      <c r="F20" s="68">
        <f>Assumption!$B29*'RM Consumed'!G44</f>
        <v>544732.8</v>
      </c>
      <c r="G20" s="68">
        <f>Assumption!$B29*'RM Consumed'!H44</f>
        <v>622003.2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58" t="s">
        <v>291</v>
      </c>
      <c r="B21" s="68">
        <f>Assumption!$B30*'RM Consumed'!C45</f>
        <v>110928.132</v>
      </c>
      <c r="C21" s="68">
        <f>Assumption!$B30*'RM Consumed'!D45</f>
        <v>124999.28</v>
      </c>
      <c r="D21" s="68">
        <f>Assumption!$B30*'RM Consumed'!E45</f>
        <v>141691.158</v>
      </c>
      <c r="E21" s="68">
        <f>Assumption!$B30*'RM Consumed'!F45</f>
        <v>161406.518</v>
      </c>
      <c r="F21" s="68">
        <f>Assumption!$B30*'RM Consumed'!G45</f>
        <v>184301.264</v>
      </c>
      <c r="G21" s="68">
        <f>Assumption!$B30*'RM Consumed'!H45</f>
        <v>210444.416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58" t="s">
        <v>292</v>
      </c>
      <c r="B22" s="68">
        <f>Assumption!$B31*'RM Consumed'!C46</f>
        <v>95627.7</v>
      </c>
      <c r="C22" s="68">
        <f>Assumption!$B31*'RM Consumed'!D46</f>
        <v>107758</v>
      </c>
      <c r="D22" s="68">
        <f>Assumption!$B31*'RM Consumed'!E46</f>
        <v>122147.55</v>
      </c>
      <c r="E22" s="68">
        <f>Assumption!$B31*'RM Consumed'!F46</f>
        <v>139143.55</v>
      </c>
      <c r="F22" s="68">
        <f>Assumption!$B31*'RM Consumed'!G46</f>
        <v>158880.4</v>
      </c>
      <c r="G22" s="68">
        <f>Assumption!$B31*'RM Consumed'!H46</f>
        <v>181417.6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70" t="s">
        <v>263</v>
      </c>
      <c r="B23" s="69">
        <f t="shared" ref="B23:G23" si="2">sum(B16:B22)</f>
        <v>3854615.976</v>
      </c>
      <c r="C23" s="69">
        <f t="shared" si="2"/>
        <v>4343571.04</v>
      </c>
      <c r="D23" s="69">
        <f t="shared" si="2"/>
        <v>4923593.244</v>
      </c>
      <c r="E23" s="69">
        <f t="shared" si="2"/>
        <v>5608677.724</v>
      </c>
      <c r="F23" s="69">
        <f t="shared" si="2"/>
        <v>6404241.952</v>
      </c>
      <c r="G23" s="69">
        <f t="shared" si="2"/>
        <v>7312684.288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66"/>
      <c r="B24" s="69"/>
      <c r="C24" s="69"/>
      <c r="D24" s="69"/>
      <c r="E24" s="69"/>
      <c r="F24" s="6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66" t="s">
        <v>317</v>
      </c>
      <c r="B25" s="69">
        <f>B23/'Sales Quantity'!C$3</f>
        <v>14.108</v>
      </c>
      <c r="C25" s="69">
        <f>C23/'Sales Quantity'!D$3</f>
        <v>14.108</v>
      </c>
      <c r="D25" s="69">
        <f>D23/'Sales Quantity'!E$3</f>
        <v>14.108</v>
      </c>
      <c r="E25" s="69">
        <f>E23/'Sales Quantity'!F$3</f>
        <v>14.108</v>
      </c>
      <c r="F25" s="69">
        <f>F23/'Sales Quantity'!G$3</f>
        <v>14.108</v>
      </c>
      <c r="G25" s="69">
        <f>G23/'Sales Quantity'!H$3</f>
        <v>14.108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71"/>
      <c r="B26" s="71"/>
      <c r="C26" s="71"/>
      <c r="D26" s="71"/>
      <c r="E26" s="71"/>
      <c r="F26" s="71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72" t="s">
        <v>259</v>
      </c>
      <c r="B27" s="60"/>
      <c r="C27" s="60"/>
      <c r="D27" s="60"/>
      <c r="E27" s="60"/>
      <c r="F27" s="6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65" t="s">
        <v>275</v>
      </c>
      <c r="B28" s="59"/>
      <c r="C28" s="59"/>
      <c r="D28" s="59"/>
      <c r="E28" s="59"/>
      <c r="F28" s="5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58" t="s">
        <v>281</v>
      </c>
      <c r="B29" s="59">
        <f>Assumption!$B21*'RM Consumed'!C52</f>
        <v>294380.52</v>
      </c>
      <c r="C29" s="59">
        <f>Assumption!$B21*'RM Consumed'!D52</f>
        <v>330948.24</v>
      </c>
      <c r="D29" s="59">
        <f>Assumption!$B21*'RM Consumed'!E52</f>
        <v>382536.84</v>
      </c>
      <c r="E29" s="59">
        <f>Assumption!$B21*'RM Consumed'!F52</f>
        <v>428431.08</v>
      </c>
      <c r="F29" s="59">
        <f>Assumption!$B21*'RM Consumed'!G52</f>
        <v>483711.48</v>
      </c>
      <c r="G29" s="59">
        <f>Assumption!$B21*'RM Consumed'!H52</f>
        <v>550434.36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58" t="s">
        <v>282</v>
      </c>
      <c r="B30" s="59">
        <f>Assumption!$B22*'RM Consumed'!C53</f>
        <v>1839878.25</v>
      </c>
      <c r="C30" s="59">
        <f>Assumption!$B22*'RM Consumed'!D53</f>
        <v>2068426.5</v>
      </c>
      <c r="D30" s="59">
        <f>Assumption!$B22*'RM Consumed'!E53</f>
        <v>2390855.25</v>
      </c>
      <c r="E30" s="59">
        <f>Assumption!$B22*'RM Consumed'!F53</f>
        <v>2677694.25</v>
      </c>
      <c r="F30" s="59">
        <f>Assumption!$B22*'RM Consumed'!G53</f>
        <v>3023196.75</v>
      </c>
      <c r="G30" s="59">
        <f>Assumption!$B22*'RM Consumed'!H53</f>
        <v>3440214.75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58" t="s">
        <v>284</v>
      </c>
      <c r="B31" s="59">
        <f>Assumption!$B23*'RM Consumed'!C54</f>
        <v>4205436</v>
      </c>
      <c r="C31" s="59">
        <f>Assumption!$B23*'RM Consumed'!D54</f>
        <v>4727832</v>
      </c>
      <c r="D31" s="59">
        <f>Assumption!$B23*'RM Consumed'!E54</f>
        <v>5464812</v>
      </c>
      <c r="E31" s="59">
        <f>Assumption!$B23*'RM Consumed'!F54</f>
        <v>6120444</v>
      </c>
      <c r="F31" s="59">
        <f>Assumption!$B23*'RM Consumed'!G54</f>
        <v>6910164</v>
      </c>
      <c r="G31" s="59">
        <f>Assumption!$B23*'RM Consumed'!H54</f>
        <v>7863348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58" t="s">
        <v>285</v>
      </c>
      <c r="B32" s="59">
        <f>Assumption!$B24*'RM Consumed'!C55</f>
        <v>3154077</v>
      </c>
      <c r="C32" s="59">
        <f>Assumption!$B24*'RM Consumed'!D55</f>
        <v>3545874</v>
      </c>
      <c r="D32" s="59">
        <f>Assumption!$B24*'RM Consumed'!E55</f>
        <v>4098609</v>
      </c>
      <c r="E32" s="59">
        <f>Assumption!$B24*'RM Consumed'!F55</f>
        <v>4590333</v>
      </c>
      <c r="F32" s="59">
        <f>Assumption!$B24*'RM Consumed'!G55</f>
        <v>5182623</v>
      </c>
      <c r="G32" s="59">
        <f>Assumption!$B24*'RM Consumed'!H55</f>
        <v>5897511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58" t="s">
        <v>286</v>
      </c>
      <c r="B33" s="59">
        <f>Assumption!$B25*'RM Consumed'!C56</f>
        <v>473111.55</v>
      </c>
      <c r="C33" s="59">
        <f>Assumption!$B25*'RM Consumed'!D56</f>
        <v>531881.1</v>
      </c>
      <c r="D33" s="59">
        <f>Assumption!$B25*'RM Consumed'!E56</f>
        <v>614791.35</v>
      </c>
      <c r="E33" s="59">
        <f>Assumption!$B25*'RM Consumed'!F56</f>
        <v>688549.95</v>
      </c>
      <c r="F33" s="59">
        <f>Assumption!$B25*'RM Consumed'!G56</f>
        <v>777393.45</v>
      </c>
      <c r="G33" s="59">
        <f>Assumption!$B25*'RM Consumed'!H56</f>
        <v>884626.65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58" t="s">
        <v>287</v>
      </c>
      <c r="B34" s="59">
        <f>Assumption!$B26*'RM Consumed'!C57</f>
        <v>2312989.8</v>
      </c>
      <c r="C34" s="59">
        <f>Assumption!$B26*'RM Consumed'!D57</f>
        <v>2600307.6</v>
      </c>
      <c r="D34" s="59">
        <f>Assumption!$B26*'RM Consumed'!E57</f>
        <v>3005646.6</v>
      </c>
      <c r="E34" s="59">
        <f>Assumption!$B26*'RM Consumed'!F57</f>
        <v>3366244.2</v>
      </c>
      <c r="F34" s="59">
        <f>Assumption!$B26*'RM Consumed'!G57</f>
        <v>3800590.2</v>
      </c>
      <c r="G34" s="59">
        <f>Assumption!$B26*'RM Consumed'!H57</f>
        <v>4324841.4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58" t="s">
        <v>288</v>
      </c>
      <c r="B35" s="59">
        <f>Assumption!$B27*'RM Consumed'!C58</f>
        <v>3784892.4</v>
      </c>
      <c r="C35" s="59">
        <f>Assumption!$B27*'RM Consumed'!D58</f>
        <v>4255048.8</v>
      </c>
      <c r="D35" s="59">
        <f>Assumption!$B27*'RM Consumed'!E58</f>
        <v>4918330.8</v>
      </c>
      <c r="E35" s="59">
        <f>Assumption!$B27*'RM Consumed'!F58</f>
        <v>5508399.6</v>
      </c>
      <c r="F35" s="59">
        <f>Assumption!$B27*'RM Consumed'!G58</f>
        <v>6219147.6</v>
      </c>
      <c r="G35" s="59">
        <f>Assumption!$B27*'RM Consumed'!H58</f>
        <v>7077013.2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72" t="s">
        <v>263</v>
      </c>
      <c r="B36" s="67">
        <f t="shared" ref="B36:G36" si="3">sum(B29:B35)</f>
        <v>16064765.52</v>
      </c>
      <c r="C36" s="67">
        <f t="shared" si="3"/>
        <v>18060318.24</v>
      </c>
      <c r="D36" s="67">
        <f t="shared" si="3"/>
        <v>20875581.84</v>
      </c>
      <c r="E36" s="67">
        <f t="shared" si="3"/>
        <v>23380096.08</v>
      </c>
      <c r="F36" s="67">
        <f t="shared" si="3"/>
        <v>26396826.48</v>
      </c>
      <c r="G36" s="67">
        <f t="shared" si="3"/>
        <v>30037989.36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50"/>
      <c r="B37" s="59"/>
      <c r="C37" s="59"/>
      <c r="D37" s="59"/>
      <c r="E37" s="59"/>
      <c r="F37" s="5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66" t="s">
        <v>317</v>
      </c>
      <c r="B38" s="73">
        <f>B36/'Sales Quantity'!C6</f>
        <v>45.84</v>
      </c>
      <c r="C38" s="73">
        <f>C36/'Sales Quantity'!D6</f>
        <v>45.84</v>
      </c>
      <c r="D38" s="73">
        <f>D36/'Sales Quantity'!E6</f>
        <v>45.84</v>
      </c>
      <c r="E38" s="73">
        <f>E36/'Sales Quantity'!F6</f>
        <v>45.84</v>
      </c>
      <c r="F38" s="73">
        <f>F36/'Sales Quantity'!G6</f>
        <v>45.84</v>
      </c>
      <c r="G38" s="73">
        <f>G36/'Sales Quantity'!H6</f>
        <v>45.84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70"/>
      <c r="B39" s="73"/>
      <c r="C39" s="73"/>
      <c r="D39" s="73"/>
      <c r="E39" s="73"/>
      <c r="F39" s="73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70" t="s">
        <v>276</v>
      </c>
      <c r="B40" s="73"/>
      <c r="C40" s="73"/>
      <c r="D40" s="73"/>
      <c r="E40" s="73"/>
      <c r="F40" s="73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74" t="s">
        <v>281</v>
      </c>
      <c r="B41" s="75">
        <f>Assumption!$B21*'RM Consumed'!C61</f>
        <v>212254.56</v>
      </c>
      <c r="C41" s="75">
        <f>Assumption!$B21*'RM Consumed'!D61</f>
        <v>236722.08</v>
      </c>
      <c r="D41" s="75">
        <f>Assumption!$B21*'RM Consumed'!E61</f>
        <v>269631.264</v>
      </c>
      <c r="E41" s="75">
        <f>Assumption!$B21*'RM Consumed'!F61</f>
        <v>310521.12</v>
      </c>
      <c r="F41" s="75">
        <f>Assumption!$B21*'RM Consumed'!G61</f>
        <v>348951.456</v>
      </c>
      <c r="G41" s="75">
        <f>Assumption!$B21*'RM Consumed'!H61</f>
        <v>401623.488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74" t="s">
        <v>286</v>
      </c>
      <c r="B42" s="75">
        <f>Assumption!$B25*'RM Consumed'!C62</f>
        <v>341123.4</v>
      </c>
      <c r="C42" s="75">
        <f>Assumption!$B25*'RM Consumed'!D62</f>
        <v>380446.2</v>
      </c>
      <c r="D42" s="75">
        <f>Assumption!$B25*'RM Consumed'!E62</f>
        <v>433335.96</v>
      </c>
      <c r="E42" s="75">
        <f>Assumption!$B25*'RM Consumed'!F62</f>
        <v>499051.8</v>
      </c>
      <c r="F42" s="75">
        <f>Assumption!$B25*'RM Consumed'!G62</f>
        <v>560814.84</v>
      </c>
      <c r="G42" s="75">
        <f>Assumption!$B25*'RM Consumed'!H62</f>
        <v>645466.32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74" t="s">
        <v>288</v>
      </c>
      <c r="B43" s="75">
        <f>Assumption!$B27*'RM Consumed'!C63</f>
        <v>2274156</v>
      </c>
      <c r="C43" s="75">
        <f>Assumption!$B27*'RM Consumed'!D63</f>
        <v>2536308</v>
      </c>
      <c r="D43" s="75">
        <f>Assumption!$B27*'RM Consumed'!E63</f>
        <v>2888906.4</v>
      </c>
      <c r="E43" s="75">
        <f>Assumption!$B27*'RM Consumed'!F63</f>
        <v>3327012</v>
      </c>
      <c r="F43" s="75">
        <f>Assumption!$B27*'RM Consumed'!G63</f>
        <v>3738765.6</v>
      </c>
      <c r="G43" s="75">
        <f>Assumption!$B27*'RM Consumed'!H63</f>
        <v>4303108.8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74" t="s">
        <v>289</v>
      </c>
      <c r="B44" s="75">
        <f>Assumption!$B28*'RM Consumed'!C64</f>
        <v>1010736</v>
      </c>
      <c r="C44" s="75">
        <f>Assumption!$B28*'RM Consumed'!D64</f>
        <v>1127248</v>
      </c>
      <c r="D44" s="75">
        <f>Assumption!$B28*'RM Consumed'!E64</f>
        <v>1283958.4</v>
      </c>
      <c r="E44" s="75">
        <f>Assumption!$B28*'RM Consumed'!F64</f>
        <v>1478672</v>
      </c>
      <c r="F44" s="75">
        <f>Assumption!$B28*'RM Consumed'!G64</f>
        <v>1661673.6</v>
      </c>
      <c r="G44" s="75">
        <f>Assumption!$B28*'RM Consumed'!H64</f>
        <v>1912492.8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74" t="s">
        <v>290</v>
      </c>
      <c r="B45" s="75">
        <f>Assumption!$B29*'RM Consumed'!C65</f>
        <v>379026</v>
      </c>
      <c r="C45" s="75">
        <f>Assumption!$B29*'RM Consumed'!D65</f>
        <v>422718</v>
      </c>
      <c r="D45" s="75">
        <f>Assumption!$B29*'RM Consumed'!E65</f>
        <v>481484.4</v>
      </c>
      <c r="E45" s="75">
        <f>Assumption!$B29*'RM Consumed'!F65</f>
        <v>554502</v>
      </c>
      <c r="F45" s="75">
        <f>Assumption!$B29*'RM Consumed'!G65</f>
        <v>623127.6</v>
      </c>
      <c r="G45" s="75">
        <f>Assumption!$B29*'RM Consumed'!H65</f>
        <v>717184.8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74" t="s">
        <v>291</v>
      </c>
      <c r="B46" s="75">
        <f>Assumption!$B30*'RM Consumed'!C66</f>
        <v>128237.13</v>
      </c>
      <c r="C46" s="75">
        <f>Assumption!$B30*'RM Consumed'!D66</f>
        <v>143019.59</v>
      </c>
      <c r="D46" s="75">
        <f>Assumption!$B30*'RM Consumed'!E66</f>
        <v>162902.222</v>
      </c>
      <c r="E46" s="75">
        <f>Assumption!$B30*'RM Consumed'!F66</f>
        <v>187606.51</v>
      </c>
      <c r="F46" s="75">
        <f>Assumption!$B30*'RM Consumed'!G66</f>
        <v>210824.838</v>
      </c>
      <c r="G46" s="75">
        <f>Assumption!$B30*'RM Consumed'!H66</f>
        <v>242647.524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74" t="s">
        <v>292</v>
      </c>
      <c r="B47" s="75">
        <f>Assumption!$B31*'RM Consumed'!C67</f>
        <v>110549.25</v>
      </c>
      <c r="C47" s="75">
        <f>Assumption!$B31*'RM Consumed'!D67</f>
        <v>123292.75</v>
      </c>
      <c r="D47" s="75">
        <f>Assumption!$B31*'RM Consumed'!E67</f>
        <v>140432.95</v>
      </c>
      <c r="E47" s="75">
        <f>Assumption!$B31*'RM Consumed'!F67</f>
        <v>161729.75</v>
      </c>
      <c r="F47" s="75">
        <f>Assumption!$B31*'RM Consumed'!G67</f>
        <v>181745.55</v>
      </c>
      <c r="G47" s="75">
        <f>Assumption!$B31*'RM Consumed'!H67</f>
        <v>209178.9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76" t="s">
        <v>263</v>
      </c>
      <c r="B48" s="77">
        <f t="shared" ref="B48:G48" si="4">sum(B41:B47)</f>
        <v>4456082.34</v>
      </c>
      <c r="C48" s="77">
        <f t="shared" si="4"/>
        <v>4969754.62</v>
      </c>
      <c r="D48" s="77">
        <f t="shared" si="4"/>
        <v>5660651.596</v>
      </c>
      <c r="E48" s="77">
        <f t="shared" si="4"/>
        <v>6519095.18</v>
      </c>
      <c r="F48" s="77">
        <f t="shared" si="4"/>
        <v>7325903.484</v>
      </c>
      <c r="G48" s="77">
        <f t="shared" si="4"/>
        <v>8431702.632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66" t="s">
        <v>317</v>
      </c>
      <c r="B50" s="78">
        <f>B48/'Sales Quantity'!C7</f>
        <v>14.108</v>
      </c>
      <c r="C50" s="78">
        <f>C48/'Sales Quantity'!D7</f>
        <v>14.108</v>
      </c>
      <c r="D50" s="78">
        <f>D48/'Sales Quantity'!E7</f>
        <v>14.108</v>
      </c>
      <c r="E50" s="78">
        <f>E48/'Sales Quantity'!F7</f>
        <v>14.108</v>
      </c>
      <c r="F50" s="78">
        <f>F48/'Sales Quantity'!G7</f>
        <v>14.108</v>
      </c>
      <c r="G50" s="78">
        <f>G48/'Sales Quantity'!H7</f>
        <v>14.108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10" max="10" width="12.0"/>
  </cols>
  <sheetData>
    <row r="1">
      <c r="A1" s="79" t="s">
        <v>318</v>
      </c>
      <c r="B1" s="45" t="s">
        <v>308</v>
      </c>
      <c r="C1" s="45" t="s">
        <v>267</v>
      </c>
      <c r="D1" s="45" t="s">
        <v>268</v>
      </c>
      <c r="E1" s="45" t="s">
        <v>269</v>
      </c>
      <c r="F1" s="45" t="s">
        <v>270</v>
      </c>
      <c r="G1" s="45" t="s">
        <v>271</v>
      </c>
      <c r="H1" s="15"/>
      <c r="I1" s="15"/>
      <c r="J1" s="80"/>
      <c r="K1" s="55"/>
      <c r="L1" s="55"/>
      <c r="M1" s="55"/>
      <c r="N1" s="55"/>
      <c r="O1" s="46"/>
      <c r="P1" s="46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61" t="s">
        <v>306</v>
      </c>
      <c r="B2" s="58"/>
      <c r="C2" s="58"/>
      <c r="D2" s="58"/>
      <c r="E2" s="58"/>
      <c r="F2" s="58"/>
      <c r="G2" s="15"/>
      <c r="H2" s="15"/>
      <c r="I2" s="15"/>
      <c r="J2" s="80"/>
      <c r="K2" s="81"/>
      <c r="L2" s="81"/>
      <c r="M2" s="81"/>
      <c r="N2" s="81"/>
      <c r="O2" s="81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1" t="s">
        <v>258</v>
      </c>
      <c r="B3" s="59"/>
      <c r="C3" s="59"/>
      <c r="D3" s="59"/>
      <c r="E3" s="59"/>
      <c r="F3" s="59"/>
      <c r="G3" s="15"/>
      <c r="H3" s="15"/>
      <c r="I3" s="15"/>
      <c r="J3" s="80"/>
      <c r="K3" s="68"/>
      <c r="L3" s="68"/>
      <c r="M3" s="68"/>
      <c r="N3" s="68"/>
      <c r="O3" s="68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57" t="s">
        <v>275</v>
      </c>
      <c r="B4" s="82"/>
      <c r="C4" s="59"/>
      <c r="D4" s="59"/>
      <c r="E4" s="59"/>
      <c r="F4" s="59"/>
      <c r="G4" s="59"/>
      <c r="H4" s="15"/>
      <c r="I4" s="15"/>
      <c r="J4" s="83"/>
      <c r="K4" s="68"/>
      <c r="L4" s="68"/>
      <c r="M4" s="68"/>
      <c r="N4" s="68"/>
      <c r="O4" s="68"/>
      <c r="P4" s="59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83" t="s">
        <v>257</v>
      </c>
      <c r="B5" s="75"/>
      <c r="C5" s="75"/>
      <c r="D5" s="75"/>
      <c r="E5" s="75"/>
      <c r="F5" s="75"/>
      <c r="G5" s="75"/>
      <c r="H5" s="15"/>
      <c r="I5" s="15"/>
      <c r="J5" s="83"/>
      <c r="K5" s="84"/>
      <c r="L5" s="84"/>
      <c r="M5" s="84"/>
      <c r="N5" s="84"/>
      <c r="O5" s="84"/>
      <c r="P5" s="7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83" t="str">
        <f t="array" ref="A6:A21">UNIQUE(Sales_Data!I2:I193)</f>
        <v>Delhi</v>
      </c>
      <c r="B6" s="75">
        <f>IFERROR(__xludf.DUMMYFUNCTION("iferror(if($A$5=""Overall"",filter(Sales_Data!$R$2:$R$193,Sales_Data!$H$2:$H$193=B$1,Sales_Data!$J$2:$J$193=$A$4,Sales_Data!$I$2:$I$193=$A6),filter(Sales_Data!$R$2:$R$193,Sales_Data!$H$2:$H$193=B$1,Sales_Data!$J$2:$J$193=$A$4,Sales_Data!$I$2:$I$193=$A6,Sa"&amp;"les_Data!$O$2:$O$193=$A$5)),0)"),2902095.0)</f>
        <v>2902095</v>
      </c>
      <c r="C6" s="75">
        <f>IFERROR(__xludf.DUMMYFUNCTION("iferror(if($A$5=""Overall"",filter(Sales_Data!$R$2:$R$193,Sales_Data!$H$2:$H$193=C$1,Sales_Data!$J$2:$J$193=$A$4,Sales_Data!$I$2:$I$193=$A6),filter(Sales_Data!$R$2:$R$193,Sales_Data!$H$2:$H$193=C$1,Sales_Data!$J$2:$J$193=$A$4,Sales_Data!$I$2:$I$193=$A6,Sa"&amp;"les_Data!$O$2:$O$193=$A$5)),0)"),3337470.0)</f>
        <v>3337470</v>
      </c>
      <c r="D6" s="75">
        <f>IFERROR(__xludf.DUMMYFUNCTION("iferror(if($A$5=""Overall"",filter(Sales_Data!$R$2:$R$193,Sales_Data!$H$2:$H$193=D$1,Sales_Data!$J$2:$J$193=$A$4,Sales_Data!$I$2:$I$193=$A6),filter(Sales_Data!$R$2:$R$193,Sales_Data!$H$2:$H$193=D$1,Sales_Data!$J$2:$J$193=$A$4,Sales_Data!$I$2:$I$193=$A6,Sa"&amp;"les_Data!$O$2:$O$193=$A$5)),0)"),3838050.0)</f>
        <v>3838050</v>
      </c>
      <c r="E6" s="75">
        <f>IFERROR(__xludf.DUMMYFUNCTION("iferror(if($A$5=""Overall"",filter(Sales_Data!$R$2:$R$193,Sales_Data!$H$2:$H$193=E$1,Sales_Data!$J$2:$J$193=$A$4,Sales_Data!$I$2:$I$193=$A6),filter(Sales_Data!$R$2:$R$193,Sales_Data!$H$2:$H$193=E$1,Sales_Data!$J$2:$J$193=$A$4,Sales_Data!$I$2:$I$193=$A6,Sa"&amp;"les_Data!$O$2:$O$193=$A$5)),0)"),4452165.0)</f>
        <v>4452165</v>
      </c>
      <c r="F6" s="75">
        <f>IFERROR(__xludf.DUMMYFUNCTION("iferror(if($A$5=""Overall"",filter(Sales_Data!$R$2:$R$193,Sales_Data!$H$2:$H$193=F$1,Sales_Data!$J$2:$J$193=$A$4,Sales_Data!$I$2:$I$193=$A6),filter(Sales_Data!$R$2:$R$193,Sales_Data!$H$2:$H$193=F$1,Sales_Data!$J$2:$J$193=$A$4,Sales_Data!$I$2:$I$193=$A6,Sa"&amp;"les_Data!$O$2:$O$193=$A$5)),0)"),5208975.0)</f>
        <v>5208975</v>
      </c>
      <c r="G6" s="75">
        <f>IFERROR(__xludf.DUMMYFUNCTION("iferror(if($A$5=""Overall"",filter(Sales_Data!$R$2:$R$193,Sales_Data!$H$2:$H$193=G$1,Sales_Data!$J$2:$J$193=$A$4,Sales_Data!$I$2:$I$193=$A6),filter(Sales_Data!$R$2:$R$193,Sales_Data!$H$2:$H$193=G$1,Sales_Data!$J$2:$J$193=$A$4,Sales_Data!$I$2:$I$193=$A6,Sa"&amp;"les_Data!$O$2:$O$193=$A$5)),0)"),6094440.0)</f>
        <v>6094440</v>
      </c>
      <c r="H6" s="15"/>
      <c r="I6" s="15"/>
      <c r="J6" s="83"/>
      <c r="K6" s="84"/>
      <c r="L6" s="84"/>
      <c r="M6" s="84"/>
      <c r="N6" s="84"/>
      <c r="O6" s="84"/>
      <c r="P6" s="7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83" t="s">
        <v>13</v>
      </c>
      <c r="B7" s="75">
        <f>IFERROR(__xludf.DUMMYFUNCTION("iferror(if($A$5=""Overall"",filter(Sales_Data!$R$2:$R$193,Sales_Data!$H$2:$H$193=B$1,Sales_Data!$J$2:$J$193=$A$4,Sales_Data!$I$2:$I$193=$A7),filter(Sales_Data!$R$2:$R$193,Sales_Data!$H$2:$H$193=B$1,Sales_Data!$J$2:$J$193=$A$4,Sales_Data!$I$2:$I$193=$A7,Sa"&amp;"les_Data!$O$2:$O$193=$A$5)),0)"),1548450.0)</f>
        <v>1548450</v>
      </c>
      <c r="C7" s="75">
        <f>IFERROR(__xludf.DUMMYFUNCTION("iferror(if($A$5=""Overall"",filter(Sales_Data!$R$2:$R$193,Sales_Data!$H$2:$H$193=C$1,Sales_Data!$J$2:$J$193=$A$4,Sales_Data!$I$2:$I$193=$A7),filter(Sales_Data!$R$2:$R$193,Sales_Data!$H$2:$H$193=C$1,Sales_Data!$J$2:$J$193=$A$4,Sales_Data!$I$2:$I$193=$A7,Sa"&amp;"les_Data!$O$2:$O$193=$A$5)),0)"),1827225.0)</f>
        <v>1827225</v>
      </c>
      <c r="D7" s="75">
        <f>IFERROR(__xludf.DUMMYFUNCTION("iferror(if($A$5=""Overall"",filter(Sales_Data!$R$2:$R$193,Sales_Data!$H$2:$H$193=D$1,Sales_Data!$J$2:$J$193=$A$4,Sales_Data!$I$2:$I$193=$A7),filter(Sales_Data!$R$2:$R$193,Sales_Data!$H$2:$H$193=D$1,Sales_Data!$J$2:$J$193=$A$4,Sales_Data!$I$2:$I$193=$A7,Sa"&amp;"les_Data!$O$2:$O$193=$A$5)),0)"),2101275.0)</f>
        <v>2101275</v>
      </c>
      <c r="E7" s="75">
        <f>IFERROR(__xludf.DUMMYFUNCTION("iferror(if($A$5=""Overall"",filter(Sales_Data!$R$2:$R$193,Sales_Data!$H$2:$H$193=E$1,Sales_Data!$J$2:$J$193=$A$4,Sales_Data!$I$2:$I$193=$A7),filter(Sales_Data!$R$2:$R$193,Sales_Data!$H$2:$H$193=E$1,Sales_Data!$J$2:$J$193=$A$4,Sales_Data!$I$2:$I$193=$A7,Sa"&amp;"les_Data!$O$2:$O$193=$A$5)),0)"),2416500.0)</f>
        <v>2416500</v>
      </c>
      <c r="F7" s="75">
        <f>IFERROR(__xludf.DUMMYFUNCTION("iferror(if($A$5=""Overall"",filter(Sales_Data!$R$2:$R$193,Sales_Data!$H$2:$H$193=F$1,Sales_Data!$J$2:$J$193=$A$4,Sales_Data!$I$2:$I$193=$A7),filter(Sales_Data!$R$2:$R$193,Sales_Data!$H$2:$H$193=F$1,Sales_Data!$J$2:$J$193=$A$4,Sales_Data!$I$2:$I$193=$A7,Sa"&amp;"les_Data!$O$2:$O$193=$A$5)),0)"),2778975.0)</f>
        <v>2778975</v>
      </c>
      <c r="G7" s="75">
        <f>IFERROR(__xludf.DUMMYFUNCTION("iferror(if($A$5=""Overall"",filter(Sales_Data!$R$2:$R$193,Sales_Data!$H$2:$H$193=G$1,Sales_Data!$J$2:$J$193=$A$4,Sales_Data!$I$2:$I$193=$A7),filter(Sales_Data!$R$2:$R$193,Sales_Data!$H$2:$H$193=G$1,Sales_Data!$J$2:$J$193=$A$4,Sales_Data!$I$2:$I$193=$A7,Sa"&amp;"les_Data!$O$2:$O$193=$A$5)),0)"),3223665.0)</f>
        <v>3223665</v>
      </c>
      <c r="H7" s="15"/>
      <c r="I7" s="15"/>
      <c r="J7" s="80"/>
      <c r="K7" s="69"/>
      <c r="L7" s="69"/>
      <c r="M7" s="69"/>
      <c r="N7" s="85"/>
      <c r="O7" s="75"/>
      <c r="P7" s="75"/>
      <c r="Q7" s="75"/>
      <c r="R7" s="75"/>
      <c r="S7" s="75"/>
      <c r="T7" s="75"/>
      <c r="U7" s="15"/>
      <c r="V7" s="15"/>
      <c r="W7" s="15"/>
      <c r="X7" s="15"/>
      <c r="Y7" s="15"/>
      <c r="Z7" s="15"/>
    </row>
    <row r="8">
      <c r="A8" s="81" t="s">
        <v>14</v>
      </c>
      <c r="B8" s="75">
        <f>IFERROR(__xludf.DUMMYFUNCTION("iferror(if($A$5=""Overall"",filter(Sales_Data!$R$2:$R$193,Sales_Data!$H$2:$H$193=B$1,Sales_Data!$J$2:$J$193=$A$4,Sales_Data!$I$2:$I$193=$A8),filter(Sales_Data!$R$2:$R$193,Sales_Data!$H$2:$H$193=B$1,Sales_Data!$J$2:$J$193=$A$4,Sales_Data!$I$2:$I$193=$A8,Sa"&amp;"les_Data!$O$2:$O$193=$A$5)),0)"),1853145.0)</f>
        <v>1853145</v>
      </c>
      <c r="C8" s="75">
        <f>IFERROR(__xludf.DUMMYFUNCTION("iferror(if($A$5=""Overall"",filter(Sales_Data!$R$2:$R$193,Sales_Data!$H$2:$H$193=C$1,Sales_Data!$J$2:$J$193=$A$4,Sales_Data!$I$2:$I$193=$A8),filter(Sales_Data!$R$2:$R$193,Sales_Data!$H$2:$H$193=C$1,Sales_Data!$J$2:$J$193=$A$4,Sales_Data!$I$2:$I$193=$A8,Sa"&amp;"les_Data!$O$2:$O$193=$A$5)),0)"),2149605.0)</f>
        <v>2149605</v>
      </c>
      <c r="D8" s="75">
        <f>IFERROR(__xludf.DUMMYFUNCTION("iferror(if($A$5=""Overall"",filter(Sales_Data!$R$2:$R$193,Sales_Data!$H$2:$H$193=D$1,Sales_Data!$J$2:$J$193=$A$4,Sales_Data!$I$2:$I$193=$A8),filter(Sales_Data!$R$2:$R$193,Sales_Data!$H$2:$H$193=D$1,Sales_Data!$J$2:$J$193=$A$4,Sales_Data!$I$2:$I$193=$A8,Sa"&amp;"les_Data!$O$2:$O$193=$A$5)),0)"),2536515.0)</f>
        <v>2536515</v>
      </c>
      <c r="E8" s="75">
        <f>IFERROR(__xludf.DUMMYFUNCTION("iferror(if($A$5=""Overall"",filter(Sales_Data!$R$2:$R$193,Sales_Data!$H$2:$H$193=E$1,Sales_Data!$J$2:$J$193=$A$4,Sales_Data!$I$2:$I$193=$A8),filter(Sales_Data!$R$2:$R$193,Sales_Data!$H$2:$H$193=E$1,Sales_Data!$J$2:$J$193=$A$4,Sales_Data!$I$2:$I$193=$A8,Sa"&amp;"les_Data!$O$2:$O$193=$A$5)),0)"),2942325.0)</f>
        <v>2942325</v>
      </c>
      <c r="F8" s="75">
        <f>IFERROR(__xludf.DUMMYFUNCTION("iferror(if($A$5=""Overall"",filter(Sales_Data!$R$2:$R$193,Sales_Data!$H$2:$H$193=F$1,Sales_Data!$J$2:$J$193=$A$4,Sales_Data!$I$2:$I$193=$A8),filter(Sales_Data!$R$2:$R$193,Sales_Data!$H$2:$H$193=F$1,Sales_Data!$J$2:$J$193=$A$4,Sales_Data!$I$2:$I$193=$A8,Sa"&amp;"les_Data!$O$2:$O$193=$A$5)),0)"),3413070.0)</f>
        <v>3413070</v>
      </c>
      <c r="G8" s="75">
        <f>IFERROR(__xludf.DUMMYFUNCTION("iferror(if($A$5=""Overall"",filter(Sales_Data!$R$2:$R$193,Sales_Data!$H$2:$H$193=G$1,Sales_Data!$J$2:$J$193=$A$4,Sales_Data!$I$2:$I$193=$A8),filter(Sales_Data!$R$2:$R$193,Sales_Data!$H$2:$H$193=G$1,Sales_Data!$J$2:$J$193=$A$4,Sales_Data!$I$2:$I$193=$A8,Sa"&amp;"les_Data!$O$2:$O$193=$A$5)),0)"),3924990.0)</f>
        <v>3924990</v>
      </c>
      <c r="H8" s="15"/>
      <c r="I8" s="15"/>
      <c r="J8" s="81"/>
      <c r="K8" s="81"/>
      <c r="L8" s="81"/>
      <c r="M8" s="81"/>
      <c r="N8" s="61"/>
      <c r="O8" s="67"/>
      <c r="P8" s="67"/>
      <c r="Q8" s="67"/>
      <c r="R8" s="67"/>
      <c r="S8" s="67"/>
      <c r="T8" s="67"/>
      <c r="U8" s="15"/>
      <c r="V8" s="15"/>
      <c r="W8" s="15"/>
      <c r="X8" s="15"/>
      <c r="Y8" s="15"/>
      <c r="Z8" s="15"/>
    </row>
    <row r="9">
      <c r="A9" s="81" t="s">
        <v>15</v>
      </c>
      <c r="B9" s="75">
        <f>IFERROR(__xludf.DUMMYFUNCTION("iferror(if($A$5=""Overall"",filter(Sales_Data!$R$2:$R$193,Sales_Data!$H$2:$H$193=B$1,Sales_Data!$J$2:$J$193=$A$4,Sales_Data!$I$2:$I$193=$A9),filter(Sales_Data!$R$2:$R$193,Sales_Data!$H$2:$H$193=B$1,Sales_Data!$J$2:$J$193=$A$4,Sales_Data!$I$2:$I$193=$A9,Sa"&amp;"les_Data!$O$2:$O$193=$A$5)),0)"),3351645.0)</f>
        <v>3351645</v>
      </c>
      <c r="C9" s="75">
        <f>IFERROR(__xludf.DUMMYFUNCTION("iferror(if($A$5=""Overall"",filter(Sales_Data!$R$2:$R$193,Sales_Data!$H$2:$H$193=C$1,Sales_Data!$J$2:$J$193=$A$4,Sales_Data!$I$2:$I$193=$A9),filter(Sales_Data!$R$2:$R$193,Sales_Data!$H$2:$H$193=C$1,Sales_Data!$J$2:$J$193=$A$4,Sales_Data!$I$2:$I$193=$A9,Sa"&amp;"les_Data!$O$2:$O$193=$A$5)),0)"),3954960.0)</f>
        <v>3954960</v>
      </c>
      <c r="D9" s="75">
        <f>IFERROR(__xludf.DUMMYFUNCTION("iferror(if($A$5=""Overall"",filter(Sales_Data!$R$2:$R$193,Sales_Data!$H$2:$H$193=D$1,Sales_Data!$J$2:$J$193=$A$4,Sales_Data!$I$2:$I$193=$A9),filter(Sales_Data!$R$2:$R$193,Sales_Data!$H$2:$H$193=D$1,Sales_Data!$J$2:$J$193=$A$4,Sales_Data!$I$2:$I$193=$A9,Sa"&amp;"les_Data!$O$2:$O$193=$A$5)),0)"),4666815.0)</f>
        <v>4666815</v>
      </c>
      <c r="E9" s="75">
        <f>IFERROR(__xludf.DUMMYFUNCTION("iferror(if($A$5=""Overall"",filter(Sales_Data!$R$2:$R$193,Sales_Data!$H$2:$H$193=E$1,Sales_Data!$J$2:$J$193=$A$4,Sales_Data!$I$2:$I$193=$A9),filter(Sales_Data!$R$2:$R$193,Sales_Data!$H$2:$H$193=E$1,Sales_Data!$J$2:$J$193=$A$4,Sales_Data!$I$2:$I$193=$A9,Sa"&amp;"les_Data!$O$2:$O$193=$A$5)),0)"),5506785.0)</f>
        <v>5506785</v>
      </c>
      <c r="F9" s="75">
        <f>IFERROR(__xludf.DUMMYFUNCTION("iferror(if($A$5=""Overall"",filter(Sales_Data!$R$2:$R$193,Sales_Data!$H$2:$H$193=F$1,Sales_Data!$J$2:$J$193=$A$4,Sales_Data!$I$2:$I$193=$A9),filter(Sales_Data!$R$2:$R$193,Sales_Data!$H$2:$H$193=F$1,Sales_Data!$J$2:$J$193=$A$4,Sales_Data!$I$2:$I$193=$A9,Sa"&amp;"les_Data!$O$2:$O$193=$A$5)),0)"),6442875.0)</f>
        <v>6442875</v>
      </c>
      <c r="G9" s="75">
        <f>IFERROR(__xludf.DUMMYFUNCTION("iferror(if($A$5=""Overall"",filter(Sales_Data!$R$2:$R$193,Sales_Data!$H$2:$H$193=G$1,Sales_Data!$J$2:$J$193=$A$4,Sales_Data!$I$2:$I$193=$A9),filter(Sales_Data!$R$2:$R$193,Sales_Data!$H$2:$H$193=G$1,Sales_Data!$J$2:$J$193=$A$4,Sales_Data!$I$2:$I$193=$A9,Sa"&amp;"les_Data!$O$2:$O$193=$A$5)),0)"),7409340.0)</f>
        <v>7409340</v>
      </c>
      <c r="H9" s="15"/>
      <c r="I9" s="15"/>
      <c r="J9" s="86"/>
      <c r="K9" s="81"/>
      <c r="L9" s="81"/>
      <c r="M9" s="81"/>
      <c r="N9" s="58"/>
      <c r="O9" s="58"/>
      <c r="P9" s="58"/>
      <c r="Q9" s="58"/>
      <c r="R9" s="58"/>
      <c r="S9" s="58"/>
      <c r="T9" s="74"/>
      <c r="U9" s="15"/>
      <c r="V9" s="15"/>
      <c r="W9" s="15"/>
      <c r="X9" s="15"/>
      <c r="Y9" s="15"/>
      <c r="Z9" s="15"/>
    </row>
    <row r="10">
      <c r="A10" s="83" t="s">
        <v>16</v>
      </c>
      <c r="B10" s="75">
        <f>IFERROR(__xludf.DUMMYFUNCTION("iferror(if($A$5=""Overall"",filter(Sales_Data!$R$2:$R$193,Sales_Data!$H$2:$H$193=B$1,Sales_Data!$J$2:$J$193=$A$4,Sales_Data!$I$2:$I$193=$A10),filter(Sales_Data!$R$2:$R$193,Sales_Data!$H$2:$H$193=B$1,Sales_Data!$J$2:$J$193=$A$4,Sales_Data!$I$2:$I$193=$A10,"&amp;"Sales_Data!$O$2:$O$193=$A$5)),0)"),3001995.0)</f>
        <v>3001995</v>
      </c>
      <c r="C10" s="75">
        <f>IFERROR(__xludf.DUMMYFUNCTION("iferror(if($A$5=""Overall"",filter(Sales_Data!$R$2:$R$193,Sales_Data!$H$2:$H$193=C$1,Sales_Data!$J$2:$J$193=$A$4,Sales_Data!$I$2:$I$193=$A10),filter(Sales_Data!$R$2:$R$193,Sales_Data!$H$2:$H$193=C$1,Sales_Data!$J$2:$J$193=$A$4,Sales_Data!$I$2:$I$193=$A10,"&amp;"Sales_Data!$O$2:$O$193=$A$5)),0)"),3452355.0)</f>
        <v>3452355</v>
      </c>
      <c r="D10" s="75">
        <f>IFERROR(__xludf.DUMMYFUNCTION("iferror(if($A$5=""Overall"",filter(Sales_Data!$R$2:$R$193,Sales_Data!$H$2:$H$193=D$1,Sales_Data!$J$2:$J$193=$A$4,Sales_Data!$I$2:$I$193=$A10),filter(Sales_Data!$R$2:$R$193,Sales_Data!$H$2:$H$193=D$1,Sales_Data!$J$2:$J$193=$A$4,Sales_Data!$I$2:$I$193=$A10,"&amp;"Sales_Data!$O$2:$O$193=$A$5)),0)"),4039200.0)</f>
        <v>4039200</v>
      </c>
      <c r="E10" s="75">
        <f>IFERROR(__xludf.DUMMYFUNCTION("iferror(if($A$5=""Overall"",filter(Sales_Data!$R$2:$R$193,Sales_Data!$H$2:$H$193=E$1,Sales_Data!$J$2:$J$193=$A$4,Sales_Data!$I$2:$I$193=$A10),filter(Sales_Data!$R$2:$R$193,Sales_Data!$H$2:$H$193=E$1,Sales_Data!$J$2:$J$193=$A$4,Sales_Data!$I$2:$I$193=$A10,"&amp;"Sales_Data!$O$2:$O$193=$A$5)),0)"),4725810.0)</f>
        <v>4725810</v>
      </c>
      <c r="F10" s="75">
        <f>IFERROR(__xludf.DUMMYFUNCTION("iferror(if($A$5=""Overall"",filter(Sales_Data!$R$2:$R$193,Sales_Data!$H$2:$H$193=F$1,Sales_Data!$J$2:$J$193=$A$4,Sales_Data!$I$2:$I$193=$A10),filter(Sales_Data!$R$2:$R$193,Sales_Data!$H$2:$H$193=F$1,Sales_Data!$J$2:$J$193=$A$4,Sales_Data!$I$2:$I$193=$A10,"&amp;"Sales_Data!$O$2:$O$193=$A$5)),0)"),5576445.0)</f>
        <v>5576445</v>
      </c>
      <c r="G10" s="75">
        <f>IFERROR(__xludf.DUMMYFUNCTION("iferror(if($A$5=""Overall"",filter(Sales_Data!$R$2:$R$193,Sales_Data!$H$2:$H$193=G$1,Sales_Data!$J$2:$J$193=$A$4,Sales_Data!$I$2:$I$193=$A10),filter(Sales_Data!$R$2:$R$193,Sales_Data!$H$2:$H$193=G$1,Sales_Data!$J$2:$J$193=$A$4,Sales_Data!$I$2:$I$193=$A10,"&amp;"Sales_Data!$O$2:$O$193=$A$5)),0)"),6524415.0)</f>
        <v>6524415</v>
      </c>
      <c r="H10" s="15"/>
      <c r="I10" s="15"/>
      <c r="J10" s="83"/>
      <c r="K10" s="68"/>
      <c r="L10" s="68"/>
      <c r="M10" s="68"/>
      <c r="U10" s="15"/>
      <c r="V10" s="15"/>
      <c r="W10" s="15"/>
      <c r="X10" s="15"/>
      <c r="Y10" s="15"/>
      <c r="Z10" s="15"/>
    </row>
    <row r="11">
      <c r="A11" s="83" t="s">
        <v>17</v>
      </c>
      <c r="B11" s="75">
        <f>IFERROR(__xludf.DUMMYFUNCTION("iferror(if($A$5=""Overall"",filter(Sales_Data!$R$2:$R$193,Sales_Data!$H$2:$H$193=B$1,Sales_Data!$J$2:$J$193=$A$4,Sales_Data!$I$2:$I$193=$A11),filter(Sales_Data!$R$2:$R$193,Sales_Data!$H$2:$H$193=B$1,Sales_Data!$J$2:$J$193=$A$4,Sales_Data!$I$2:$I$193=$A11,"&amp;"Sales_Data!$O$2:$O$193=$A$5)),0)"),1546492.5)</f>
        <v>1546492.5</v>
      </c>
      <c r="C11" s="75">
        <f>IFERROR(__xludf.DUMMYFUNCTION("iferror(if($A$5=""Overall"",filter(Sales_Data!$R$2:$R$193,Sales_Data!$H$2:$H$193=C$1,Sales_Data!$J$2:$J$193=$A$4,Sales_Data!$I$2:$I$193=$A11),filter(Sales_Data!$R$2:$R$193,Sales_Data!$H$2:$H$193=C$1,Sales_Data!$J$2:$J$193=$A$4,Sales_Data!$I$2:$I$193=$A11,"&amp;"Sales_Data!$O$2:$O$193=$A$5)),0)"),1639338.75)</f>
        <v>1639338.75</v>
      </c>
      <c r="D11" s="75">
        <f>IFERROR(__xludf.DUMMYFUNCTION("iferror(if($A$5=""Overall"",filter(Sales_Data!$R$2:$R$193,Sales_Data!$H$2:$H$193=D$1,Sales_Data!$J$2:$J$193=$A$4,Sales_Data!$I$2:$I$193=$A11),filter(Sales_Data!$R$2:$R$193,Sales_Data!$H$2:$H$193=D$1,Sales_Data!$J$2:$J$193=$A$4,Sales_Data!$I$2:$I$193=$A11,"&amp;"Sales_Data!$O$2:$O$193=$A$5)),0)"),1704898.125)</f>
        <v>1704898.125</v>
      </c>
      <c r="E11" s="75">
        <f>IFERROR(__xludf.DUMMYFUNCTION("iferror(if($A$5=""Overall"",filter(Sales_Data!$R$2:$R$193,Sales_Data!$H$2:$H$193=E$1,Sales_Data!$J$2:$J$193=$A$4,Sales_Data!$I$2:$I$193=$A11),filter(Sales_Data!$R$2:$R$193,Sales_Data!$H$2:$H$193=E$1,Sales_Data!$J$2:$J$193=$A$4,Sales_Data!$I$2:$I$193=$A11,"&amp;"Sales_Data!$O$2:$O$193=$A$5)),0)"),1739036.25)</f>
        <v>1739036.25</v>
      </c>
      <c r="F11" s="75">
        <f>IFERROR(__xludf.DUMMYFUNCTION("iferror(if($A$5=""Overall"",filter(Sales_Data!$R$2:$R$193,Sales_Data!$H$2:$H$193=F$1,Sales_Data!$J$2:$J$193=$A$4,Sales_Data!$I$2:$I$193=$A11),filter(Sales_Data!$R$2:$R$193,Sales_Data!$H$2:$H$193=F$1,Sales_Data!$J$2:$J$193=$A$4,Sales_Data!$I$2:$I$193=$A11,"&amp;"Sales_Data!$O$2:$O$193=$A$5)),0)"),1773765.0)</f>
        <v>1773765</v>
      </c>
      <c r="G11" s="75">
        <f>IFERROR(__xludf.DUMMYFUNCTION("iferror(if($A$5=""Overall"",filter(Sales_Data!$R$2:$R$193,Sales_Data!$H$2:$H$193=G$1,Sales_Data!$J$2:$J$193=$A$4,Sales_Data!$I$2:$I$193=$A11),filter(Sales_Data!$R$2:$R$193,Sales_Data!$H$2:$H$193=G$1,Sales_Data!$J$2:$J$193=$A$4,Sales_Data!$I$2:$I$193=$A11,"&amp;"Sales_Data!$O$2:$O$193=$A$5)),0)"),1844758.125)</f>
        <v>1844758.125</v>
      </c>
      <c r="H11" s="15"/>
      <c r="I11" s="15"/>
      <c r="J11" s="83"/>
      <c r="K11" s="68"/>
      <c r="L11" s="68"/>
      <c r="M11" s="68"/>
      <c r="U11" s="15"/>
      <c r="V11" s="15"/>
      <c r="W11" s="15"/>
      <c r="X11" s="15"/>
      <c r="Y11" s="15"/>
      <c r="Z11" s="15"/>
    </row>
    <row r="12">
      <c r="A12" s="83" t="s">
        <v>262</v>
      </c>
      <c r="B12" s="75">
        <f>IFERROR(__xludf.DUMMYFUNCTION("iferror(if($A$5=""Overall"",filter(Sales_Data!$R$2:$R$193,Sales_Data!$H$2:$H$193=B$1,Sales_Data!$J$2:$J$193=$A$4,Sales_Data!$I$2:$I$193=$A12),filter(Sales_Data!$R$2:$R$193,Sales_Data!$H$2:$H$193=B$1,Sales_Data!$J$2:$J$193=$A$4,Sales_Data!$I$2:$I$193=$A12,"&amp;"Sales_Data!$O$2:$O$193=$A$5)),0)"),2637360.0)</f>
        <v>2637360</v>
      </c>
      <c r="C12" s="75">
        <f>IFERROR(__xludf.DUMMYFUNCTION("iferror(if($A$5=""Overall"",filter(Sales_Data!$R$2:$R$193,Sales_Data!$H$2:$H$193=C$1,Sales_Data!$J$2:$J$193=$A$4,Sales_Data!$I$2:$I$193=$A12),filter(Sales_Data!$R$2:$R$193,Sales_Data!$H$2:$H$193=C$1,Sales_Data!$J$2:$J$193=$A$4,Sales_Data!$I$2:$I$193=$A12,"&amp;"Sales_Data!$O$2:$O$193=$A$5)),0)"),3059370.0)</f>
        <v>3059370</v>
      </c>
      <c r="D12" s="75">
        <f>IFERROR(__xludf.DUMMYFUNCTION("iferror(if($A$5=""Overall"",filter(Sales_Data!$R$2:$R$193,Sales_Data!$H$2:$H$193=D$1,Sales_Data!$J$2:$J$193=$A$4,Sales_Data!$I$2:$I$193=$A12),filter(Sales_Data!$R$2:$R$193,Sales_Data!$H$2:$H$193=D$1,Sales_Data!$J$2:$J$193=$A$4,Sales_Data!$I$2:$I$193=$A12,"&amp;"Sales_Data!$O$2:$O$193=$A$5)),0)"),3610035.0)</f>
        <v>3610035</v>
      </c>
      <c r="E12" s="75">
        <f>IFERROR(__xludf.DUMMYFUNCTION("iferror(if($A$5=""Overall"",filter(Sales_Data!$R$2:$R$193,Sales_Data!$H$2:$H$193=E$1,Sales_Data!$J$2:$J$193=$A$4,Sales_Data!$I$2:$I$193=$A12),filter(Sales_Data!$R$2:$R$193,Sales_Data!$H$2:$H$193=E$1,Sales_Data!$J$2:$J$193=$A$4,Sales_Data!$I$2:$I$193=$A12,"&amp;"Sales_Data!$O$2:$O$193=$A$5)),0)"),4151520.0)</f>
        <v>4151520</v>
      </c>
      <c r="F12" s="75">
        <f>IFERROR(__xludf.DUMMYFUNCTION("iferror(if($A$5=""Overall"",filter(Sales_Data!$R$2:$R$193,Sales_Data!$H$2:$H$193=F$1,Sales_Data!$J$2:$J$193=$A$4,Sales_Data!$I$2:$I$193=$A12),filter(Sales_Data!$R$2:$R$193,Sales_Data!$H$2:$H$193=F$1,Sales_Data!$J$2:$J$193=$A$4,Sales_Data!$I$2:$I$193=$A12,"&amp;"Sales_Data!$O$2:$O$193=$A$5)),0)"),4815720.0)</f>
        <v>4815720</v>
      </c>
      <c r="G12" s="75">
        <f>IFERROR(__xludf.DUMMYFUNCTION("iferror(if($A$5=""Overall"",filter(Sales_Data!$R$2:$R$193,Sales_Data!$H$2:$H$193=G$1,Sales_Data!$J$2:$J$193=$A$4,Sales_Data!$I$2:$I$193=$A12),filter(Sales_Data!$R$2:$R$193,Sales_Data!$H$2:$H$193=G$1,Sales_Data!$J$2:$J$193=$A$4,Sales_Data!$I$2:$I$193=$A12,"&amp;"Sales_Data!$O$2:$O$193=$A$5)),0)"),5538105.0)</f>
        <v>5538105</v>
      </c>
      <c r="H12" s="15"/>
      <c r="I12" s="15"/>
      <c r="J12" s="83"/>
      <c r="K12" s="68"/>
      <c r="L12" s="68"/>
      <c r="M12" s="68"/>
      <c r="U12" s="15"/>
      <c r="V12" s="15"/>
      <c r="W12" s="15"/>
      <c r="X12" s="15"/>
      <c r="Y12" s="15"/>
      <c r="Z12" s="15"/>
    </row>
    <row r="13">
      <c r="A13" s="83" t="s">
        <v>19</v>
      </c>
      <c r="B13" s="75">
        <f>IFERROR(__xludf.DUMMYFUNCTION("iferror(if($A$5=""Overall"",filter(Sales_Data!$R$2:$R$193,Sales_Data!$H$2:$H$193=B$1,Sales_Data!$J$2:$J$193=$A$4,Sales_Data!$I$2:$I$193=$A13),filter(Sales_Data!$R$2:$R$193,Sales_Data!$H$2:$H$193=B$1,Sales_Data!$J$2:$J$193=$A$4,Sales_Data!$I$2:$I$193=$A13,"&amp;"Sales_Data!$O$2:$O$193=$A$5)),0)"),1628370.0)</f>
        <v>1628370</v>
      </c>
      <c r="C13" s="75">
        <f>IFERROR(__xludf.DUMMYFUNCTION("iferror(if($A$5=""Overall"",filter(Sales_Data!$R$2:$R$193,Sales_Data!$H$2:$H$193=C$1,Sales_Data!$J$2:$J$193=$A$4,Sales_Data!$I$2:$I$193=$A13),filter(Sales_Data!$R$2:$R$193,Sales_Data!$H$2:$H$193=C$1,Sales_Data!$J$2:$J$193=$A$4,Sales_Data!$I$2:$I$193=$A13,"&amp;"Sales_Data!$O$2:$O$193=$A$5)),0)"),1921455.0)</f>
        <v>1921455</v>
      </c>
      <c r="D13" s="75">
        <f>IFERROR(__xludf.DUMMYFUNCTION("iferror(if($A$5=""Overall"",filter(Sales_Data!$R$2:$R$193,Sales_Data!$H$2:$H$193=D$1,Sales_Data!$J$2:$J$193=$A$4,Sales_Data!$I$2:$I$193=$A13),filter(Sales_Data!$R$2:$R$193,Sales_Data!$H$2:$H$193=D$1,Sales_Data!$J$2:$J$193=$A$4,Sales_Data!$I$2:$I$193=$A13,"&amp;"Sales_Data!$O$2:$O$193=$A$5)),0)"),2248155.0)</f>
        <v>2248155</v>
      </c>
      <c r="E13" s="75">
        <f>IFERROR(__xludf.DUMMYFUNCTION("iferror(if($A$5=""Overall"",filter(Sales_Data!$R$2:$R$193,Sales_Data!$H$2:$H$193=E$1,Sales_Data!$J$2:$J$193=$A$4,Sales_Data!$I$2:$I$193=$A13),filter(Sales_Data!$R$2:$R$193,Sales_Data!$H$2:$H$193=E$1,Sales_Data!$J$2:$J$193=$A$4,Sales_Data!$I$2:$I$193=$A13,"&amp;"Sales_Data!$O$2:$O$193=$A$5)),0)"),2607795.0)</f>
        <v>2607795</v>
      </c>
      <c r="F13" s="75">
        <f>IFERROR(__xludf.DUMMYFUNCTION("iferror(if($A$5=""Overall"",filter(Sales_Data!$R$2:$R$193,Sales_Data!$H$2:$H$193=F$1,Sales_Data!$J$2:$J$193=$A$4,Sales_Data!$I$2:$I$193=$A13),filter(Sales_Data!$R$2:$R$193,Sales_Data!$H$2:$H$193=F$1,Sales_Data!$J$2:$J$193=$A$4,Sales_Data!$I$2:$I$193=$A13,"&amp;"Sales_Data!$O$2:$O$193=$A$5)),0)"),3051135.0)</f>
        <v>3051135</v>
      </c>
      <c r="G13" s="75">
        <f>IFERROR(__xludf.DUMMYFUNCTION("iferror(if($A$5=""Overall"",filter(Sales_Data!$R$2:$R$193,Sales_Data!$H$2:$H$193=G$1,Sales_Data!$J$2:$J$193=$A$4,Sales_Data!$I$2:$I$193=$A13),filter(Sales_Data!$R$2:$R$193,Sales_Data!$H$2:$H$193=G$1,Sales_Data!$J$2:$J$193=$A$4,Sales_Data!$I$2:$I$193=$A13,"&amp;"Sales_Data!$O$2:$O$193=$A$5)),0)"),3539295.0)</f>
        <v>3539295</v>
      </c>
      <c r="H13" s="15"/>
      <c r="I13" s="15"/>
      <c r="J13" s="80"/>
      <c r="K13" s="69"/>
      <c r="L13" s="69"/>
      <c r="M13" s="69"/>
      <c r="U13" s="15"/>
      <c r="V13" s="15"/>
      <c r="W13" s="15"/>
      <c r="X13" s="15"/>
      <c r="Y13" s="15"/>
      <c r="Z13" s="15"/>
    </row>
    <row r="14">
      <c r="A14" s="81" t="s">
        <v>20</v>
      </c>
      <c r="B14" s="75">
        <f>IFERROR(__xludf.DUMMYFUNCTION("iferror(if($A$5=""Overall"",filter(Sales_Data!$R$2:$R$193,Sales_Data!$H$2:$H$193=B$1,Sales_Data!$J$2:$J$193=$A$4,Sales_Data!$I$2:$I$193=$A14),filter(Sales_Data!$R$2:$R$193,Sales_Data!$H$2:$H$193=B$1,Sales_Data!$J$2:$J$193=$A$4,Sales_Data!$I$2:$I$193=$A14,"&amp;"Sales_Data!$O$2:$O$193=$A$5)),0)"),2714188.5)</f>
        <v>2714188.5</v>
      </c>
      <c r="C14" s="75">
        <f>IFERROR(__xludf.DUMMYFUNCTION("iferror(if($A$5=""Overall"",filter(Sales_Data!$R$2:$R$193,Sales_Data!$H$2:$H$193=C$1,Sales_Data!$J$2:$J$193=$A$4,Sales_Data!$I$2:$I$193=$A14),filter(Sales_Data!$R$2:$R$193,Sales_Data!$H$2:$H$193=C$1,Sales_Data!$J$2:$J$193=$A$4,Sales_Data!$I$2:$I$193=$A14,"&amp;"Sales_Data!$O$2:$O$193=$A$5)),0)"),2822809.5)</f>
        <v>2822809.5</v>
      </c>
      <c r="D14" s="75">
        <f>IFERROR(__xludf.DUMMYFUNCTION("iferror(if($A$5=""Overall"",filter(Sales_Data!$R$2:$R$193,Sales_Data!$H$2:$H$193=D$1,Sales_Data!$J$2:$J$193=$A$4,Sales_Data!$I$2:$I$193=$A14),filter(Sales_Data!$R$2:$R$193,Sales_Data!$H$2:$H$193=D$1,Sales_Data!$J$2:$J$193=$A$4,Sales_Data!$I$2:$I$193=$A14,"&amp;"Sales_Data!$O$2:$O$193=$A$5)),0)"),2907495.0)</f>
        <v>2907495</v>
      </c>
      <c r="E14" s="75">
        <f>IFERROR(__xludf.DUMMYFUNCTION("iferror(if($A$5=""Overall"",filter(Sales_Data!$R$2:$R$193,Sales_Data!$H$2:$H$193=E$1,Sales_Data!$J$2:$J$193=$A$4,Sales_Data!$I$2:$I$193=$A14),filter(Sales_Data!$R$2:$R$193,Sales_Data!$H$2:$H$193=E$1,Sales_Data!$J$2:$J$193=$A$4,Sales_Data!$I$2:$I$193=$A14,"&amp;"Sales_Data!$O$2:$O$193=$A$5)),0)"),2965693.5)</f>
        <v>2965693.5</v>
      </c>
      <c r="F14" s="75">
        <f>IFERROR(__xludf.DUMMYFUNCTION("iferror(if($A$5=""Overall"",filter(Sales_Data!$R$2:$R$193,Sales_Data!$H$2:$H$193=F$1,Sales_Data!$J$2:$J$193=$A$4,Sales_Data!$I$2:$I$193=$A14),filter(Sales_Data!$R$2:$R$193,Sales_Data!$H$2:$H$193=F$1,Sales_Data!$J$2:$J$193=$A$4,Sales_Data!$I$2:$I$193=$A14,"&amp;"Sales_Data!$O$2:$O$193=$A$5)),0)"),3173337.0)</f>
        <v>3173337</v>
      </c>
      <c r="G14" s="75">
        <f>IFERROR(__xludf.DUMMYFUNCTION("iferror(if($A$5=""Overall"",filter(Sales_Data!$R$2:$R$193,Sales_Data!$H$2:$H$193=G$1,Sales_Data!$J$2:$J$193=$A$4,Sales_Data!$I$2:$I$193=$A14),filter(Sales_Data!$R$2:$R$193,Sales_Data!$H$2:$H$193=G$1,Sales_Data!$J$2:$J$193=$A$4,Sales_Data!$I$2:$I$193=$A14,"&amp;"Sales_Data!$O$2:$O$193=$A$5)),0)"),3236760.0)</f>
        <v>3236760</v>
      </c>
      <c r="H14" s="15"/>
      <c r="I14" s="15"/>
      <c r="J14" s="81"/>
      <c r="K14" s="71"/>
      <c r="L14" s="71"/>
      <c r="M14" s="71"/>
      <c r="U14" s="15"/>
      <c r="V14" s="15"/>
      <c r="W14" s="15"/>
      <c r="X14" s="15"/>
      <c r="Y14" s="15"/>
      <c r="Z14" s="15"/>
    </row>
    <row r="15">
      <c r="A15" s="81" t="s">
        <v>21</v>
      </c>
      <c r="B15" s="75">
        <f>IFERROR(__xludf.DUMMYFUNCTION("iferror(if($A$5=""Overall"",filter(Sales_Data!$R$2:$R$193,Sales_Data!$H$2:$H$193=B$1,Sales_Data!$J$2:$J$193=$A$4,Sales_Data!$I$2:$I$193=$A15),filter(Sales_Data!$R$2:$R$193,Sales_Data!$H$2:$H$193=B$1,Sales_Data!$J$2:$J$193=$A$4,Sales_Data!$I$2:$I$193=$A15,"&amp;"Sales_Data!$O$2:$O$193=$A$5)),0)"),3238697.25)</f>
        <v>3238697.25</v>
      </c>
      <c r="C15" s="75">
        <f>IFERROR(__xludf.DUMMYFUNCTION("iferror(if($A$5=""Overall"",filter(Sales_Data!$R$2:$R$193,Sales_Data!$H$2:$H$193=C$1,Sales_Data!$J$2:$J$193=$A$4,Sales_Data!$I$2:$I$193=$A15),filter(Sales_Data!$R$2:$R$193,Sales_Data!$H$2:$H$193=C$1,Sales_Data!$J$2:$J$193=$A$4,Sales_Data!$I$2:$I$193=$A15,"&amp;"Sales_Data!$O$2:$O$193=$A$5)),0)"),3368229.75)</f>
        <v>3368229.75</v>
      </c>
      <c r="D15" s="75">
        <f>IFERROR(__xludf.DUMMYFUNCTION("iferror(if($A$5=""Overall"",filter(Sales_Data!$R$2:$R$193,Sales_Data!$H$2:$H$193=D$1,Sales_Data!$J$2:$J$193=$A$4,Sales_Data!$I$2:$I$193=$A15),filter(Sales_Data!$R$2:$R$193,Sales_Data!$H$2:$H$193=D$1,Sales_Data!$J$2:$J$193=$A$4,Sales_Data!$I$2:$I$193=$A15,"&amp;"Sales_Data!$O$2:$O$193=$A$5)),0)"),3637683.0)</f>
        <v>3637683</v>
      </c>
      <c r="E15" s="75">
        <f>IFERROR(__xludf.DUMMYFUNCTION("iferror(if($A$5=""Overall"",filter(Sales_Data!$R$2:$R$193,Sales_Data!$H$2:$H$193=E$1,Sales_Data!$J$2:$J$193=$A$4,Sales_Data!$I$2:$I$193=$A15),filter(Sales_Data!$R$2:$R$193,Sales_Data!$H$2:$H$193=E$1,Sales_Data!$J$2:$J$193=$A$4,Sales_Data!$I$2:$I$193=$A15,"&amp;"Sales_Data!$O$2:$O$193=$A$5)),0)"),3819541.5)</f>
        <v>3819541.5</v>
      </c>
      <c r="F15" s="75">
        <f>IFERROR(__xludf.DUMMYFUNCTION("iferror(if($A$5=""Overall"",filter(Sales_Data!$R$2:$R$193,Sales_Data!$H$2:$H$193=F$1,Sales_Data!$J$2:$J$193=$A$4,Sales_Data!$I$2:$I$193=$A15),filter(Sales_Data!$R$2:$R$193,Sales_Data!$H$2:$H$193=F$1,Sales_Data!$J$2:$J$193=$A$4,Sales_Data!$I$2:$I$193=$A15,"&amp;"Sales_Data!$O$2:$O$193=$A$5)),0)"),3895978.5)</f>
        <v>3895978.5</v>
      </c>
      <c r="G15" s="75">
        <f>IFERROR(__xludf.DUMMYFUNCTION("iferror(if($A$5=""Overall"",filter(Sales_Data!$R$2:$R$193,Sales_Data!$H$2:$H$193=G$1,Sales_Data!$J$2:$J$193=$A$4,Sales_Data!$I$2:$I$193=$A15),filter(Sales_Data!$R$2:$R$193,Sales_Data!$H$2:$H$193=G$1,Sales_Data!$J$2:$J$193=$A$4,Sales_Data!$I$2:$I$193=$A15,"&amp;"Sales_Data!$O$2:$O$193=$A$5)),0)"),3973954.5)</f>
        <v>3973954.5</v>
      </c>
      <c r="H15" s="15"/>
      <c r="I15" s="15"/>
      <c r="J15" s="80"/>
      <c r="K15" s="69"/>
      <c r="L15" s="69"/>
      <c r="M15" s="69"/>
      <c r="N15" s="58"/>
      <c r="O15" s="60"/>
      <c r="P15" s="60"/>
      <c r="Q15" s="60"/>
      <c r="R15" s="60"/>
      <c r="S15" s="60"/>
      <c r="T15" s="75"/>
      <c r="U15" s="15"/>
      <c r="V15" s="15"/>
      <c r="W15" s="15"/>
      <c r="X15" s="15"/>
      <c r="Y15" s="15"/>
      <c r="Z15" s="15"/>
    </row>
    <row r="16">
      <c r="A16" s="81" t="s">
        <v>22</v>
      </c>
      <c r="B16" s="75">
        <f>IFERROR(__xludf.DUMMYFUNCTION("iferror(if($A$5=""Overall"",filter(Sales_Data!$R$2:$R$193,Sales_Data!$H$2:$H$193=B$1,Sales_Data!$J$2:$J$193=$A$4,Sales_Data!$I$2:$I$193=$A16),filter(Sales_Data!$R$2:$R$193,Sales_Data!$H$2:$H$193=B$1,Sales_Data!$J$2:$J$193=$A$4,Sales_Data!$I$2:$I$193=$A16,"&amp;"Sales_Data!$O$2:$O$193=$A$5)),0)"),2287210.5)</f>
        <v>2287210.5</v>
      </c>
      <c r="C16" s="75">
        <f>IFERROR(__xludf.DUMMYFUNCTION("iferror(if($A$5=""Overall"",filter(Sales_Data!$R$2:$R$193,Sales_Data!$H$2:$H$193=C$1,Sales_Data!$J$2:$J$193=$A$4,Sales_Data!$I$2:$I$193=$A16),filter(Sales_Data!$R$2:$R$193,Sales_Data!$H$2:$H$193=C$1,Sales_Data!$J$2:$J$193=$A$4,Sales_Data!$I$2:$I$193=$A16,"&amp;"Sales_Data!$O$2:$O$193=$A$5)),0)"),2676064.5)</f>
        <v>2676064.5</v>
      </c>
      <c r="D16" s="75">
        <f>IFERROR(__xludf.DUMMYFUNCTION("iferror(if($A$5=""Overall"",filter(Sales_Data!$R$2:$R$193,Sales_Data!$H$2:$H$193=D$1,Sales_Data!$J$2:$J$193=$A$4,Sales_Data!$I$2:$I$193=$A16),filter(Sales_Data!$R$2:$R$193,Sales_Data!$H$2:$H$193=D$1,Sales_Data!$J$2:$J$193=$A$4,Sales_Data!$I$2:$I$193=$A16,"&amp;"Sales_Data!$O$2:$O$193=$A$5)),0)"),3104291.25)</f>
        <v>3104291.25</v>
      </c>
      <c r="E16" s="75">
        <f>IFERROR(__xludf.DUMMYFUNCTION("iferror(if($A$5=""Overall"",filter(Sales_Data!$R$2:$R$193,Sales_Data!$H$2:$H$193=E$1,Sales_Data!$J$2:$J$193=$A$4,Sales_Data!$I$2:$I$193=$A16),filter(Sales_Data!$R$2:$R$193,Sales_Data!$H$2:$H$193=E$1,Sales_Data!$J$2:$J$193=$A$4,Sales_Data!$I$2:$I$193=$A16,"&amp;"Sales_Data!$O$2:$O$193=$A$5)),0)"),3601003.5)</f>
        <v>3601003.5</v>
      </c>
      <c r="F16" s="75">
        <f>IFERROR(__xludf.DUMMYFUNCTION("iferror(if($A$5=""Overall"",filter(Sales_Data!$R$2:$R$193,Sales_Data!$H$2:$H$193=F$1,Sales_Data!$J$2:$J$193=$A$4,Sales_Data!$I$2:$I$193=$A16),filter(Sales_Data!$R$2:$R$193,Sales_Data!$H$2:$H$193=F$1,Sales_Data!$J$2:$J$193=$A$4,Sales_Data!$I$2:$I$193=$A16,"&amp;"Sales_Data!$O$2:$O$193=$A$5)),0)"),4141192.5)</f>
        <v>4141192.5</v>
      </c>
      <c r="G16" s="75">
        <f>IFERROR(__xludf.DUMMYFUNCTION("iferror(if($A$5=""Overall"",filter(Sales_Data!$R$2:$R$193,Sales_Data!$H$2:$H$193=G$1,Sales_Data!$J$2:$J$193=$A$4,Sales_Data!$I$2:$I$193=$A16),filter(Sales_Data!$R$2:$R$193,Sales_Data!$H$2:$H$193=G$1,Sales_Data!$J$2:$J$193=$A$4,Sales_Data!$I$2:$I$193=$A16,"&amp;"Sales_Data!$O$2:$O$193=$A$5)),0)"),4845156.75)</f>
        <v>4845156.75</v>
      </c>
      <c r="H16" s="15"/>
      <c r="I16" s="15"/>
      <c r="J16" s="80"/>
      <c r="K16" s="69"/>
      <c r="L16" s="69"/>
      <c r="M16" s="69"/>
      <c r="U16" s="15"/>
      <c r="V16" s="15"/>
      <c r="W16" s="15"/>
      <c r="X16" s="15"/>
      <c r="Y16" s="15"/>
      <c r="Z16" s="15"/>
    </row>
    <row r="17">
      <c r="A17" s="81" t="s">
        <v>23</v>
      </c>
      <c r="B17" s="75">
        <f>IFERROR(__xludf.DUMMYFUNCTION("iferror(if($A$5=""Overall"",filter(Sales_Data!$R$2:$R$193,Sales_Data!$H$2:$H$193=B$1,Sales_Data!$J$2:$J$193=$A$4,Sales_Data!$I$2:$I$193=$A17),filter(Sales_Data!$R$2:$R$193,Sales_Data!$H$2:$H$193=B$1,Sales_Data!$J$2:$J$193=$A$4,Sales_Data!$I$2:$I$193=$A17,"&amp;"Sales_Data!$O$2:$O$193=$A$5)),0)"),3326670.0)</f>
        <v>3326670</v>
      </c>
      <c r="C17" s="75">
        <f>IFERROR(__xludf.DUMMYFUNCTION("iferror(if($A$5=""Overall"",filter(Sales_Data!$R$2:$R$193,Sales_Data!$H$2:$H$193=C$1,Sales_Data!$J$2:$J$193=$A$4,Sales_Data!$I$2:$I$193=$A17),filter(Sales_Data!$R$2:$R$193,Sales_Data!$H$2:$H$193=C$1,Sales_Data!$J$2:$J$193=$A$4,Sales_Data!$I$2:$I$193=$A17,"&amp;"Sales_Data!$O$2:$O$193=$A$5)),0)"),3925530.0)</f>
        <v>3925530</v>
      </c>
      <c r="D17" s="75">
        <f>IFERROR(__xludf.DUMMYFUNCTION("iferror(if($A$5=""Overall"",filter(Sales_Data!$R$2:$R$193,Sales_Data!$H$2:$H$193=D$1,Sales_Data!$J$2:$J$193=$A$4,Sales_Data!$I$2:$I$193=$A17),filter(Sales_Data!$R$2:$R$193,Sales_Data!$H$2:$H$193=D$1,Sales_Data!$J$2:$J$193=$A$4,Sales_Data!$I$2:$I$193=$A17,"&amp;"Sales_Data!$O$2:$O$193=$A$5)),0)"),4592835.0)</f>
        <v>4592835</v>
      </c>
      <c r="E17" s="75">
        <f>IFERROR(__xludf.DUMMYFUNCTION("iferror(if($A$5=""Overall"",filter(Sales_Data!$R$2:$R$193,Sales_Data!$H$2:$H$193=E$1,Sales_Data!$J$2:$J$193=$A$4,Sales_Data!$I$2:$I$193=$A17),filter(Sales_Data!$R$2:$R$193,Sales_Data!$H$2:$H$193=E$1,Sales_Data!$J$2:$J$193=$A$4,Sales_Data!$I$2:$I$193=$A17,"&amp;"Sales_Data!$O$2:$O$193=$A$5)),0)"),5281740.0)</f>
        <v>5281740</v>
      </c>
      <c r="F17" s="75">
        <f>IFERROR(__xludf.DUMMYFUNCTION("iferror(if($A$5=""Overall"",filter(Sales_Data!$R$2:$R$193,Sales_Data!$H$2:$H$193=F$1,Sales_Data!$J$2:$J$193=$A$4,Sales_Data!$I$2:$I$193=$A17),filter(Sales_Data!$R$2:$R$193,Sales_Data!$H$2:$H$193=F$1,Sales_Data!$J$2:$J$193=$A$4,Sales_Data!$I$2:$I$193=$A17,"&amp;"Sales_Data!$O$2:$O$193=$A$5)),0)"),6074055.0)</f>
        <v>6074055</v>
      </c>
      <c r="G17" s="75">
        <f>IFERROR(__xludf.DUMMYFUNCTION("iferror(if($A$5=""Overall"",filter(Sales_Data!$R$2:$R$193,Sales_Data!$H$2:$H$193=G$1,Sales_Data!$J$2:$J$193=$A$4,Sales_Data!$I$2:$I$193=$A17),filter(Sales_Data!$R$2:$R$193,Sales_Data!$H$2:$H$193=G$1,Sales_Data!$J$2:$J$193=$A$4,Sales_Data!$I$2:$I$193=$A17,"&amp;"Sales_Data!$O$2:$O$193=$A$5)),0)"),7106670.0)</f>
        <v>7106670</v>
      </c>
      <c r="H17" s="15"/>
      <c r="I17" s="15"/>
      <c r="J17" s="81"/>
      <c r="K17" s="81"/>
      <c r="L17" s="81"/>
      <c r="M17" s="81"/>
      <c r="U17" s="15"/>
      <c r="V17" s="15"/>
      <c r="W17" s="15"/>
      <c r="X17" s="15"/>
      <c r="Y17" s="15"/>
      <c r="Z17" s="15"/>
    </row>
    <row r="18">
      <c r="A18" s="81" t="s">
        <v>24</v>
      </c>
      <c r="B18" s="75">
        <f>IFERROR(__xludf.DUMMYFUNCTION("iferror(if($A$5=""Overall"",filter(Sales_Data!$R$2:$R$193,Sales_Data!$H$2:$H$193=B$1,Sales_Data!$J$2:$J$193=$A$4,Sales_Data!$I$2:$I$193=$A18),filter(Sales_Data!$R$2:$R$193,Sales_Data!$H$2:$H$193=B$1,Sales_Data!$J$2:$J$193=$A$4,Sales_Data!$I$2:$I$193=$A18,"&amp;"Sales_Data!$O$2:$O$193=$A$5)),0)"),2459835.0)</f>
        <v>2459835</v>
      </c>
      <c r="C18" s="75">
        <f>IFERROR(__xludf.DUMMYFUNCTION("iferror(if($A$5=""Overall"",filter(Sales_Data!$R$2:$R$193,Sales_Data!$H$2:$H$193=C$1,Sales_Data!$J$2:$J$193=$A$4,Sales_Data!$I$2:$I$193=$A18),filter(Sales_Data!$R$2:$R$193,Sales_Data!$H$2:$H$193=C$1,Sales_Data!$J$2:$J$193=$A$4,Sales_Data!$I$2:$I$193=$A18,"&amp;"Sales_Data!$O$2:$O$193=$A$5)),0)"),2582803.125)</f>
        <v>2582803.125</v>
      </c>
      <c r="D18" s="75">
        <f>IFERROR(__xludf.DUMMYFUNCTION("iferror(if($A$5=""Overall"",filter(Sales_Data!$R$2:$R$193,Sales_Data!$H$2:$H$193=D$1,Sales_Data!$J$2:$J$193=$A$4,Sales_Data!$I$2:$I$193=$A18),filter(Sales_Data!$R$2:$R$193,Sales_Data!$H$2:$H$193=D$1,Sales_Data!$J$2:$J$193=$A$4,Sales_Data!$I$2:$I$193=$A18,"&amp;"Sales_Data!$O$2:$O$193=$A$5)),0)"),2711913.75)</f>
        <v>2711913.75</v>
      </c>
      <c r="E18" s="75">
        <f>IFERROR(__xludf.DUMMYFUNCTION("iferror(if($A$5=""Overall"",filter(Sales_Data!$R$2:$R$193,Sales_Data!$H$2:$H$193=E$1,Sales_Data!$J$2:$J$193=$A$4,Sales_Data!$I$2:$I$193=$A18),filter(Sales_Data!$R$2:$R$193,Sales_Data!$H$2:$H$193=E$1,Sales_Data!$J$2:$J$193=$A$4,Sales_Data!$I$2:$I$193=$A18,"&amp;"Sales_Data!$O$2:$O$193=$A$5)),0)"),2820352.5)</f>
        <v>2820352.5</v>
      </c>
      <c r="F18" s="75">
        <f>IFERROR(__xludf.DUMMYFUNCTION("iferror(if($A$5=""Overall"",filter(Sales_Data!$R$2:$R$193,Sales_Data!$H$2:$H$193=F$1,Sales_Data!$J$2:$J$193=$A$4,Sales_Data!$I$2:$I$193=$A18),filter(Sales_Data!$R$2:$R$193,Sales_Data!$H$2:$H$193=F$1,Sales_Data!$J$2:$J$193=$A$4,Sales_Data!$I$2:$I$193=$A18,"&amp;"Sales_Data!$O$2:$O$193=$A$5)),0)"),2933161.875)</f>
        <v>2933161.875</v>
      </c>
      <c r="G18" s="75">
        <f>IFERROR(__xludf.DUMMYFUNCTION("iferror(if($A$5=""Overall"",filter(Sales_Data!$R$2:$R$193,Sales_Data!$H$2:$H$193=G$1,Sales_Data!$J$2:$J$193=$A$4,Sales_Data!$I$2:$I$193=$A18),filter(Sales_Data!$R$2:$R$193,Sales_Data!$H$2:$H$193=G$1,Sales_Data!$J$2:$J$193=$A$4,Sales_Data!$I$2:$I$193=$A18,"&amp;"Sales_Data!$O$2:$O$193=$A$5)),0)"),2991870.0)</f>
        <v>2991870</v>
      </c>
      <c r="H18" s="15"/>
      <c r="I18" s="15"/>
      <c r="J18" s="80"/>
      <c r="K18" s="87"/>
      <c r="L18" s="87"/>
      <c r="M18" s="87"/>
      <c r="N18" s="58"/>
      <c r="O18" s="58"/>
      <c r="P18" s="58"/>
      <c r="Q18" s="58"/>
      <c r="R18" s="58"/>
      <c r="S18" s="58"/>
      <c r="T18" s="74"/>
      <c r="U18" s="15"/>
      <c r="V18" s="15"/>
      <c r="W18" s="15"/>
      <c r="X18" s="15"/>
      <c r="Y18" s="15"/>
      <c r="Z18" s="15"/>
    </row>
    <row r="19">
      <c r="A19" s="81" t="s">
        <v>27</v>
      </c>
      <c r="B19" s="75">
        <f>IFERROR(__xludf.DUMMYFUNCTION("iferror(if($A$5=""Overall"",filter(Sales_Data!$R$2:$R$193,Sales_Data!$H$2:$H$193=B$1,Sales_Data!$J$2:$J$193=$A$4,Sales_Data!$I$2:$I$193=$A19),filter(Sales_Data!$R$2:$R$193,Sales_Data!$H$2:$H$193=B$1,Sales_Data!$J$2:$J$193=$A$4,Sales_Data!$I$2:$I$193=$A19,"&amp;"Sales_Data!$O$2:$O$193=$A$5)),0)"),2751975.0)</f>
        <v>2751975</v>
      </c>
      <c r="C19" s="75">
        <f>IFERROR(__xludf.DUMMYFUNCTION("iferror(if($A$5=""Overall"",filter(Sales_Data!$R$2:$R$193,Sales_Data!$H$2:$H$193=C$1,Sales_Data!$J$2:$J$193=$A$4,Sales_Data!$I$2:$I$193=$A19),filter(Sales_Data!$R$2:$R$193,Sales_Data!$H$2:$H$193=C$1,Sales_Data!$J$2:$J$193=$A$4,Sales_Data!$I$2:$I$193=$A19,"&amp;"Sales_Data!$O$2:$O$193=$A$5)),0)"),2944674.0)</f>
        <v>2944674</v>
      </c>
      <c r="D19" s="75">
        <f>IFERROR(__xludf.DUMMYFUNCTION("iferror(if($A$5=""Overall"",filter(Sales_Data!$R$2:$R$193,Sales_Data!$H$2:$H$193=D$1,Sales_Data!$J$2:$J$193=$A$4,Sales_Data!$I$2:$I$193=$A19),filter(Sales_Data!$R$2:$R$193,Sales_Data!$H$2:$H$193=D$1,Sales_Data!$J$2:$J$193=$A$4,Sales_Data!$I$2:$I$193=$A19,"&amp;"Sales_Data!$O$2:$O$193=$A$5)),0)"),3003601.5)</f>
        <v>3003601.5</v>
      </c>
      <c r="E19" s="75">
        <f>IFERROR(__xludf.DUMMYFUNCTION("iferror(if($A$5=""Overall"",filter(Sales_Data!$R$2:$R$193,Sales_Data!$H$2:$H$193=E$1,Sales_Data!$J$2:$J$193=$A$4,Sales_Data!$I$2:$I$193=$A19),filter(Sales_Data!$R$2:$R$193,Sales_Data!$H$2:$H$193=E$1,Sales_Data!$J$2:$J$193=$A$4,Sales_Data!$I$2:$I$193=$A19,"&amp;"Sales_Data!$O$2:$O$193=$A$5)),0)"),3153775.5)</f>
        <v>3153775.5</v>
      </c>
      <c r="F19" s="75">
        <f>IFERROR(__xludf.DUMMYFUNCTION("iferror(if($A$5=""Overall"",filter(Sales_Data!$R$2:$R$193,Sales_Data!$H$2:$H$193=F$1,Sales_Data!$J$2:$J$193=$A$4,Sales_Data!$I$2:$I$193=$A19),filter(Sales_Data!$R$2:$R$193,Sales_Data!$H$2:$H$193=F$1,Sales_Data!$J$2:$J$193=$A$4,Sales_Data!$I$2:$I$193=$A19,"&amp;"Sales_Data!$O$2:$O$193=$A$5)),0)"),3248424.0)</f>
        <v>3248424</v>
      </c>
      <c r="G19" s="75">
        <f>IFERROR(__xludf.DUMMYFUNCTION("iferror(if($A$5=""Overall"",filter(Sales_Data!$R$2:$R$193,Sales_Data!$H$2:$H$193=G$1,Sales_Data!$J$2:$J$193=$A$4,Sales_Data!$I$2:$I$193=$A19),filter(Sales_Data!$R$2:$R$193,Sales_Data!$H$2:$H$193=G$1,Sales_Data!$J$2:$J$193=$A$4,Sales_Data!$I$2:$I$193=$A19,"&amp;"Sales_Data!$O$2:$O$193=$A$5)),0)"),3378307.5)</f>
        <v>3378307.5</v>
      </c>
      <c r="H19" s="15"/>
      <c r="I19" s="15"/>
      <c r="J19" s="51"/>
      <c r="K19" s="88"/>
      <c r="L19" s="88"/>
      <c r="M19" s="88"/>
      <c r="N19" s="61"/>
      <c r="O19" s="89"/>
      <c r="P19" s="89"/>
      <c r="Q19" s="89"/>
      <c r="R19" s="89"/>
      <c r="S19" s="89"/>
      <c r="T19" s="89"/>
      <c r="U19" s="15"/>
      <c r="V19" s="15"/>
      <c r="W19" s="15"/>
      <c r="X19" s="15"/>
      <c r="Y19" s="15"/>
      <c r="Z19" s="15"/>
    </row>
    <row r="20">
      <c r="A20" s="51" t="s">
        <v>26</v>
      </c>
      <c r="B20" s="75">
        <f>IFERROR(__xludf.DUMMYFUNCTION("iferror(if($A$5=""Overall"",filter(Sales_Data!$R$2:$R$193,Sales_Data!$H$2:$H$193=B$1,Sales_Data!$J$2:$J$193=$A$4,Sales_Data!$I$2:$I$193=$A20),filter(Sales_Data!$R$2:$R$193,Sales_Data!$H$2:$H$193=B$1,Sales_Data!$J$2:$J$193=$A$4,Sales_Data!$I$2:$I$193=$A20,"&amp;"Sales_Data!$O$2:$O$193=$A$5)),0)"),2712285.0)</f>
        <v>2712285</v>
      </c>
      <c r="C20" s="75">
        <f>IFERROR(__xludf.DUMMYFUNCTION("iferror(if($A$5=""Overall"",filter(Sales_Data!$R$2:$R$193,Sales_Data!$H$2:$H$193=C$1,Sales_Data!$J$2:$J$193=$A$4,Sales_Data!$I$2:$I$193=$A20),filter(Sales_Data!$R$2:$R$193,Sales_Data!$H$2:$H$193=C$1,Sales_Data!$J$2:$J$193=$A$4,Sales_Data!$I$2:$I$193=$A20,"&amp;"Sales_Data!$O$2:$O$193=$A$5)),0)"),3119175.0)</f>
        <v>3119175</v>
      </c>
      <c r="D20" s="75">
        <f>IFERROR(__xludf.DUMMYFUNCTION("iferror(if($A$5=""Overall"",filter(Sales_Data!$R$2:$R$193,Sales_Data!$H$2:$H$193=D$1,Sales_Data!$J$2:$J$193=$A$4,Sales_Data!$I$2:$I$193=$A20),filter(Sales_Data!$R$2:$R$193,Sales_Data!$H$2:$H$193=D$1,Sales_Data!$J$2:$J$193=$A$4,Sales_Data!$I$2:$I$193=$A20,"&amp;"Sales_Data!$O$2:$O$193=$A$5)),0)"),3680640.0)</f>
        <v>3680640</v>
      </c>
      <c r="E20" s="75">
        <f>IFERROR(__xludf.DUMMYFUNCTION("iferror(if($A$5=""Overall"",filter(Sales_Data!$R$2:$R$193,Sales_Data!$H$2:$H$193=E$1,Sales_Data!$J$2:$J$193=$A$4,Sales_Data!$I$2:$I$193=$A20),filter(Sales_Data!$R$2:$R$193,Sales_Data!$H$2:$H$193=E$1,Sales_Data!$J$2:$J$193=$A$4,Sales_Data!$I$2:$I$193=$A20,"&amp;"Sales_Data!$O$2:$O$193=$A$5)),0)"),4269510.0)</f>
        <v>4269510</v>
      </c>
      <c r="F20" s="75">
        <f>IFERROR(__xludf.DUMMYFUNCTION("iferror(if($A$5=""Overall"",filter(Sales_Data!$R$2:$R$193,Sales_Data!$H$2:$H$193=F$1,Sales_Data!$J$2:$J$193=$A$4,Sales_Data!$I$2:$I$193=$A20),filter(Sales_Data!$R$2:$R$193,Sales_Data!$H$2:$H$193=F$1,Sales_Data!$J$2:$J$193=$A$4,Sales_Data!$I$2:$I$193=$A20,"&amp;"Sales_Data!$O$2:$O$193=$A$5)),0)"),4952610.0)</f>
        <v>4952610</v>
      </c>
      <c r="G20" s="75">
        <f>IFERROR(__xludf.DUMMYFUNCTION("iferror(if($A$5=""Overall"",filter(Sales_Data!$R$2:$R$193,Sales_Data!$H$2:$H$193=G$1,Sales_Data!$J$2:$J$193=$A$4,Sales_Data!$I$2:$I$193=$A20),filter(Sales_Data!$R$2:$R$193,Sales_Data!$H$2:$H$193=G$1,Sales_Data!$J$2:$J$193=$A$4,Sales_Data!$I$2:$I$193=$A20,"&amp;"Sales_Data!$O$2:$O$193=$A$5)),0)"),5844015.0)</f>
        <v>5844015</v>
      </c>
      <c r="H20" s="15"/>
      <c r="I20" s="15"/>
      <c r="J20" s="51"/>
      <c r="K20" s="88"/>
      <c r="L20" s="88"/>
      <c r="M20" s="88"/>
      <c r="N20" s="57"/>
      <c r="O20" s="75"/>
      <c r="P20" s="75"/>
      <c r="Q20" s="75"/>
      <c r="R20" s="75"/>
      <c r="S20" s="75"/>
      <c r="T20" s="75"/>
      <c r="U20" s="15"/>
      <c r="V20" s="15"/>
      <c r="W20" s="15"/>
      <c r="X20" s="15"/>
      <c r="Y20" s="15"/>
      <c r="Z20" s="15"/>
    </row>
    <row r="21">
      <c r="A21" s="51" t="s">
        <v>25</v>
      </c>
      <c r="B21" s="75">
        <f>IFERROR(__xludf.DUMMYFUNCTION("iferror(if($A$5=""Overall"",filter(Sales_Data!$R$2:$R$193,Sales_Data!$H$2:$H$193=B$1,Sales_Data!$J$2:$J$193=$A$4,Sales_Data!$I$2:$I$193=$A21),filter(Sales_Data!$R$2:$R$193,Sales_Data!$H$2:$H$193=B$1,Sales_Data!$J$2:$J$193=$A$4,Sales_Data!$I$2:$I$193=$A21,"&amp;"Sales_Data!$O$2:$O$193=$A$5)),0)"),2220777.0)</f>
        <v>2220777</v>
      </c>
      <c r="C21" s="75">
        <f>IFERROR(__xludf.DUMMYFUNCTION("iferror(if($A$5=""Overall"",filter(Sales_Data!$R$2:$R$193,Sales_Data!$H$2:$H$193=C$1,Sales_Data!$J$2:$J$193=$A$4,Sales_Data!$I$2:$I$193=$A21),filter(Sales_Data!$R$2:$R$193,Sales_Data!$H$2:$H$193=C$1,Sales_Data!$J$2:$J$193=$A$4,Sales_Data!$I$2:$I$193=$A21,"&amp;"Sales_Data!$O$2:$O$193=$A$5)),0)"),2598345.0)</f>
        <v>2598345</v>
      </c>
      <c r="D21" s="75">
        <f>IFERROR(__xludf.DUMMYFUNCTION("iferror(if($A$5=""Overall"",filter(Sales_Data!$R$2:$R$193,Sales_Data!$H$2:$H$193=D$1,Sales_Data!$J$2:$J$193=$A$4,Sales_Data!$I$2:$I$193=$A21),filter(Sales_Data!$R$2:$R$193,Sales_Data!$H$2:$H$193=D$1,Sales_Data!$J$2:$J$193=$A$4,Sales_Data!$I$2:$I$193=$A21,"&amp;"Sales_Data!$O$2:$O$193=$A$5)),0)"),2988096.75)</f>
        <v>2988096.75</v>
      </c>
      <c r="E21" s="75">
        <f>IFERROR(__xludf.DUMMYFUNCTION("iferror(if($A$5=""Overall"",filter(Sales_Data!$R$2:$R$193,Sales_Data!$H$2:$H$193=E$1,Sales_Data!$J$2:$J$193=$A$4,Sales_Data!$I$2:$I$193=$A21),filter(Sales_Data!$R$2:$R$193,Sales_Data!$H$2:$H$193=E$1,Sales_Data!$J$2:$J$193=$A$4,Sales_Data!$I$2:$I$193=$A21,"&amp;"Sales_Data!$O$2:$O$193=$A$5)),0)"),3436330.5)</f>
        <v>3436330.5</v>
      </c>
      <c r="F21" s="75">
        <f>IFERROR(__xludf.DUMMYFUNCTION("iferror(if($A$5=""Overall"",filter(Sales_Data!$R$2:$R$193,Sales_Data!$H$2:$H$193=F$1,Sales_Data!$J$2:$J$193=$A$4,Sales_Data!$I$2:$I$193=$A21),filter(Sales_Data!$R$2:$R$193,Sales_Data!$H$2:$H$193=F$1,Sales_Data!$J$2:$J$193=$A$4,Sales_Data!$I$2:$I$193=$A21,"&amp;"Sales_Data!$O$2:$O$193=$A$5)),0)"),4054880.25)</f>
        <v>4054880.25</v>
      </c>
      <c r="G21" s="75">
        <f>IFERROR(__xludf.DUMMYFUNCTION("iferror(if($A$5=""Overall"",filter(Sales_Data!$R$2:$R$193,Sales_Data!$H$2:$H$193=G$1,Sales_Data!$J$2:$J$193=$A$4,Sales_Data!$I$2:$I$193=$A21),filter(Sales_Data!$R$2:$R$193,Sales_Data!$H$2:$H$193=G$1,Sales_Data!$J$2:$J$193=$A$4,Sales_Data!$I$2:$I$193=$A21,"&amp;"Sales_Data!$O$2:$O$193=$A$5)),0)"),4744224.0)</f>
        <v>4744224</v>
      </c>
      <c r="H21" s="15"/>
      <c r="I21" s="15"/>
      <c r="J21" s="51"/>
      <c r="K21" s="88"/>
      <c r="L21" s="88"/>
      <c r="M21" s="88"/>
      <c r="N21" s="57"/>
      <c r="O21" s="75"/>
      <c r="P21" s="75"/>
      <c r="Q21" s="75"/>
      <c r="R21" s="75"/>
      <c r="S21" s="75"/>
      <c r="T21" s="75"/>
      <c r="U21" s="15"/>
      <c r="V21" s="15"/>
      <c r="W21" s="15"/>
      <c r="X21" s="15"/>
      <c r="Y21" s="15"/>
      <c r="Z21" s="15"/>
    </row>
    <row r="22">
      <c r="A22" s="90" t="s">
        <v>319</v>
      </c>
      <c r="B22" s="77">
        <f t="shared" ref="B22:G22" si="1">sum(B6:B21)</f>
        <v>40181190.75</v>
      </c>
      <c r="C22" s="77">
        <f t="shared" si="1"/>
        <v>45379409.63</v>
      </c>
      <c r="D22" s="77">
        <f t="shared" si="1"/>
        <v>51371499.38</v>
      </c>
      <c r="E22" s="77">
        <f t="shared" si="1"/>
        <v>57889883.25</v>
      </c>
      <c r="F22" s="77">
        <f t="shared" si="1"/>
        <v>65534599.13</v>
      </c>
      <c r="G22" s="77">
        <f t="shared" si="1"/>
        <v>74219965.88</v>
      </c>
      <c r="H22" s="15"/>
      <c r="I22" s="15"/>
      <c r="J22" s="86"/>
      <c r="K22" s="81"/>
      <c r="L22" s="81"/>
      <c r="M22" s="81"/>
      <c r="N22" s="85"/>
      <c r="O22" s="59"/>
      <c r="P22" s="59"/>
      <c r="Q22" s="59"/>
      <c r="R22" s="59"/>
      <c r="S22" s="59"/>
      <c r="T22" s="59"/>
      <c r="U22" s="15"/>
      <c r="V22" s="15"/>
      <c r="W22" s="15"/>
      <c r="X22" s="15"/>
      <c r="Y22" s="15"/>
      <c r="Z22" s="15"/>
    </row>
    <row r="23">
      <c r="A23" s="15"/>
      <c r="B23" s="75"/>
      <c r="C23" s="75"/>
      <c r="D23" s="75"/>
      <c r="E23" s="75"/>
      <c r="F23" s="75"/>
      <c r="G23" s="75"/>
      <c r="H23" s="15"/>
      <c r="I23" s="15"/>
      <c r="J23" s="86"/>
      <c r="K23" s="81"/>
      <c r="L23" s="81"/>
      <c r="M23" s="81"/>
      <c r="N23" s="57"/>
      <c r="O23" s="72"/>
      <c r="P23" s="72"/>
      <c r="Q23" s="72"/>
      <c r="R23" s="72"/>
      <c r="S23" s="72"/>
      <c r="T23" s="72"/>
      <c r="U23" s="15"/>
      <c r="V23" s="15"/>
      <c r="W23" s="15"/>
      <c r="X23" s="15"/>
      <c r="Y23" s="15"/>
      <c r="Z23" s="15"/>
    </row>
    <row r="24">
      <c r="A24" s="57" t="s">
        <v>320</v>
      </c>
      <c r="B24" s="60"/>
      <c r="C24" s="60"/>
      <c r="D24" s="60"/>
      <c r="E24" s="60"/>
      <c r="F24" s="60"/>
      <c r="G24" s="75"/>
      <c r="H24" s="15"/>
      <c r="I24" s="15"/>
      <c r="J24" s="86"/>
      <c r="K24" s="81"/>
      <c r="L24" s="81"/>
      <c r="M24" s="81"/>
      <c r="N24" s="57"/>
      <c r="O24" s="58"/>
      <c r="P24" s="58"/>
      <c r="Q24" s="58"/>
      <c r="R24" s="58"/>
      <c r="S24" s="58"/>
      <c r="T24" s="74"/>
      <c r="U24" s="15"/>
      <c r="V24" s="15"/>
      <c r="W24" s="15"/>
      <c r="X24" s="15"/>
      <c r="Y24" s="15"/>
      <c r="Z24" s="15"/>
    </row>
    <row r="25">
      <c r="A25" s="85" t="s">
        <v>321</v>
      </c>
      <c r="B25" s="59">
        <f>'Cost-RM'!B11</f>
        <v>14182758.48</v>
      </c>
      <c r="C25" s="59">
        <f>'Cost-RM'!C11</f>
        <v>15985691.52</v>
      </c>
      <c r="D25" s="59">
        <f>'Cost-RM'!D11</f>
        <v>18054634.08</v>
      </c>
      <c r="E25" s="59">
        <f>'Cost-RM'!E11</f>
        <v>20302902.72</v>
      </c>
      <c r="F25" s="59">
        <f>'Cost-RM'!F11</f>
        <v>22939344.48</v>
      </c>
      <c r="G25" s="59">
        <f>'Cost-RM'!G11</f>
        <v>25928387.52</v>
      </c>
      <c r="H25" s="15"/>
      <c r="I25" s="15"/>
      <c r="J25" s="83"/>
      <c r="K25" s="68"/>
      <c r="L25" s="68"/>
      <c r="M25" s="68"/>
      <c r="U25" s="15"/>
      <c r="V25" s="15"/>
      <c r="W25" s="15"/>
      <c r="X25" s="15"/>
      <c r="Y25" s="15"/>
      <c r="Z25" s="15"/>
    </row>
    <row r="26">
      <c r="A26" s="85" t="s">
        <v>322</v>
      </c>
      <c r="B26" s="59">
        <f>Assumption!$B$34*'Sales Quantity'!C2</f>
        <v>618794</v>
      </c>
      <c r="C26" s="59">
        <f>Assumption!$B$34*'Sales Quantity'!D2</f>
        <v>697456</v>
      </c>
      <c r="D26" s="59">
        <f>Assumption!$B$34*'Sales Quantity'!E2</f>
        <v>787724</v>
      </c>
      <c r="E26" s="59">
        <f>Assumption!$B$34*'Sales Quantity'!F2</f>
        <v>885816</v>
      </c>
      <c r="F26" s="59">
        <f>Assumption!$B$34*'Sales Quantity'!G2</f>
        <v>1000844</v>
      </c>
      <c r="G26" s="59">
        <f>Assumption!$B$34*'Sales Quantity'!H2</f>
        <v>1131256</v>
      </c>
      <c r="H26" s="15"/>
      <c r="I26" s="15"/>
      <c r="J26" s="83"/>
      <c r="K26" s="68"/>
      <c r="L26" s="68"/>
      <c r="M26" s="68"/>
      <c r="U26" s="15"/>
      <c r="V26" s="15"/>
      <c r="W26" s="15"/>
      <c r="X26" s="15"/>
      <c r="Y26" s="15"/>
      <c r="Z26" s="15"/>
    </row>
    <row r="27">
      <c r="A27" s="85" t="s">
        <v>323</v>
      </c>
      <c r="B27" s="59">
        <f>Assumption!$B$35*'Sales Quantity'!C2</f>
        <v>2475176</v>
      </c>
      <c r="C27" s="59">
        <f>Assumption!$B$35*'Sales Quantity'!D2</f>
        <v>2789824</v>
      </c>
      <c r="D27" s="59">
        <f>Assumption!$B$35*'Sales Quantity'!E2</f>
        <v>3150896</v>
      </c>
      <c r="E27" s="59">
        <f>Assumption!$B$35*'Sales Quantity'!F2</f>
        <v>3543264</v>
      </c>
      <c r="F27" s="59">
        <f>Assumption!$B$35*'Sales Quantity'!G2</f>
        <v>4003376</v>
      </c>
      <c r="G27" s="59">
        <f>Assumption!$B$35*'Sales Quantity'!H2</f>
        <v>4525024</v>
      </c>
      <c r="H27" s="15"/>
      <c r="I27" s="15"/>
      <c r="J27" s="83"/>
      <c r="K27" s="68"/>
      <c r="L27" s="68"/>
      <c r="M27" s="68"/>
      <c r="U27" s="15"/>
      <c r="V27" s="15"/>
      <c r="W27" s="15"/>
      <c r="X27" s="15"/>
      <c r="Y27" s="15"/>
      <c r="Z27" s="15"/>
    </row>
    <row r="28">
      <c r="A28" s="61" t="s">
        <v>324</v>
      </c>
      <c r="B28" s="67">
        <f t="shared" ref="B28:G28" si="2">sum(B25:B27)</f>
        <v>17276728.48</v>
      </c>
      <c r="C28" s="67">
        <f t="shared" si="2"/>
        <v>19472971.52</v>
      </c>
      <c r="D28" s="67">
        <f t="shared" si="2"/>
        <v>21993254.08</v>
      </c>
      <c r="E28" s="67">
        <f t="shared" si="2"/>
        <v>24731982.72</v>
      </c>
      <c r="F28" s="67">
        <f t="shared" si="2"/>
        <v>27943564.48</v>
      </c>
      <c r="G28" s="67">
        <f t="shared" si="2"/>
        <v>31584667.52</v>
      </c>
      <c r="H28" s="15"/>
      <c r="I28" s="15"/>
      <c r="J28" s="80"/>
      <c r="K28" s="69"/>
      <c r="L28" s="69"/>
      <c r="M28" s="69"/>
      <c r="U28" s="15"/>
      <c r="V28" s="15"/>
      <c r="W28" s="15"/>
      <c r="X28" s="15"/>
      <c r="Y28" s="15"/>
      <c r="Z28" s="15"/>
    </row>
    <row r="29">
      <c r="A29" s="15"/>
      <c r="B29" s="75"/>
      <c r="C29" s="75"/>
      <c r="D29" s="75"/>
      <c r="E29" s="75"/>
      <c r="F29" s="75"/>
      <c r="G29" s="75"/>
      <c r="H29" s="15"/>
      <c r="I29" s="15"/>
      <c r="J29" s="51"/>
      <c r="K29" s="84"/>
      <c r="L29" s="84"/>
      <c r="M29" s="84"/>
      <c r="U29" s="15"/>
      <c r="V29" s="15"/>
      <c r="W29" s="15"/>
      <c r="X29" s="15"/>
      <c r="Y29" s="15"/>
      <c r="Z29" s="15"/>
    </row>
    <row r="30">
      <c r="A30" s="57" t="s">
        <v>325</v>
      </c>
      <c r="B30" s="89">
        <f>B28/'Sales Quantity'!C2</f>
        <v>55.84</v>
      </c>
      <c r="C30" s="89">
        <f>C28/'Sales Quantity'!D2</f>
        <v>55.84</v>
      </c>
      <c r="D30" s="89">
        <f>D28/'Sales Quantity'!E2</f>
        <v>55.84</v>
      </c>
      <c r="E30" s="89">
        <f>E28/'Sales Quantity'!F2</f>
        <v>55.84</v>
      </c>
      <c r="F30" s="89">
        <f>F28/'Sales Quantity'!G2</f>
        <v>55.84</v>
      </c>
      <c r="G30" s="89">
        <f>G28/'Sales Quantity'!H2</f>
        <v>55.84</v>
      </c>
      <c r="H30" s="15"/>
      <c r="I30" s="15"/>
      <c r="J30" s="80"/>
      <c r="K30" s="69"/>
      <c r="L30" s="69"/>
      <c r="M30" s="69"/>
      <c r="N30" s="57"/>
      <c r="O30" s="67"/>
      <c r="P30" s="67"/>
      <c r="Q30" s="67"/>
      <c r="R30" s="67"/>
      <c r="S30" s="67"/>
      <c r="T30" s="67"/>
      <c r="U30" s="15"/>
      <c r="V30" s="15"/>
      <c r="W30" s="15"/>
      <c r="X30" s="15"/>
      <c r="Y30" s="15"/>
      <c r="Z30" s="15"/>
    </row>
    <row r="31">
      <c r="A31" s="61" t="s">
        <v>326</v>
      </c>
      <c r="B31" s="67">
        <f t="shared" ref="B31:G31" si="3">B22-B28</f>
        <v>22904462.27</v>
      </c>
      <c r="C31" s="67">
        <f t="shared" si="3"/>
        <v>25906438.11</v>
      </c>
      <c r="D31" s="67">
        <f t="shared" si="3"/>
        <v>29378245.3</v>
      </c>
      <c r="E31" s="67">
        <f t="shared" si="3"/>
        <v>33157900.53</v>
      </c>
      <c r="F31" s="67">
        <f t="shared" si="3"/>
        <v>37591034.65</v>
      </c>
      <c r="G31" s="67">
        <f t="shared" si="3"/>
        <v>42635298.36</v>
      </c>
      <c r="H31" s="15"/>
      <c r="I31" s="15"/>
      <c r="J31" s="80"/>
      <c r="K31" s="69"/>
      <c r="L31" s="69"/>
      <c r="M31" s="69"/>
      <c r="N31" s="57"/>
      <c r="O31" s="67"/>
      <c r="P31" s="67"/>
      <c r="Q31" s="67"/>
      <c r="R31" s="67"/>
      <c r="S31" s="67"/>
      <c r="T31" s="67"/>
      <c r="U31" s="15"/>
      <c r="V31" s="15"/>
      <c r="W31" s="15"/>
      <c r="X31" s="15"/>
      <c r="Y31" s="15"/>
      <c r="Z31" s="15"/>
    </row>
    <row r="32">
      <c r="A32" s="15"/>
      <c r="B32" s="75"/>
      <c r="C32" s="75"/>
      <c r="D32" s="75"/>
      <c r="E32" s="75"/>
      <c r="F32" s="75"/>
      <c r="G32" s="75"/>
      <c r="H32" s="15"/>
      <c r="I32" s="15"/>
      <c r="J32" s="81"/>
      <c r="K32" s="81"/>
      <c r="L32" s="81"/>
      <c r="M32" s="81"/>
      <c r="N32" s="61"/>
      <c r="O32" s="67"/>
      <c r="P32" s="67"/>
      <c r="Q32" s="67"/>
      <c r="R32" s="67"/>
      <c r="S32" s="67"/>
      <c r="T32" s="67"/>
      <c r="U32" s="15"/>
      <c r="V32" s="15"/>
      <c r="W32" s="15"/>
      <c r="X32" s="15"/>
      <c r="Y32" s="15"/>
      <c r="Z32" s="15"/>
    </row>
    <row r="33">
      <c r="A33" s="61" t="s">
        <v>327</v>
      </c>
      <c r="B33" s="91">
        <f>B31/'Sales Quantity'!C2</f>
        <v>74.02936121</v>
      </c>
      <c r="C33" s="91">
        <f>C31/'Sales Quantity'!D2</f>
        <v>74.28837978</v>
      </c>
      <c r="D33" s="91">
        <f>D31/'Sales Quantity'!E2</f>
        <v>74.59019985</v>
      </c>
      <c r="E33" s="91">
        <f>E31/'Sales Quantity'!F2</f>
        <v>74.86408132</v>
      </c>
      <c r="F33" s="91">
        <f>F31/'Sales Quantity'!G2</f>
        <v>75.11866913</v>
      </c>
      <c r="G33" s="91">
        <f>G31/'Sales Quantity'!H2</f>
        <v>75.37692327</v>
      </c>
      <c r="H33" s="92"/>
      <c r="I33" s="15"/>
      <c r="J33" s="80"/>
      <c r="K33" s="87"/>
      <c r="L33" s="87"/>
      <c r="M33" s="87"/>
      <c r="N33" s="58"/>
      <c r="O33" s="58"/>
      <c r="P33" s="58"/>
      <c r="Q33" s="58"/>
      <c r="R33" s="58"/>
      <c r="S33" s="58"/>
      <c r="T33" s="74"/>
      <c r="U33" s="15"/>
      <c r="V33" s="15"/>
      <c r="W33" s="15"/>
      <c r="X33" s="15"/>
      <c r="Y33" s="15"/>
      <c r="Z33" s="15"/>
    </row>
    <row r="34">
      <c r="A34" s="15"/>
      <c r="B34" s="75"/>
      <c r="C34" s="75"/>
      <c r="D34" s="75"/>
      <c r="E34" s="75"/>
      <c r="F34" s="75"/>
      <c r="G34" s="75"/>
      <c r="H34" s="15"/>
      <c r="I34" s="15"/>
      <c r="J34" s="51"/>
      <c r="K34" s="51"/>
      <c r="L34" s="51"/>
      <c r="M34" s="51"/>
      <c r="N34" s="61"/>
      <c r="O34" s="89"/>
      <c r="P34" s="89"/>
      <c r="Q34" s="89"/>
      <c r="R34" s="89"/>
      <c r="S34" s="89"/>
      <c r="T34" s="89"/>
      <c r="U34" s="15"/>
      <c r="V34" s="15"/>
      <c r="W34" s="15"/>
      <c r="X34" s="15"/>
      <c r="Y34" s="15"/>
      <c r="Z34" s="15"/>
    </row>
    <row r="35">
      <c r="A35" s="90" t="s">
        <v>276</v>
      </c>
      <c r="B35" s="75"/>
      <c r="C35" s="75"/>
      <c r="D35" s="75"/>
      <c r="E35" s="75"/>
      <c r="F35" s="75"/>
      <c r="G35" s="7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83" t="s">
        <v>257</v>
      </c>
      <c r="B36" s="75"/>
      <c r="C36" s="75"/>
      <c r="D36" s="75"/>
      <c r="E36" s="75"/>
      <c r="F36" s="75"/>
      <c r="G36" s="7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83" t="str">
        <f t="array" ref="A37:A52">UNIQUE(Sales_Data!I2:I193)</f>
        <v>Delhi</v>
      </c>
      <c r="B37" s="75">
        <f>IFERROR(__xludf.DUMMYFUNCTION("iferror(if($A$36=""Overall"",filter(Sales_Data!$R$2:$R$193,Sales_Data!$H$2:$H$193=B$1,Sales_Data!$I$2:$I$193=$A37,Sales_Data!$J$2:$J$193=$A$35),filter(Sales_Data!$R$2:$R$193,Sales_Data!$H$2:$H$193=B$1,Sales_Data!$I$2:$I$193=$A37,Sales_Data!$J$2:$J$193=$A$"&amp;"35,Sales_Data!$O$2:$O$193=$A$36)),0)"),999000.0)</f>
        <v>999000</v>
      </c>
      <c r="C37" s="75">
        <f>IFERROR(__xludf.DUMMYFUNCTION("iferror(if($A$36=""Overall"",filter(Sales_Data!$R$2:$R$193,Sales_Data!$H$2:$H$193=C$1,Sales_Data!$I$2:$I$193=$A37,Sales_Data!$J$2:$J$193=$A$35),filter(Sales_Data!$R$2:$R$193,Sales_Data!$H$2:$H$193=C$1,Sales_Data!$I$2:$I$193=$A37,Sales_Data!$J$2:$J$193=$A$"&amp;"35,Sales_Data!$O$2:$O$193=$A$36)),0)"),1148880.0)</f>
        <v>1148880</v>
      </c>
      <c r="D37" s="75">
        <f>IFERROR(__xludf.DUMMYFUNCTION("iferror(if($A$36=""Overall"",filter(Sales_Data!$R$2:$R$193,Sales_Data!$H$2:$H$193=D$1,Sales_Data!$I$2:$I$193=$A37,Sales_Data!$J$2:$J$193=$A$35),filter(Sales_Data!$R$2:$R$193,Sales_Data!$H$2:$H$193=D$1,Sales_Data!$I$2:$I$193=$A37,Sales_Data!$J$2:$J$193=$A$"&amp;"35,Sales_Data!$O$2:$O$193=$A$36)),0)"),1332720.0)</f>
        <v>1332720</v>
      </c>
      <c r="E37" s="75">
        <f>IFERROR(__xludf.DUMMYFUNCTION("iferror(if($A$36=""Overall"",filter(Sales_Data!$R$2:$R$193,Sales_Data!$H$2:$H$193=E$1,Sales_Data!$I$2:$I$193=$A37,Sales_Data!$J$2:$J$193=$A$35),filter(Sales_Data!$R$2:$R$193,Sales_Data!$H$2:$H$193=E$1,Sales_Data!$I$2:$I$193=$A37,Sales_Data!$J$2:$J$193=$A$"&amp;"35,Sales_Data!$O$2:$O$193=$A$36)),0)"),1532640.0)</f>
        <v>1532640</v>
      </c>
      <c r="F37" s="75">
        <f>IFERROR(__xludf.DUMMYFUNCTION("iferror(if($A$36=""Overall"",filter(Sales_Data!$R$2:$R$193,Sales_Data!$H$2:$H$193=F$1,Sales_Data!$I$2:$I$193=$A37,Sales_Data!$J$2:$J$193=$A$35),filter(Sales_Data!$R$2:$R$193,Sales_Data!$H$2:$H$193=F$1,Sales_Data!$I$2:$I$193=$A37,Sales_Data!$J$2:$J$193=$A$"&amp;"35,Sales_Data!$O$2:$O$193=$A$36)),0)"),1793160.0)</f>
        <v>1793160</v>
      </c>
      <c r="G37" s="75">
        <f>IFERROR(__xludf.DUMMYFUNCTION("iferror(if($A$36=""Overall"",filter(Sales_Data!$R$2:$R$193,Sales_Data!$H$2:$H$193=G$1,Sales_Data!$I$2:$I$193=$A37,Sales_Data!$J$2:$J$193=$A$35),filter(Sales_Data!$R$2:$R$193,Sales_Data!$H$2:$H$193=G$1,Sales_Data!$I$2:$I$193=$A37,Sales_Data!$J$2:$J$193=$A$"&amp;"35,Sales_Data!$O$2:$O$193=$A$36)),0)"),2062140.0)</f>
        <v>2062140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 t="s">
        <v>13</v>
      </c>
      <c r="B38" s="75">
        <f>IFERROR(__xludf.DUMMYFUNCTION("iferror(if($A$36=""Overall"",filter(Sales_Data!$R$2:$R$193,Sales_Data!$H$2:$H$193=B$1,Sales_Data!$I$2:$I$193=$A38,Sales_Data!$J$2:$J$193=$A$35),filter(Sales_Data!$R$2:$R$193,Sales_Data!$H$2:$H$193=B$1,Sales_Data!$I$2:$I$193=$A38,Sales_Data!$J$2:$J$193=$A$"&amp;"35,Sales_Data!$O$2:$O$193=$A$36)),0)"),1340880.0)</f>
        <v>1340880</v>
      </c>
      <c r="C38" s="75">
        <f>IFERROR(__xludf.DUMMYFUNCTION("iferror(if($A$36=""Overall"",filter(Sales_Data!$R$2:$R$193,Sales_Data!$H$2:$H$193=C$1,Sales_Data!$I$2:$I$193=$A38,Sales_Data!$J$2:$J$193=$A$35),filter(Sales_Data!$R$2:$R$193,Sales_Data!$H$2:$H$193=C$1,Sales_Data!$I$2:$I$193=$A38,Sales_Data!$J$2:$J$193=$A$"&amp;"35,Sales_Data!$O$2:$O$193=$A$36)),0)"),1555440.0)</f>
        <v>1555440</v>
      </c>
      <c r="D38" s="75">
        <f>IFERROR(__xludf.DUMMYFUNCTION("iferror(if($A$36=""Overall"",filter(Sales_Data!$R$2:$R$193,Sales_Data!$H$2:$H$193=D$1,Sales_Data!$I$2:$I$193=$A38,Sales_Data!$J$2:$J$193=$A$35),filter(Sales_Data!$R$2:$R$193,Sales_Data!$H$2:$H$193=D$1,Sales_Data!$I$2:$I$193=$A38,Sales_Data!$J$2:$J$193=$A$"&amp;"35,Sales_Data!$O$2:$O$193=$A$36)),0)"),1788780.0)</f>
        <v>1788780</v>
      </c>
      <c r="E38" s="75">
        <f>IFERROR(__xludf.DUMMYFUNCTION("iferror(if($A$36=""Overall"",filter(Sales_Data!$R$2:$R$193,Sales_Data!$H$2:$H$193=E$1,Sales_Data!$I$2:$I$193=$A38,Sales_Data!$J$2:$J$193=$A$35),filter(Sales_Data!$R$2:$R$193,Sales_Data!$H$2:$H$193=E$1,Sales_Data!$I$2:$I$193=$A38,Sales_Data!$J$2:$J$193=$A$"&amp;"35,Sales_Data!$O$2:$O$193=$A$36)),0)"),2110740.0)</f>
        <v>2110740</v>
      </c>
      <c r="F38" s="75">
        <f>IFERROR(__xludf.DUMMYFUNCTION("iferror(if($A$36=""Overall"",filter(Sales_Data!$R$2:$R$193,Sales_Data!$H$2:$H$193=F$1,Sales_Data!$I$2:$I$193=$A38,Sales_Data!$J$2:$J$193=$A$35),filter(Sales_Data!$R$2:$R$193,Sales_Data!$H$2:$H$193=F$1,Sales_Data!$I$2:$I$193=$A38,Sales_Data!$J$2:$J$193=$A$"&amp;"35,Sales_Data!$O$2:$O$193=$A$36)),0)"),2490660.0)</f>
        <v>2490660</v>
      </c>
      <c r="G38" s="75">
        <f>IFERROR(__xludf.DUMMYFUNCTION("iferror(if($A$36=""Overall"",filter(Sales_Data!$R$2:$R$193,Sales_Data!$H$2:$H$193=G$1,Sales_Data!$I$2:$I$193=$A38,Sales_Data!$J$2:$J$193=$A$35),filter(Sales_Data!$R$2:$R$193,Sales_Data!$H$2:$H$193=G$1,Sales_Data!$I$2:$I$193=$A38,Sales_Data!$J$2:$J$193=$A$"&amp;"35,Sales_Data!$O$2:$O$193=$A$36)),0)"),2914080.0)</f>
        <v>2914080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 t="s">
        <v>14</v>
      </c>
      <c r="B39" s="75">
        <f>IFERROR(__xludf.DUMMYFUNCTION("iferror(if($A$36=""Overall"",filter(Sales_Data!$R$2:$R$193,Sales_Data!$H$2:$H$193=B$1,Sales_Data!$I$2:$I$193=$A39,Sales_Data!$J$2:$J$193=$A$35),filter(Sales_Data!$R$2:$R$193,Sales_Data!$H$2:$H$193=B$1,Sales_Data!$I$2:$I$193=$A39,Sales_Data!$J$2:$J$193=$A$"&amp;"35,Sales_Data!$O$2:$O$193=$A$36)),0)"),947940.0)</f>
        <v>947940</v>
      </c>
      <c r="C39" s="75">
        <f>IFERROR(__xludf.DUMMYFUNCTION("iferror(if($A$36=""Overall"",filter(Sales_Data!$R$2:$R$193,Sales_Data!$H$2:$H$193=C$1,Sales_Data!$I$2:$I$193=$A39,Sales_Data!$J$2:$J$193=$A$35),filter(Sales_Data!$R$2:$R$193,Sales_Data!$H$2:$H$193=C$1,Sales_Data!$I$2:$I$193=$A39,Sales_Data!$J$2:$J$193=$A$"&amp;"35,Sales_Data!$O$2:$O$193=$A$36)),0)"),1118580.0)</f>
        <v>1118580</v>
      </c>
      <c r="D39" s="75">
        <f>IFERROR(__xludf.DUMMYFUNCTION("iferror(if($A$36=""Overall"",filter(Sales_Data!$R$2:$R$193,Sales_Data!$H$2:$H$193=D$1,Sales_Data!$I$2:$I$193=$A39,Sales_Data!$J$2:$J$193=$A$35),filter(Sales_Data!$R$2:$R$193,Sales_Data!$H$2:$H$193=D$1,Sales_Data!$I$2:$I$193=$A39,Sales_Data!$J$2:$J$193=$A$"&amp;"35,Sales_Data!$O$2:$O$193=$A$36)),0)"),1319940.0)</f>
        <v>1319940</v>
      </c>
      <c r="E39" s="75">
        <f>IFERROR(__xludf.DUMMYFUNCTION("iferror(if($A$36=""Overall"",filter(Sales_Data!$R$2:$R$193,Sales_Data!$H$2:$H$193=E$1,Sales_Data!$I$2:$I$193=$A39,Sales_Data!$J$2:$J$193=$A$35),filter(Sales_Data!$R$2:$R$193,Sales_Data!$H$2:$H$193=E$1,Sales_Data!$I$2:$I$193=$A39,Sales_Data!$J$2:$J$193=$A$"&amp;"35,Sales_Data!$O$2:$O$193=$A$36)),0)"),1544340.0)</f>
        <v>1544340</v>
      </c>
      <c r="F39" s="75">
        <f>IFERROR(__xludf.DUMMYFUNCTION("iferror(if($A$36=""Overall"",filter(Sales_Data!$R$2:$R$193,Sales_Data!$H$2:$H$193=F$1,Sales_Data!$I$2:$I$193=$A39,Sales_Data!$J$2:$J$193=$A$35),filter(Sales_Data!$R$2:$R$193,Sales_Data!$H$2:$H$193=F$1,Sales_Data!$I$2:$I$193=$A39,Sales_Data!$J$2:$J$193=$A$"&amp;"35,Sales_Data!$O$2:$O$193=$A$36)),0)"),1791420.0)</f>
        <v>1791420</v>
      </c>
      <c r="G39" s="75">
        <f>IFERROR(__xludf.DUMMYFUNCTION("iferror(if($A$36=""Overall"",filter(Sales_Data!$R$2:$R$193,Sales_Data!$H$2:$H$193=G$1,Sales_Data!$I$2:$I$193=$A39,Sales_Data!$J$2:$J$193=$A$35),filter(Sales_Data!$R$2:$R$193,Sales_Data!$H$2:$H$193=G$1,Sales_Data!$I$2:$I$193=$A39,Sales_Data!$J$2:$J$193=$A$"&amp;"35,Sales_Data!$O$2:$O$193=$A$36)),0)"),2078040.0)</f>
        <v>2078040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 t="s">
        <v>15</v>
      </c>
      <c r="B40" s="75">
        <f>IFERROR(__xludf.DUMMYFUNCTION("iferror(if($A$36=""Overall"",filter(Sales_Data!$R$2:$R$193,Sales_Data!$H$2:$H$193=B$1,Sales_Data!$I$2:$I$193=$A40,Sales_Data!$J$2:$J$193=$A$35),filter(Sales_Data!$R$2:$R$193,Sales_Data!$H$2:$H$193=B$1,Sales_Data!$I$2:$I$193=$A40,Sales_Data!$J$2:$J$193=$A$"&amp;"35,Sales_Data!$O$2:$O$193=$A$36)),0)"),808080.0)</f>
        <v>808080</v>
      </c>
      <c r="C40" s="75">
        <f>IFERROR(__xludf.DUMMYFUNCTION("iferror(if($A$36=""Overall"",filter(Sales_Data!$R$2:$R$193,Sales_Data!$H$2:$H$193=C$1,Sales_Data!$I$2:$I$193=$A40,Sales_Data!$J$2:$J$193=$A$35),filter(Sales_Data!$R$2:$R$193,Sales_Data!$H$2:$H$193=C$1,Sales_Data!$I$2:$I$193=$A40,Sales_Data!$J$2:$J$193=$A$"&amp;"35,Sales_Data!$O$2:$O$193=$A$36)),0)"),937380.0)</f>
        <v>937380</v>
      </c>
      <c r="D40" s="75">
        <f>IFERROR(__xludf.DUMMYFUNCTION("iferror(if($A$36=""Overall"",filter(Sales_Data!$R$2:$R$193,Sales_Data!$H$2:$H$193=D$1,Sales_Data!$I$2:$I$193=$A40,Sales_Data!$J$2:$J$193=$A$35),filter(Sales_Data!$R$2:$R$193,Sales_Data!$H$2:$H$193=D$1,Sales_Data!$I$2:$I$193=$A40,Sales_Data!$J$2:$J$193=$A$"&amp;"35,Sales_Data!$O$2:$O$193=$A$36)),0)"),1106100.0)</f>
        <v>1106100</v>
      </c>
      <c r="E40" s="75">
        <f>IFERROR(__xludf.DUMMYFUNCTION("iferror(if($A$36=""Overall"",filter(Sales_Data!$R$2:$R$193,Sales_Data!$H$2:$H$193=E$1,Sales_Data!$I$2:$I$193=$A40,Sales_Data!$J$2:$J$193=$A$35),filter(Sales_Data!$R$2:$R$193,Sales_Data!$H$2:$H$193=E$1,Sales_Data!$I$2:$I$193=$A40,Sales_Data!$J$2:$J$193=$A$"&amp;"35,Sales_Data!$O$2:$O$193=$A$36)),0)"),1305180.0)</f>
        <v>1305180</v>
      </c>
      <c r="F40" s="75">
        <f>IFERROR(__xludf.DUMMYFUNCTION("iferror(if($A$36=""Overall"",filter(Sales_Data!$R$2:$R$193,Sales_Data!$H$2:$H$193=F$1,Sales_Data!$I$2:$I$193=$A40,Sales_Data!$J$2:$J$193=$A$35),filter(Sales_Data!$R$2:$R$193,Sales_Data!$H$2:$H$193=F$1,Sales_Data!$I$2:$I$193=$A40,Sales_Data!$J$2:$J$193=$A$"&amp;"35,Sales_Data!$O$2:$O$193=$A$36)),0)"),1527060.0)</f>
        <v>1527060</v>
      </c>
      <c r="G40" s="75">
        <f>IFERROR(__xludf.DUMMYFUNCTION("iferror(if($A$36=""Overall"",filter(Sales_Data!$R$2:$R$193,Sales_Data!$H$2:$H$193=G$1,Sales_Data!$I$2:$I$193=$A40,Sales_Data!$J$2:$J$193=$A$35),filter(Sales_Data!$R$2:$R$193,Sales_Data!$H$2:$H$193=G$1,Sales_Data!$I$2:$I$193=$A40,Sales_Data!$J$2:$J$193=$A$"&amp;"35,Sales_Data!$O$2:$O$193=$A$36)),0)"),1756140.0)</f>
        <v>1756140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 t="s">
        <v>16</v>
      </c>
      <c r="B41" s="75">
        <f>IFERROR(__xludf.DUMMYFUNCTION("iferror(if($A$36=""Overall"",filter(Sales_Data!$R$2:$R$193,Sales_Data!$H$2:$H$193=B$1,Sales_Data!$I$2:$I$193=$A41,Sales_Data!$J$2:$J$193=$A$35),filter(Sales_Data!$R$2:$R$193,Sales_Data!$H$2:$H$193=B$1,Sales_Data!$I$2:$I$193=$A41,Sales_Data!$J$2:$J$193=$A$"&amp;"35,Sales_Data!$O$2:$O$193=$A$36)),0)"),1405260.0)</f>
        <v>1405260</v>
      </c>
      <c r="C41" s="75">
        <f>IFERROR(__xludf.DUMMYFUNCTION("iferror(if($A$36=""Overall"",filter(Sales_Data!$R$2:$R$193,Sales_Data!$H$2:$H$193=C$1,Sales_Data!$I$2:$I$193=$A41,Sales_Data!$J$2:$J$193=$A$35),filter(Sales_Data!$R$2:$R$193,Sales_Data!$H$2:$H$193=C$1,Sales_Data!$I$2:$I$193=$A41,Sales_Data!$J$2:$J$193=$A$"&amp;"35,Sales_Data!$O$2:$O$193=$A$36)),0)"),1658220.0)</f>
        <v>1658220</v>
      </c>
      <c r="D41" s="75">
        <f>IFERROR(__xludf.DUMMYFUNCTION("iferror(if($A$36=""Overall"",filter(Sales_Data!$R$2:$R$193,Sales_Data!$H$2:$H$193=D$1,Sales_Data!$I$2:$I$193=$A41,Sales_Data!$J$2:$J$193=$A$35),filter(Sales_Data!$R$2:$R$193,Sales_Data!$H$2:$H$193=D$1,Sales_Data!$I$2:$I$193=$A41,Sales_Data!$J$2:$J$193=$A$"&amp;"35,Sales_Data!$O$2:$O$193=$A$36)),0)"),1906980.0)</f>
        <v>1906980</v>
      </c>
      <c r="E41" s="75">
        <f>IFERROR(__xludf.DUMMYFUNCTION("iferror(if($A$36=""Overall"",filter(Sales_Data!$R$2:$R$193,Sales_Data!$H$2:$H$193=E$1,Sales_Data!$I$2:$I$193=$A41,Sales_Data!$J$2:$J$193=$A$35),filter(Sales_Data!$R$2:$R$193,Sales_Data!$H$2:$H$193=E$1,Sales_Data!$I$2:$I$193=$A41,Sales_Data!$J$2:$J$193=$A$"&amp;"35,Sales_Data!$O$2:$O$193=$A$36)),0)"),2231160.0)</f>
        <v>2231160</v>
      </c>
      <c r="F41" s="75">
        <f>IFERROR(__xludf.DUMMYFUNCTION("iferror(if($A$36=""Overall"",filter(Sales_Data!$R$2:$R$193,Sales_Data!$H$2:$H$193=F$1,Sales_Data!$I$2:$I$193=$A41,Sales_Data!$J$2:$J$193=$A$35),filter(Sales_Data!$R$2:$R$193,Sales_Data!$H$2:$H$193=F$1,Sales_Data!$I$2:$I$193=$A41,Sales_Data!$J$2:$J$193=$A$"&amp;"35,Sales_Data!$O$2:$O$193=$A$36)),0)"),2565840.0)</f>
        <v>2565840</v>
      </c>
      <c r="G41" s="75">
        <f>IFERROR(__xludf.DUMMYFUNCTION("iferror(if($A$36=""Overall"",filter(Sales_Data!$R$2:$R$193,Sales_Data!$H$2:$H$193=G$1,Sales_Data!$I$2:$I$193=$A41,Sales_Data!$J$2:$J$193=$A$35),filter(Sales_Data!$R$2:$R$193,Sales_Data!$H$2:$H$193=G$1,Sales_Data!$I$2:$I$193=$A41,Sales_Data!$J$2:$J$193=$A$"&amp;"35,Sales_Data!$O$2:$O$193=$A$36)),0)"),2976360.0)</f>
        <v>2976360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 t="s">
        <v>17</v>
      </c>
      <c r="B42" s="75">
        <f>IFERROR(__xludf.DUMMYFUNCTION("iferror(if($A$36=""Overall"",filter(Sales_Data!$R$2:$R$193,Sales_Data!$H$2:$H$193=B$1,Sales_Data!$I$2:$I$193=$A42,Sales_Data!$J$2:$J$193=$A$35),filter(Sales_Data!$R$2:$R$193,Sales_Data!$H$2:$H$193=B$1,Sales_Data!$I$2:$I$193=$A42,Sales_Data!$J$2:$J$193=$A$"&amp;"35,Sales_Data!$O$2:$O$193=$A$36)),0)"),901530.0)</f>
        <v>901530</v>
      </c>
      <c r="C42" s="75">
        <f>IFERROR(__xludf.DUMMYFUNCTION("iferror(if($A$36=""Overall"",filter(Sales_Data!$R$2:$R$193,Sales_Data!$H$2:$H$193=C$1,Sales_Data!$I$2:$I$193=$A42,Sales_Data!$J$2:$J$193=$A$35),filter(Sales_Data!$R$2:$R$193,Sales_Data!$H$2:$H$193=C$1,Sales_Data!$I$2:$I$193=$A42,Sales_Data!$J$2:$J$193=$A$"&amp;"35,Sales_Data!$O$2:$O$193=$A$36)),0)"),955605.0)</f>
        <v>955605</v>
      </c>
      <c r="D42" s="75">
        <f>IFERROR(__xludf.DUMMYFUNCTION("iferror(if($A$36=""Overall"",filter(Sales_Data!$R$2:$R$193,Sales_Data!$H$2:$H$193=D$1,Sales_Data!$I$2:$I$193=$A42,Sales_Data!$J$2:$J$193=$A$35),filter(Sales_Data!$R$2:$R$193,Sales_Data!$H$2:$H$193=D$1,Sales_Data!$I$2:$I$193=$A42,Sales_Data!$J$2:$J$193=$A$"&amp;"35,Sales_Data!$O$2:$O$193=$A$36)),0)"),1012935.0)</f>
        <v>1012935</v>
      </c>
      <c r="E42" s="75">
        <f>IFERROR(__xludf.DUMMYFUNCTION("iferror(if($A$36=""Overall"",filter(Sales_Data!$R$2:$R$193,Sales_Data!$H$2:$H$193=E$1,Sales_Data!$I$2:$I$193=$A42,Sales_Data!$J$2:$J$193=$A$35),filter(Sales_Data!$R$2:$R$193,Sales_Data!$H$2:$H$193=E$1,Sales_Data!$I$2:$I$193=$A42,Sales_Data!$J$2:$J$193=$A$"&amp;"35,Sales_Data!$O$2:$O$193=$A$36)),0)"),1043332.5)</f>
        <v>1043332.5</v>
      </c>
      <c r="F42" s="75">
        <f>IFERROR(__xludf.DUMMYFUNCTION("iferror(if($A$36=""Overall"",filter(Sales_Data!$R$2:$R$193,Sales_Data!$H$2:$H$193=F$1,Sales_Data!$I$2:$I$193=$A42,Sales_Data!$J$2:$J$193=$A$35),filter(Sales_Data!$R$2:$R$193,Sales_Data!$H$2:$H$193=F$1,Sales_Data!$I$2:$I$193=$A42,Sales_Data!$J$2:$J$193=$A$"&amp;"35,Sales_Data!$O$2:$O$193=$A$36)),0)"),1126807.5)</f>
        <v>1126807.5</v>
      </c>
      <c r="G42" s="75">
        <f>IFERROR(__xludf.DUMMYFUNCTION("iferror(if($A$36=""Overall"",filter(Sales_Data!$R$2:$R$193,Sales_Data!$H$2:$H$193=G$1,Sales_Data!$I$2:$I$193=$A42,Sales_Data!$J$2:$J$193=$A$35),filter(Sales_Data!$R$2:$R$193,Sales_Data!$H$2:$H$193=G$1,Sales_Data!$I$2:$I$193=$A42,Sales_Data!$J$2:$J$193=$A$"&amp;"35,Sales_Data!$O$2:$O$193=$A$36)),0)"),1205662.5)</f>
        <v>1205662.5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 t="s">
        <v>262</v>
      </c>
      <c r="B43" s="75">
        <f>IFERROR(__xludf.DUMMYFUNCTION("iferror(if($A$36=""Overall"",filter(Sales_Data!$R$2:$R$193,Sales_Data!$H$2:$H$193=B$1,Sales_Data!$I$2:$I$193=$A43,Sales_Data!$J$2:$J$193=$A$35),filter(Sales_Data!$R$2:$R$193,Sales_Data!$H$2:$H$193=B$1,Sales_Data!$I$2:$I$193=$A43,Sales_Data!$J$2:$J$193=$A$"&amp;"35,Sales_Data!$O$2:$O$193=$A$36)),0)"),681540.0)</f>
        <v>681540</v>
      </c>
      <c r="C43" s="75">
        <f>IFERROR(__xludf.DUMMYFUNCTION("iferror(if($A$36=""Overall"",filter(Sales_Data!$R$2:$R$193,Sales_Data!$H$2:$H$193=C$1,Sales_Data!$I$2:$I$193=$A43,Sales_Data!$J$2:$J$193=$A$35),filter(Sales_Data!$R$2:$R$193,Sales_Data!$H$2:$H$193=C$1,Sales_Data!$I$2:$I$193=$A43,Sales_Data!$J$2:$J$193=$A$"&amp;"35,Sales_Data!$O$2:$O$193=$A$36)),0)"),783780.0)</f>
        <v>783780</v>
      </c>
      <c r="D43" s="75">
        <f>IFERROR(__xludf.DUMMYFUNCTION("iferror(if($A$36=""Overall"",filter(Sales_Data!$R$2:$R$193,Sales_Data!$H$2:$H$193=D$1,Sales_Data!$I$2:$I$193=$A43,Sales_Data!$J$2:$J$193=$A$35),filter(Sales_Data!$R$2:$R$193,Sales_Data!$H$2:$H$193=D$1,Sales_Data!$I$2:$I$193=$A43,Sales_Data!$J$2:$J$193=$A$"&amp;"35,Sales_Data!$O$2:$O$193=$A$36)),0)"),909180.0)</f>
        <v>909180</v>
      </c>
      <c r="E43" s="75">
        <f>IFERROR(__xludf.DUMMYFUNCTION("iferror(if($A$36=""Overall"",filter(Sales_Data!$R$2:$R$193,Sales_Data!$H$2:$H$193=E$1,Sales_Data!$I$2:$I$193=$A43,Sales_Data!$J$2:$J$193=$A$35),filter(Sales_Data!$R$2:$R$193,Sales_Data!$H$2:$H$193=E$1,Sales_Data!$I$2:$I$193=$A43,Sales_Data!$J$2:$J$193=$A$"&amp;"35,Sales_Data!$O$2:$O$193=$A$36)),0)"),1063740.0)</f>
        <v>1063740</v>
      </c>
      <c r="F43" s="75">
        <f>IFERROR(__xludf.DUMMYFUNCTION("iferror(if($A$36=""Overall"",filter(Sales_Data!$R$2:$R$193,Sales_Data!$H$2:$H$193=F$1,Sales_Data!$I$2:$I$193=$A43,Sales_Data!$J$2:$J$193=$A$35),filter(Sales_Data!$R$2:$R$193,Sales_Data!$H$2:$H$193=F$1,Sales_Data!$I$2:$I$193=$A43,Sales_Data!$J$2:$J$193=$A$"&amp;"35,Sales_Data!$O$2:$O$193=$A$36)),0)"),1255200.0)</f>
        <v>1255200</v>
      </c>
      <c r="G43" s="75">
        <f>IFERROR(__xludf.DUMMYFUNCTION("iferror(if($A$36=""Overall"",filter(Sales_Data!$R$2:$R$193,Sales_Data!$H$2:$H$193=G$1,Sales_Data!$I$2:$I$193=$A43,Sales_Data!$J$2:$J$193=$A$35),filter(Sales_Data!$R$2:$R$193,Sales_Data!$H$2:$H$193=G$1,Sales_Data!$I$2:$I$193=$A43,Sales_Data!$J$2:$J$193=$A$"&amp;"35,Sales_Data!$O$2:$O$193=$A$36)),0)"),1468560.0)</f>
        <v>1468560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 t="s">
        <v>19</v>
      </c>
      <c r="B44" s="75">
        <f>IFERROR(__xludf.DUMMYFUNCTION("iferror(if($A$36=""Overall"",filter(Sales_Data!$R$2:$R$193,Sales_Data!$H$2:$H$193=B$1,Sales_Data!$I$2:$I$193=$A44,Sales_Data!$J$2:$J$193=$A$35),filter(Sales_Data!$R$2:$R$193,Sales_Data!$H$2:$H$193=B$1,Sales_Data!$I$2:$I$193=$A44,Sales_Data!$J$2:$J$193=$A$"&amp;"35,Sales_Data!$O$2:$O$193=$A$36)),0)"),814740.0)</f>
        <v>814740</v>
      </c>
      <c r="C44" s="75">
        <f>IFERROR(__xludf.DUMMYFUNCTION("iferror(if($A$36=""Overall"",filter(Sales_Data!$R$2:$R$193,Sales_Data!$H$2:$H$193=C$1,Sales_Data!$I$2:$I$193=$A44,Sales_Data!$J$2:$J$193=$A$35),filter(Sales_Data!$R$2:$R$193,Sales_Data!$H$2:$H$193=C$1,Sales_Data!$I$2:$I$193=$A44,Sales_Data!$J$2:$J$193=$A$"&amp;"35,Sales_Data!$O$2:$O$193=$A$36)),0)"),936960.0)</f>
        <v>936960</v>
      </c>
      <c r="D44" s="75">
        <f>IFERROR(__xludf.DUMMYFUNCTION("iferror(if($A$36=""Overall"",filter(Sales_Data!$R$2:$R$193,Sales_Data!$H$2:$H$193=D$1,Sales_Data!$I$2:$I$193=$A44,Sales_Data!$J$2:$J$193=$A$35),filter(Sales_Data!$R$2:$R$193,Sales_Data!$H$2:$H$193=D$1,Sales_Data!$I$2:$I$193=$A44,Sales_Data!$J$2:$J$193=$A$"&amp;"35,Sales_Data!$O$2:$O$193=$A$36)),0)"),1077480.0)</f>
        <v>1077480</v>
      </c>
      <c r="E44" s="75">
        <f>IFERROR(__xludf.DUMMYFUNCTION("iferror(if($A$36=""Overall"",filter(Sales_Data!$R$2:$R$193,Sales_Data!$H$2:$H$193=E$1,Sales_Data!$I$2:$I$193=$A44,Sales_Data!$J$2:$J$193=$A$35),filter(Sales_Data!$R$2:$R$193,Sales_Data!$H$2:$H$193=E$1,Sales_Data!$I$2:$I$193=$A44,Sales_Data!$J$2:$J$193=$A$"&amp;"35,Sales_Data!$O$2:$O$193=$A$36)),0)"),1271400.0)</f>
        <v>1271400</v>
      </c>
      <c r="F44" s="75">
        <f>IFERROR(__xludf.DUMMYFUNCTION("iferror(if($A$36=""Overall"",filter(Sales_Data!$R$2:$R$193,Sales_Data!$H$2:$H$193=F$1,Sales_Data!$I$2:$I$193=$A44,Sales_Data!$J$2:$J$193=$A$35),filter(Sales_Data!$R$2:$R$193,Sales_Data!$H$2:$H$193=F$1,Sales_Data!$I$2:$I$193=$A44,Sales_Data!$J$2:$J$193=$A$"&amp;"35,Sales_Data!$O$2:$O$193=$A$36)),0)"),1474800.0)</f>
        <v>1474800</v>
      </c>
      <c r="G44" s="75">
        <f>IFERROR(__xludf.DUMMYFUNCTION("iferror(if($A$36=""Overall"",filter(Sales_Data!$R$2:$R$193,Sales_Data!$H$2:$H$193=G$1,Sales_Data!$I$2:$I$193=$A44,Sales_Data!$J$2:$J$193=$A$35),filter(Sales_Data!$R$2:$R$193,Sales_Data!$H$2:$H$193=G$1,Sales_Data!$I$2:$I$193=$A44,Sales_Data!$J$2:$J$193=$A$"&amp;"35,Sales_Data!$O$2:$O$193=$A$36)),0)"),1696020.0)</f>
        <v>1696020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 t="s">
        <v>20</v>
      </c>
      <c r="B45" s="75">
        <f>IFERROR(__xludf.DUMMYFUNCTION("iferror(if($A$36=""Overall"",filter(Sales_Data!$R$2:$R$193,Sales_Data!$H$2:$H$193=B$1,Sales_Data!$I$2:$I$193=$A45,Sales_Data!$J$2:$J$193=$A$35),filter(Sales_Data!$R$2:$R$193,Sales_Data!$H$2:$H$193=B$1,Sales_Data!$I$2:$I$193=$A45,Sales_Data!$J$2:$J$193=$A$"&amp;"35,Sales_Data!$O$2:$O$193=$A$36)),0)"),1055268.0)</f>
        <v>1055268</v>
      </c>
      <c r="C45" s="75">
        <f>IFERROR(__xludf.DUMMYFUNCTION("iferror(if($A$36=""Overall"",filter(Sales_Data!$R$2:$R$193,Sales_Data!$H$2:$H$193=C$1,Sales_Data!$I$2:$I$193=$A45,Sales_Data!$J$2:$J$193=$A$35),filter(Sales_Data!$R$2:$R$193,Sales_Data!$H$2:$H$193=C$1,Sales_Data!$I$2:$I$193=$A45,Sales_Data!$J$2:$J$193=$A$"&amp;"35,Sales_Data!$O$2:$O$193=$A$36)),0)"),1097496.0)</f>
        <v>1097496</v>
      </c>
      <c r="D45" s="75">
        <f>IFERROR(__xludf.DUMMYFUNCTION("iferror(if($A$36=""Overall"",filter(Sales_Data!$R$2:$R$193,Sales_Data!$H$2:$H$193=D$1,Sales_Data!$I$2:$I$193=$A45,Sales_Data!$J$2:$J$193=$A$35),filter(Sales_Data!$R$2:$R$193,Sales_Data!$H$2:$H$193=D$1,Sales_Data!$I$2:$I$193=$A45,Sales_Data!$J$2:$J$193=$A$"&amp;"35,Sales_Data!$O$2:$O$193=$A$36)),0)"),1152360.0)</f>
        <v>1152360</v>
      </c>
      <c r="E45" s="75">
        <f>IFERROR(__xludf.DUMMYFUNCTION("iferror(if($A$36=""Overall"",filter(Sales_Data!$R$2:$R$193,Sales_Data!$H$2:$H$193=E$1,Sales_Data!$I$2:$I$193=$A45,Sales_Data!$J$2:$J$193=$A$35),filter(Sales_Data!$R$2:$R$193,Sales_Data!$H$2:$H$193=E$1,Sales_Data!$I$2:$I$193=$A45,Sales_Data!$J$2:$J$193=$A$"&amp;"35,Sales_Data!$O$2:$O$193=$A$36)),0)"),1221480.0)</f>
        <v>1221480</v>
      </c>
      <c r="F45" s="75">
        <f>IFERROR(__xludf.DUMMYFUNCTION("iferror(if($A$36=""Overall"",filter(Sales_Data!$R$2:$R$193,Sales_Data!$H$2:$H$193=F$1,Sales_Data!$I$2:$I$193=$A45,Sales_Data!$J$2:$J$193=$A$35),filter(Sales_Data!$R$2:$R$193,Sales_Data!$H$2:$H$193=F$1,Sales_Data!$I$2:$I$193=$A45,Sales_Data!$J$2:$J$193=$A$"&amp;"35,Sales_Data!$O$2:$O$193=$A$36)),0)"),1282554.0)</f>
        <v>1282554</v>
      </c>
      <c r="G45" s="75">
        <f>IFERROR(__xludf.DUMMYFUNCTION("iferror(if($A$36=""Overall"",filter(Sales_Data!$R$2:$R$193,Sales_Data!$H$2:$H$193=G$1,Sales_Data!$I$2:$I$193=$A45,Sales_Data!$J$2:$J$193=$A$35),filter(Sales_Data!$R$2:$R$193,Sales_Data!$H$2:$H$193=G$1,Sales_Data!$I$2:$I$193=$A45,Sales_Data!$J$2:$J$193=$A$"&amp;"35,Sales_Data!$O$2:$O$193=$A$36)),0)"),1372356.0)</f>
        <v>1372356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 t="s">
        <v>21</v>
      </c>
      <c r="B46" s="75">
        <f>IFERROR(__xludf.DUMMYFUNCTION("iferror(if($A$36=""Overall"",filter(Sales_Data!$R$2:$R$193,Sales_Data!$H$2:$H$193=B$1,Sales_Data!$I$2:$I$193=$A46,Sales_Data!$J$2:$J$193=$A$35),filter(Sales_Data!$R$2:$R$193,Sales_Data!$H$2:$H$193=B$1,Sales_Data!$I$2:$I$193=$A46,Sales_Data!$J$2:$J$193=$A$"&amp;"35,Sales_Data!$O$2:$O$193=$A$36)),0)"),905730.0)</f>
        <v>905730</v>
      </c>
      <c r="C46" s="75">
        <f>IFERROR(__xludf.DUMMYFUNCTION("iferror(if($A$36=""Overall"",filter(Sales_Data!$R$2:$R$193,Sales_Data!$H$2:$H$193=C$1,Sales_Data!$I$2:$I$193=$A46,Sales_Data!$J$2:$J$193=$A$35),filter(Sales_Data!$R$2:$R$193,Sales_Data!$H$2:$H$193=C$1,Sales_Data!$I$2:$I$193=$A46,Sales_Data!$J$2:$J$193=$A$"&amp;"35,Sales_Data!$O$2:$O$193=$A$36)),0)"),941982.0)</f>
        <v>941982</v>
      </c>
      <c r="D46" s="75">
        <f>IFERROR(__xludf.DUMMYFUNCTION("iferror(if($A$36=""Overall"",filter(Sales_Data!$R$2:$R$193,Sales_Data!$H$2:$H$193=D$1,Sales_Data!$I$2:$I$193=$A46,Sales_Data!$J$2:$J$193=$A$35),filter(Sales_Data!$R$2:$R$193,Sales_Data!$H$2:$H$193=D$1,Sales_Data!$I$2:$I$193=$A46,Sales_Data!$J$2:$J$193=$A$"&amp;"35,Sales_Data!$O$2:$O$193=$A$36)),0)"),1017336.0)</f>
        <v>1017336</v>
      </c>
      <c r="E46" s="75">
        <f>IFERROR(__xludf.DUMMYFUNCTION("iferror(if($A$36=""Overall"",filter(Sales_Data!$R$2:$R$193,Sales_Data!$H$2:$H$193=E$1,Sales_Data!$I$2:$I$193=$A46,Sales_Data!$J$2:$J$193=$A$35),filter(Sales_Data!$R$2:$R$193,Sales_Data!$H$2:$H$193=E$1,Sales_Data!$I$2:$I$193=$A46,Sales_Data!$J$2:$J$193=$A$"&amp;"35,Sales_Data!$O$2:$O$193=$A$36)),0)"),1088529.0)</f>
        <v>1088529</v>
      </c>
      <c r="F46" s="75">
        <f>IFERROR(__xludf.DUMMYFUNCTION("iferror(if($A$36=""Overall"",filter(Sales_Data!$R$2:$R$193,Sales_Data!$H$2:$H$193=F$1,Sales_Data!$I$2:$I$193=$A46,Sales_Data!$J$2:$J$193=$A$35),filter(Sales_Data!$R$2:$R$193,Sales_Data!$H$2:$H$193=F$1,Sales_Data!$I$2:$I$193=$A46,Sales_Data!$J$2:$J$193=$A$"&amp;"35,Sales_Data!$O$2:$O$193=$A$36)),0)"),1175625.0)</f>
        <v>1175625</v>
      </c>
      <c r="G46" s="75">
        <f>IFERROR(__xludf.DUMMYFUNCTION("iferror(if($A$36=""Overall"",filter(Sales_Data!$R$2:$R$193,Sales_Data!$H$2:$H$193=G$1,Sales_Data!$I$2:$I$193=$A46,Sales_Data!$J$2:$J$193=$A$35),filter(Sales_Data!$R$2:$R$193,Sales_Data!$H$2:$H$193=G$1,Sales_Data!$I$2:$I$193=$A46,Sales_Data!$J$2:$J$193=$A$"&amp;"35,Sales_Data!$O$2:$O$193=$A$36)),0)"),1269675.0)</f>
        <v>1269675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 t="s">
        <v>22</v>
      </c>
      <c r="B47" s="75">
        <f>IFERROR(__xludf.DUMMYFUNCTION("iferror(if($A$36=""Overall"",filter(Sales_Data!$R$2:$R$193,Sales_Data!$H$2:$H$193=B$1,Sales_Data!$I$2:$I$193=$A47,Sales_Data!$J$2:$J$193=$A$35),filter(Sales_Data!$R$2:$R$193,Sales_Data!$H$2:$H$193=B$1,Sales_Data!$I$2:$I$193=$A47,Sales_Data!$J$2:$J$193=$A$"&amp;"35,Sales_Data!$O$2:$O$193=$A$36)),0)"),803529.0)</f>
        <v>803529</v>
      </c>
      <c r="C47" s="75">
        <f>IFERROR(__xludf.DUMMYFUNCTION("iferror(if($A$36=""Overall"",filter(Sales_Data!$R$2:$R$193,Sales_Data!$H$2:$H$193=C$1,Sales_Data!$I$2:$I$193=$A47,Sales_Data!$J$2:$J$193=$A$35),filter(Sales_Data!$R$2:$R$193,Sales_Data!$H$2:$H$193=C$1,Sales_Data!$I$2:$I$193=$A47,Sales_Data!$J$2:$J$193=$A$"&amp;"35,Sales_Data!$O$2:$O$193=$A$36)),0)"),940101.0)</f>
        <v>940101</v>
      </c>
      <c r="D47" s="75">
        <f>IFERROR(__xludf.DUMMYFUNCTION("iferror(if($A$36=""Overall"",filter(Sales_Data!$R$2:$R$193,Sales_Data!$H$2:$H$193=D$1,Sales_Data!$I$2:$I$193=$A47,Sales_Data!$J$2:$J$193=$A$35),filter(Sales_Data!$R$2:$R$193,Sales_Data!$H$2:$H$193=D$1,Sales_Data!$I$2:$I$193=$A47,Sales_Data!$J$2:$J$193=$A$"&amp;"35,Sales_Data!$O$2:$O$193=$A$36)),0)"),1090524.0)</f>
        <v>1090524</v>
      </c>
      <c r="E47" s="75">
        <f>IFERROR(__xludf.DUMMYFUNCTION("iferror(if($A$36=""Overall"",filter(Sales_Data!$R$2:$R$193,Sales_Data!$H$2:$H$193=E$1,Sales_Data!$I$2:$I$193=$A47,Sales_Data!$J$2:$J$193=$A$35),filter(Sales_Data!$R$2:$R$193,Sales_Data!$H$2:$H$193=E$1,Sales_Data!$I$2:$I$193=$A47,Sales_Data!$J$2:$J$193=$A$"&amp;"35,Sales_Data!$O$2:$O$193=$A$36)),0)"),1275888.0)</f>
        <v>1275888</v>
      </c>
      <c r="F47" s="75">
        <f>IFERROR(__xludf.DUMMYFUNCTION("iferror(if($A$36=""Overall"",filter(Sales_Data!$R$2:$R$193,Sales_Data!$H$2:$H$193=F$1,Sales_Data!$I$2:$I$193=$A47,Sales_Data!$J$2:$J$193=$A$35),filter(Sales_Data!$R$2:$R$193,Sales_Data!$H$2:$H$193=F$1,Sales_Data!$I$2:$I$193=$A47,Sales_Data!$J$2:$J$193=$A$"&amp;"35,Sales_Data!$O$2:$O$193=$A$36)),0)"),1492773.0)</f>
        <v>1492773</v>
      </c>
      <c r="G47" s="75">
        <f>IFERROR(__xludf.DUMMYFUNCTION("iferror(if($A$36=""Overall"",filter(Sales_Data!$R$2:$R$193,Sales_Data!$H$2:$H$193=G$1,Sales_Data!$I$2:$I$193=$A47,Sales_Data!$J$2:$J$193=$A$35),filter(Sales_Data!$R$2:$R$193,Sales_Data!$H$2:$H$193=G$1,Sales_Data!$I$2:$I$193=$A47,Sales_Data!$J$2:$J$193=$A$"&amp;"35,Sales_Data!$O$2:$O$193=$A$36)),0)"),1761471.0)</f>
        <v>1761471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 t="s">
        <v>23</v>
      </c>
      <c r="B48" s="75">
        <f>IFERROR(__xludf.DUMMYFUNCTION("iferror(if($A$36=""Overall"",filter(Sales_Data!$R$2:$R$193,Sales_Data!$H$2:$H$193=B$1,Sales_Data!$I$2:$I$193=$A48,Sales_Data!$J$2:$J$193=$A$35),filter(Sales_Data!$R$2:$R$193,Sales_Data!$H$2:$H$193=B$1,Sales_Data!$I$2:$I$193=$A48,Sales_Data!$J$2:$J$193=$A$"&amp;"35,Sales_Data!$O$2:$O$193=$A$36)),0)"),1491840.0)</f>
        <v>1491840</v>
      </c>
      <c r="C48" s="75">
        <f>IFERROR(__xludf.DUMMYFUNCTION("iferror(if($A$36=""Overall"",filter(Sales_Data!$R$2:$R$193,Sales_Data!$H$2:$H$193=C$1,Sales_Data!$I$2:$I$193=$A48,Sales_Data!$J$2:$J$193=$A$35),filter(Sales_Data!$R$2:$R$193,Sales_Data!$H$2:$H$193=C$1,Sales_Data!$I$2:$I$193=$A48,Sales_Data!$J$2:$J$193=$A$"&amp;"35,Sales_Data!$O$2:$O$193=$A$36)),0)"),1730520.0)</f>
        <v>1730520</v>
      </c>
      <c r="D48" s="75">
        <f>IFERROR(__xludf.DUMMYFUNCTION("iferror(if($A$36=""Overall"",filter(Sales_Data!$R$2:$R$193,Sales_Data!$H$2:$H$193=D$1,Sales_Data!$I$2:$I$193=$A48,Sales_Data!$J$2:$J$193=$A$35),filter(Sales_Data!$R$2:$R$193,Sales_Data!$H$2:$H$193=D$1,Sales_Data!$I$2:$I$193=$A48,Sales_Data!$J$2:$J$193=$A$"&amp;"35,Sales_Data!$O$2:$O$193=$A$36)),0)"),1990080.0)</f>
        <v>1990080</v>
      </c>
      <c r="E48" s="75">
        <f>IFERROR(__xludf.DUMMYFUNCTION("iferror(if($A$36=""Overall"",filter(Sales_Data!$R$2:$R$193,Sales_Data!$H$2:$H$193=E$1,Sales_Data!$I$2:$I$193=$A48,Sales_Data!$J$2:$J$193=$A$35),filter(Sales_Data!$R$2:$R$193,Sales_Data!$H$2:$H$193=E$1,Sales_Data!$I$2:$I$193=$A48,Sales_Data!$J$2:$J$193=$A$"&amp;"35,Sales_Data!$O$2:$O$193=$A$36)),0)"),2288580.0)</f>
        <v>2288580</v>
      </c>
      <c r="F48" s="75">
        <f>IFERROR(__xludf.DUMMYFUNCTION("iferror(if($A$36=""Overall"",filter(Sales_Data!$R$2:$R$193,Sales_Data!$H$2:$H$193=F$1,Sales_Data!$I$2:$I$193=$A48,Sales_Data!$J$2:$J$193=$A$35),filter(Sales_Data!$R$2:$R$193,Sales_Data!$H$2:$H$193=F$1,Sales_Data!$I$2:$I$193=$A48,Sales_Data!$J$2:$J$193=$A$"&amp;"35,Sales_Data!$O$2:$O$193=$A$36)),0)"),2677620.0)</f>
        <v>2677620</v>
      </c>
      <c r="G48" s="75">
        <f>IFERROR(__xludf.DUMMYFUNCTION("iferror(if($A$36=""Overall"",filter(Sales_Data!$R$2:$R$193,Sales_Data!$H$2:$H$193=G$1,Sales_Data!$I$2:$I$193=$A48,Sales_Data!$J$2:$J$193=$A$35),filter(Sales_Data!$R$2:$R$193,Sales_Data!$H$2:$H$193=G$1,Sales_Data!$I$2:$I$193=$A48,Sales_Data!$J$2:$J$193=$A$"&amp;"35,Sales_Data!$O$2:$O$193=$A$36)),0)"),3159600.0)</f>
        <v>3159600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 t="s">
        <v>24</v>
      </c>
      <c r="B49" s="75">
        <f>IFERROR(__xludf.DUMMYFUNCTION("iferror(if($A$36=""Overall"",filter(Sales_Data!$R$2:$R$193,Sales_Data!$H$2:$H$193=B$1,Sales_Data!$I$2:$I$193=$A49,Sales_Data!$J$2:$J$193=$A$35),filter(Sales_Data!$R$2:$R$193,Sales_Data!$H$2:$H$193=B$1,Sales_Data!$I$2:$I$193=$A49,Sales_Data!$J$2:$J$193=$A$"&amp;"35,Sales_Data!$O$2:$O$193=$A$36)),0)"),679192.5)</f>
        <v>679192.5</v>
      </c>
      <c r="C49" s="75">
        <f>IFERROR(__xludf.DUMMYFUNCTION("iferror(if($A$36=""Overall"",filter(Sales_Data!$R$2:$R$193,Sales_Data!$H$2:$H$193=C$1,Sales_Data!$I$2:$I$193=$A49,Sales_Data!$J$2:$J$193=$A$35),filter(Sales_Data!$R$2:$R$193,Sales_Data!$H$2:$H$193=C$1,Sales_Data!$I$2:$I$193=$A49,Sales_Data!$J$2:$J$193=$A$"&amp;"35,Sales_Data!$O$2:$O$193=$A$36)),0)"),706335.0)</f>
        <v>706335</v>
      </c>
      <c r="D49" s="75">
        <f>IFERROR(__xludf.DUMMYFUNCTION("iferror(if($A$36=""Overall"",filter(Sales_Data!$R$2:$R$193,Sales_Data!$H$2:$H$193=D$1,Sales_Data!$I$2:$I$193=$A49,Sales_Data!$J$2:$J$193=$A$35),filter(Sales_Data!$R$2:$R$193,Sales_Data!$H$2:$H$193=D$1,Sales_Data!$I$2:$I$193=$A49,Sales_Data!$J$2:$J$193=$A$"&amp;"35,Sales_Data!$O$2:$O$193=$A$36)),0)"),755790.0)</f>
        <v>755790</v>
      </c>
      <c r="E49" s="75">
        <f>IFERROR(__xludf.DUMMYFUNCTION("iferror(if($A$36=""Overall"",filter(Sales_Data!$R$2:$R$193,Sales_Data!$H$2:$H$193=E$1,Sales_Data!$I$2:$I$193=$A49,Sales_Data!$J$2:$J$193=$A$35),filter(Sales_Data!$R$2:$R$193,Sales_Data!$H$2:$H$193=E$1,Sales_Data!$I$2:$I$193=$A49,Sales_Data!$J$2:$J$193=$A$"&amp;"35,Sales_Data!$O$2:$O$193=$A$36)),0)"),778470.0)</f>
        <v>778470</v>
      </c>
      <c r="F49" s="75">
        <f>IFERROR(__xludf.DUMMYFUNCTION("iferror(if($A$36=""Overall"",filter(Sales_Data!$R$2:$R$193,Sales_Data!$H$2:$H$193=F$1,Sales_Data!$I$2:$I$193=$A49,Sales_Data!$J$2:$J$193=$A$35),filter(Sales_Data!$R$2:$R$193,Sales_Data!$H$2:$H$193=F$1,Sales_Data!$I$2:$I$193=$A49,Sales_Data!$J$2:$J$193=$A$"&amp;"35,Sales_Data!$O$2:$O$193=$A$36)),0)"),809602.5)</f>
        <v>809602.5</v>
      </c>
      <c r="G49" s="75">
        <f>IFERROR(__xludf.DUMMYFUNCTION("iferror(if($A$36=""Overall"",filter(Sales_Data!$R$2:$R$193,Sales_Data!$H$2:$H$193=G$1,Sales_Data!$I$2:$I$193=$A49,Sales_Data!$J$2:$J$193=$A$35),filter(Sales_Data!$R$2:$R$193,Sales_Data!$H$2:$H$193=G$1,Sales_Data!$I$2:$I$193=$A49,Sales_Data!$J$2:$J$193=$A$"&amp;"35,Sales_Data!$O$2:$O$193=$A$36)),0)"),825772.5)</f>
        <v>825772.5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 t="s">
        <v>27</v>
      </c>
      <c r="B50" s="75">
        <f>IFERROR(__xludf.DUMMYFUNCTION("iferror(if($A$36=""Overall"",filter(Sales_Data!$R$2:$R$193,Sales_Data!$H$2:$H$193=B$1,Sales_Data!$I$2:$I$193=$A50,Sales_Data!$J$2:$J$193=$A$35),filter(Sales_Data!$R$2:$R$193,Sales_Data!$H$2:$H$193=B$1,Sales_Data!$I$2:$I$193=$A50,Sales_Data!$J$2:$J$193=$A$"&amp;"35,Sales_Data!$O$2:$O$193=$A$36)),0)"),755244.0)</f>
        <v>755244</v>
      </c>
      <c r="C50" s="75">
        <f>IFERROR(__xludf.DUMMYFUNCTION("iferror(if($A$36=""Overall"",filter(Sales_Data!$R$2:$R$193,Sales_Data!$H$2:$H$193=C$1,Sales_Data!$I$2:$I$193=$A50,Sales_Data!$J$2:$J$193=$A$35),filter(Sales_Data!$R$2:$R$193,Sales_Data!$H$2:$H$193=C$1,Sales_Data!$I$2:$I$193=$A50,Sales_Data!$J$2:$J$193=$A$"&amp;"35,Sales_Data!$O$2:$O$193=$A$36)),0)"),777924.0)</f>
        <v>777924</v>
      </c>
      <c r="D50" s="75">
        <f>IFERROR(__xludf.DUMMYFUNCTION("iferror(if($A$36=""Overall"",filter(Sales_Data!$R$2:$R$193,Sales_Data!$H$2:$H$193=D$1,Sales_Data!$I$2:$I$193=$A50,Sales_Data!$J$2:$J$193=$A$35),filter(Sales_Data!$R$2:$R$193,Sales_Data!$H$2:$H$193=D$1,Sales_Data!$I$2:$I$193=$A50,Sales_Data!$J$2:$J$193=$A$"&amp;"35,Sales_Data!$O$2:$O$193=$A$36)),0)"),824580.0)</f>
        <v>824580</v>
      </c>
      <c r="E50" s="75">
        <f>IFERROR(__xludf.DUMMYFUNCTION("iferror(if($A$36=""Overall"",filter(Sales_Data!$R$2:$R$193,Sales_Data!$H$2:$H$193=E$1,Sales_Data!$I$2:$I$193=$A50,Sales_Data!$J$2:$J$193=$A$35),filter(Sales_Data!$R$2:$R$193,Sales_Data!$H$2:$H$193=E$1,Sales_Data!$I$2:$I$193=$A50,Sales_Data!$J$2:$J$193=$A$"&amp;"35,Sales_Data!$O$2:$O$193=$A$36)),0)"),890568.0)</f>
        <v>890568</v>
      </c>
      <c r="F50" s="75">
        <f>IFERROR(__xludf.DUMMYFUNCTION("iferror(if($A$36=""Overall"",filter(Sales_Data!$R$2:$R$193,Sales_Data!$H$2:$H$193=F$1,Sales_Data!$I$2:$I$193=$A50,Sales_Data!$J$2:$J$193=$A$35),filter(Sales_Data!$R$2:$R$193,Sales_Data!$H$2:$H$193=F$1,Sales_Data!$I$2:$I$193=$A50,Sales_Data!$J$2:$J$193=$A$"&amp;"35,Sales_Data!$O$2:$O$193=$A$36)),0)"),952884.0)</f>
        <v>952884</v>
      </c>
      <c r="G50" s="75">
        <f>IFERROR(__xludf.DUMMYFUNCTION("iferror(if($A$36=""Overall"",filter(Sales_Data!$R$2:$R$193,Sales_Data!$H$2:$H$193=G$1,Sales_Data!$I$2:$I$193=$A50,Sales_Data!$J$2:$J$193=$A$35),filter(Sales_Data!$R$2:$R$193,Sales_Data!$H$2:$H$193=G$1,Sales_Data!$I$2:$I$193=$A50,Sales_Data!$J$2:$J$193=$A$"&amp;"35,Sales_Data!$O$2:$O$193=$A$36)),0)"),981450.0)</f>
        <v>981450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 t="s">
        <v>26</v>
      </c>
      <c r="B51" s="75">
        <f>IFERROR(__xludf.DUMMYFUNCTION("iferror(if($A$36=""Overall"",filter(Sales_Data!$R$2:$R$193,Sales_Data!$H$2:$H$193=B$1,Sales_Data!$I$2:$I$193=$A51,Sales_Data!$J$2:$J$193=$A$35),filter(Sales_Data!$R$2:$R$193,Sales_Data!$H$2:$H$193=B$1,Sales_Data!$I$2:$I$193=$A51,Sales_Data!$J$2:$J$193=$A$"&amp;"35,Sales_Data!$O$2:$O$193=$A$36)),0)"),914640.0)</f>
        <v>914640</v>
      </c>
      <c r="C51" s="75">
        <f>IFERROR(__xludf.DUMMYFUNCTION("iferror(if($A$36=""Overall"",filter(Sales_Data!$R$2:$R$193,Sales_Data!$H$2:$H$193=C$1,Sales_Data!$I$2:$I$193=$A51,Sales_Data!$J$2:$J$193=$A$35),filter(Sales_Data!$R$2:$R$193,Sales_Data!$H$2:$H$193=C$1,Sales_Data!$I$2:$I$193=$A51,Sales_Data!$J$2:$J$193=$A$"&amp;"35,Sales_Data!$O$2:$O$193=$A$36)),0)"),1060980.0)</f>
        <v>1060980</v>
      </c>
      <c r="D51" s="75">
        <f>IFERROR(__xludf.DUMMYFUNCTION("iferror(if($A$36=""Overall"",filter(Sales_Data!$R$2:$R$193,Sales_Data!$H$2:$H$193=D$1,Sales_Data!$I$2:$I$193=$A51,Sales_Data!$J$2:$J$193=$A$35),filter(Sales_Data!$R$2:$R$193,Sales_Data!$H$2:$H$193=D$1,Sales_Data!$I$2:$I$193=$A51,Sales_Data!$J$2:$J$193=$A$"&amp;"35,Sales_Data!$O$2:$O$193=$A$36)),0)"),1241340.0)</f>
        <v>1241340</v>
      </c>
      <c r="E51" s="75">
        <f>IFERROR(__xludf.DUMMYFUNCTION("iferror(if($A$36=""Overall"",filter(Sales_Data!$R$2:$R$193,Sales_Data!$H$2:$H$193=E$1,Sales_Data!$I$2:$I$193=$A51,Sales_Data!$J$2:$J$193=$A$35),filter(Sales_Data!$R$2:$R$193,Sales_Data!$H$2:$H$193=E$1,Sales_Data!$I$2:$I$193=$A51,Sales_Data!$J$2:$J$193=$A$"&amp;"35,Sales_Data!$O$2:$O$193=$A$36)),0)"),1464780.0)</f>
        <v>1464780</v>
      </c>
      <c r="F51" s="75">
        <f>IFERROR(__xludf.DUMMYFUNCTION("iferror(if($A$36=""Overall"",filter(Sales_Data!$R$2:$R$193,Sales_Data!$H$2:$H$193=F$1,Sales_Data!$I$2:$I$193=$A51,Sales_Data!$J$2:$J$193=$A$35),filter(Sales_Data!$R$2:$R$193,Sales_Data!$H$2:$H$193=F$1,Sales_Data!$I$2:$I$193=$A51,Sales_Data!$J$2:$J$193=$A$"&amp;"35,Sales_Data!$O$2:$O$193=$A$36)),0)"),1713780.0)</f>
        <v>1713780</v>
      </c>
      <c r="G51" s="75">
        <f>IFERROR(__xludf.DUMMYFUNCTION("iferror(if($A$36=""Overall"",filter(Sales_Data!$R$2:$R$193,Sales_Data!$H$2:$H$193=G$1,Sales_Data!$I$2:$I$193=$A51,Sales_Data!$J$2:$J$193=$A$35),filter(Sales_Data!$R$2:$R$193,Sales_Data!$H$2:$H$193=G$1,Sales_Data!$I$2:$I$193=$A51,Sales_Data!$J$2:$J$193=$A$"&amp;"35,Sales_Data!$O$2:$O$193=$A$36)),0)"),2005140.0)</f>
        <v>2005140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 t="s">
        <v>25</v>
      </c>
      <c r="B52" s="75">
        <f>IFERROR(__xludf.DUMMYFUNCTION("iferror(if($A$36=""Overall"",filter(Sales_Data!$R$2:$R$193,Sales_Data!$H$2:$H$193=B$1,Sales_Data!$I$2:$I$193=$A52,Sales_Data!$J$2:$J$193=$A$35),filter(Sales_Data!$R$2:$R$193,Sales_Data!$H$2:$H$193=B$1,Sales_Data!$I$2:$I$193=$A52,Sales_Data!$J$2:$J$193=$A$"&amp;"35,Sales_Data!$O$2:$O$193=$A$36)),0)"),1303362.0)</f>
        <v>1303362</v>
      </c>
      <c r="C52" s="75">
        <f>IFERROR(__xludf.DUMMYFUNCTION("iferror(if($A$36=""Overall"",filter(Sales_Data!$R$2:$R$193,Sales_Data!$H$2:$H$193=C$1,Sales_Data!$I$2:$I$193=$A52,Sales_Data!$J$2:$J$193=$A$35),filter(Sales_Data!$R$2:$R$193,Sales_Data!$H$2:$H$193=C$1,Sales_Data!$I$2:$I$193=$A52,Sales_Data!$J$2:$J$193=$A$"&amp;"35,Sales_Data!$O$2:$O$193=$A$36)),0)"),1498872.0)</f>
        <v>1498872</v>
      </c>
      <c r="D52" s="75">
        <f>IFERROR(__xludf.DUMMYFUNCTION("iferror(if($A$36=""Overall"",filter(Sales_Data!$R$2:$R$193,Sales_Data!$H$2:$H$193=D$1,Sales_Data!$I$2:$I$193=$A52,Sales_Data!$J$2:$J$193=$A$35),filter(Sales_Data!$R$2:$R$193,Sales_Data!$H$2:$H$193=D$1,Sales_Data!$I$2:$I$193=$A52,Sales_Data!$J$2:$J$193=$A$"&amp;"35,Sales_Data!$O$2:$O$193=$A$36)),0)"),1738671.0)</f>
        <v>1738671</v>
      </c>
      <c r="E52" s="75">
        <f>IFERROR(__xludf.DUMMYFUNCTION("iferror(if($A$36=""Overall"",filter(Sales_Data!$R$2:$R$193,Sales_Data!$H$2:$H$193=E$1,Sales_Data!$I$2:$I$193=$A52,Sales_Data!$J$2:$J$193=$A$35),filter(Sales_Data!$R$2:$R$193,Sales_Data!$H$2:$H$193=E$1,Sales_Data!$I$2:$I$193=$A52,Sales_Data!$J$2:$J$193=$A$"&amp;"35,Sales_Data!$O$2:$O$193=$A$36)),0)"),2016831.0)</f>
        <v>2016831</v>
      </c>
      <c r="F52" s="75">
        <f>IFERROR(__xludf.DUMMYFUNCTION("iferror(if($A$36=""Overall"",filter(Sales_Data!$R$2:$R$193,Sales_Data!$H$2:$H$193=F$1,Sales_Data!$I$2:$I$193=$A52,Sales_Data!$J$2:$J$193=$A$35),filter(Sales_Data!$R$2:$R$193,Sales_Data!$H$2:$H$193=F$1,Sales_Data!$I$2:$I$193=$A52,Sales_Data!$J$2:$J$193=$A$"&amp;"35,Sales_Data!$O$2:$O$193=$A$36)),0)"),2319330.0)</f>
        <v>2319330</v>
      </c>
      <c r="G52" s="75">
        <f>IFERROR(__xludf.DUMMYFUNCTION("iferror(if($A$36=""Overall"",filter(Sales_Data!$R$2:$R$193,Sales_Data!$H$2:$H$193=G$1,Sales_Data!$I$2:$I$193=$A52,Sales_Data!$J$2:$J$193=$A$35),filter(Sales_Data!$R$2:$R$193,Sales_Data!$H$2:$H$193=G$1,Sales_Data!$I$2:$I$193=$A52,Sales_Data!$J$2:$J$193=$A$"&amp;"35,Sales_Data!$O$2:$O$193=$A$36)),0)"),2713599.0)</f>
        <v>2713599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90" t="s">
        <v>319</v>
      </c>
      <c r="B53" s="77">
        <f t="shared" ref="B53:G53" si="4">sum(B37:B52)</f>
        <v>15807775.5</v>
      </c>
      <c r="C53" s="77">
        <f t="shared" si="4"/>
        <v>17849055</v>
      </c>
      <c r="D53" s="77">
        <f t="shared" si="4"/>
        <v>20264796</v>
      </c>
      <c r="E53" s="77">
        <f t="shared" si="4"/>
        <v>23127658.5</v>
      </c>
      <c r="F53" s="77">
        <f t="shared" si="4"/>
        <v>26449116</v>
      </c>
      <c r="G53" s="77">
        <f t="shared" si="4"/>
        <v>30246066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75"/>
      <c r="C54" s="75"/>
      <c r="D54" s="75"/>
      <c r="E54" s="75"/>
      <c r="F54" s="75"/>
      <c r="G54" s="7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57" t="s">
        <v>328</v>
      </c>
      <c r="B55" s="60"/>
      <c r="C55" s="60"/>
      <c r="D55" s="60"/>
      <c r="E55" s="60"/>
      <c r="F55" s="60"/>
      <c r="G55" s="7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85" t="s">
        <v>321</v>
      </c>
      <c r="B56" s="59">
        <f>'Cost-RM'!B23</f>
        <v>3854615.976</v>
      </c>
      <c r="C56" s="59">
        <f>'Cost-RM'!C23</f>
        <v>4343571.04</v>
      </c>
      <c r="D56" s="59">
        <f>'Cost-RM'!D23</f>
        <v>4923593.244</v>
      </c>
      <c r="E56" s="59">
        <f>'Cost-RM'!E23</f>
        <v>5608677.724</v>
      </c>
      <c r="F56" s="59">
        <f>'Cost-RM'!F23</f>
        <v>6404241.952</v>
      </c>
      <c r="G56" s="59">
        <f>'Cost-RM'!G23</f>
        <v>7312684.288</v>
      </c>
      <c r="H56" s="15"/>
      <c r="I56" s="15"/>
      <c r="J56" s="15"/>
      <c r="K56" s="15"/>
      <c r="L56" s="93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85" t="s">
        <v>322</v>
      </c>
      <c r="B57" s="59">
        <f>Assumption!$B$34*'Sales Quantity'!C3</f>
        <v>546444</v>
      </c>
      <c r="C57" s="59">
        <f>Assumption!$B$34*'Sales Quantity'!D3</f>
        <v>615760</v>
      </c>
      <c r="D57" s="59">
        <f>Assumption!$B$34*'Sales Quantity'!E3</f>
        <v>697986</v>
      </c>
      <c r="E57" s="59">
        <f>Assumption!$B$34*'Sales Quantity'!F3</f>
        <v>795106</v>
      </c>
      <c r="F57" s="59">
        <f>Assumption!$B$34*'Sales Quantity'!G3</f>
        <v>907888</v>
      </c>
      <c r="G57" s="59">
        <f>Assumption!$B$34*'Sales Quantity'!H3</f>
        <v>1036672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85" t="s">
        <v>323</v>
      </c>
      <c r="B58" s="59">
        <f>Assumption!$B$35*'Sales Quantity'!C3</f>
        <v>2185776</v>
      </c>
      <c r="C58" s="59">
        <f>Assumption!$B$35*'Sales Quantity'!D3</f>
        <v>2463040</v>
      </c>
      <c r="D58" s="59">
        <f>Assumption!$B$35*'Sales Quantity'!E3</f>
        <v>2791944</v>
      </c>
      <c r="E58" s="59">
        <f>Assumption!$B$35*'Sales Quantity'!F3</f>
        <v>3180424</v>
      </c>
      <c r="F58" s="59">
        <f>Assumption!$B$35*'Sales Quantity'!G3</f>
        <v>3631552</v>
      </c>
      <c r="G58" s="59">
        <f>Assumption!$B$35*'Sales Quantity'!H3</f>
        <v>4146688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61" t="s">
        <v>324</v>
      </c>
      <c r="B59" s="67">
        <f t="shared" ref="B59:G59" si="5">sum(B56:B58)</f>
        <v>6586835.976</v>
      </c>
      <c r="C59" s="67">
        <f t="shared" si="5"/>
        <v>7422371.04</v>
      </c>
      <c r="D59" s="67">
        <f t="shared" si="5"/>
        <v>8413523.244</v>
      </c>
      <c r="E59" s="67">
        <f t="shared" si="5"/>
        <v>9584207.724</v>
      </c>
      <c r="F59" s="67">
        <f t="shared" si="5"/>
        <v>10943681.95</v>
      </c>
      <c r="G59" s="67">
        <f t="shared" si="5"/>
        <v>12496044.29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75"/>
      <c r="C60" s="75"/>
      <c r="D60" s="75"/>
      <c r="E60" s="75"/>
      <c r="F60" s="75"/>
      <c r="G60" s="7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57" t="s">
        <v>325</v>
      </c>
      <c r="B61" s="91">
        <f>B59/'Sales Quantity'!C3</f>
        <v>24.108</v>
      </c>
      <c r="C61" s="91">
        <f>C59/'Sales Quantity'!D3</f>
        <v>24.108</v>
      </c>
      <c r="D61" s="91">
        <f>D59/'Sales Quantity'!E3</f>
        <v>24.108</v>
      </c>
      <c r="E61" s="91">
        <f>E59/'Sales Quantity'!F3</f>
        <v>24.108</v>
      </c>
      <c r="F61" s="91">
        <f>F59/'Sales Quantity'!G3</f>
        <v>24.108</v>
      </c>
      <c r="G61" s="91">
        <f>G59/'Sales Quantity'!H3</f>
        <v>24.108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61" t="s">
        <v>326</v>
      </c>
      <c r="B62" s="77">
        <f t="shared" ref="B62:G62" si="6">B53-B59</f>
        <v>9220939.524</v>
      </c>
      <c r="C62" s="77">
        <f t="shared" si="6"/>
        <v>10426683.96</v>
      </c>
      <c r="D62" s="77">
        <f t="shared" si="6"/>
        <v>11851272.76</v>
      </c>
      <c r="E62" s="77">
        <f t="shared" si="6"/>
        <v>13543450.78</v>
      </c>
      <c r="F62" s="77">
        <f t="shared" si="6"/>
        <v>15505434.05</v>
      </c>
      <c r="G62" s="77">
        <f t="shared" si="6"/>
        <v>17750021.71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75"/>
      <c r="C63" s="75"/>
      <c r="D63" s="75"/>
      <c r="E63" s="75"/>
      <c r="F63" s="75"/>
      <c r="G63" s="7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61" t="s">
        <v>327</v>
      </c>
      <c r="B64" s="91">
        <f>B62/'Sales Quantity'!C3</f>
        <v>33.7488911</v>
      </c>
      <c r="C64" s="91">
        <f>C62/'Sales Quantity'!D3</f>
        <v>33.86606457</v>
      </c>
      <c r="D64" s="91">
        <f>D62/'Sales Quantity'!E3</f>
        <v>33.95848271</v>
      </c>
      <c r="E64" s="91">
        <f>E62/'Sales Quantity'!F3</f>
        <v>34.06703201</v>
      </c>
      <c r="F64" s="91">
        <f>F62/'Sales Quantity'!G3</f>
        <v>34.15715165</v>
      </c>
      <c r="G64" s="91">
        <f>G62/'Sales Quantity'!H3</f>
        <v>34.2442387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</sheetData>
  <dataValidations>
    <dataValidation type="list" allowBlank="1" showErrorMessage="1" sqref="A5 A36">
      <formula1>"North,South,West,East,Overall"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</cols>
  <sheetData>
    <row r="1">
      <c r="A1" s="79" t="s">
        <v>318</v>
      </c>
      <c r="B1" s="45" t="s">
        <v>308</v>
      </c>
      <c r="C1" s="45" t="s">
        <v>267</v>
      </c>
      <c r="D1" s="45" t="s">
        <v>268</v>
      </c>
      <c r="E1" s="45" t="s">
        <v>269</v>
      </c>
      <c r="F1" s="45" t="s">
        <v>270</v>
      </c>
      <c r="G1" s="45" t="s">
        <v>271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61" t="s">
        <v>306</v>
      </c>
      <c r="B2" s="58"/>
      <c r="C2" s="58"/>
      <c r="D2" s="58"/>
      <c r="E2" s="58"/>
      <c r="F2" s="5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57" t="s">
        <v>259</v>
      </c>
      <c r="B3" s="59"/>
      <c r="C3" s="59"/>
      <c r="D3" s="59"/>
      <c r="E3" s="59"/>
      <c r="F3" s="59"/>
      <c r="G3" s="7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57" t="s">
        <v>275</v>
      </c>
      <c r="B4" s="59"/>
      <c r="C4" s="59"/>
      <c r="D4" s="59"/>
      <c r="E4" s="59"/>
      <c r="F4" s="59"/>
      <c r="G4" s="59"/>
      <c r="H4" s="15"/>
      <c r="I4" s="15"/>
      <c r="J4" s="15"/>
      <c r="K4" s="85"/>
      <c r="L4" s="59"/>
      <c r="M4" s="59"/>
      <c r="N4" s="59"/>
      <c r="O4" s="59"/>
      <c r="P4" s="59"/>
      <c r="Q4" s="59"/>
      <c r="R4" s="15"/>
      <c r="S4" s="15"/>
      <c r="T4" s="15"/>
      <c r="U4" s="15"/>
      <c r="V4" s="15"/>
      <c r="W4" s="15"/>
      <c r="X4" s="15"/>
      <c r="Y4" s="15"/>
      <c r="Z4" s="15"/>
    </row>
    <row r="5">
      <c r="A5" s="93" t="s">
        <v>257</v>
      </c>
      <c r="B5" s="15"/>
      <c r="C5" s="15"/>
      <c r="D5" s="15"/>
      <c r="E5" s="15"/>
      <c r="F5" s="15"/>
      <c r="G5" s="15"/>
      <c r="H5" s="93"/>
      <c r="I5" s="15"/>
      <c r="J5" s="15"/>
      <c r="K5" s="61"/>
      <c r="L5" s="67"/>
      <c r="M5" s="67"/>
      <c r="N5" s="67"/>
      <c r="O5" s="67"/>
      <c r="P5" s="67"/>
      <c r="Q5" s="67"/>
      <c r="R5" s="15"/>
      <c r="S5" s="15"/>
      <c r="T5" s="15"/>
      <c r="U5" s="15"/>
      <c r="V5" s="15"/>
      <c r="W5" s="15"/>
      <c r="X5" s="15"/>
      <c r="Y5" s="15"/>
      <c r="Z5" s="15"/>
    </row>
    <row r="6">
      <c r="A6" s="15" t="str">
        <f t="array" ref="A6:A21">UNIQUE(Sales_Data!I2:I193)</f>
        <v>Delhi</v>
      </c>
      <c r="B6" s="75">
        <f>IFERROR(__xludf.DUMMYFUNCTION("iferror(if($A$5=""Overall"",filter(Sales_Data!$S$2:$S$193,Sales_Data!$H$2:$H$193=B$1,Sales_Data!$I$2:$I$193=$A6,Sales_Data!$J$2:$J$193=$A$4),filter(Sales_Data!$S$2:$S$193,Sales_Data!$H$2:$H$193=B$1,Sales_Data!$I$2:$I$193=$A6,Sales_Data!$J$2:$J$193=$A$4,Sa"&amp;"les_Data!$O$2:$O$193=$A$5)),0)"),3627585.0)</f>
        <v>3627585</v>
      </c>
      <c r="C6" s="75">
        <f>IFERROR(__xludf.DUMMYFUNCTION("iferror(if($A$5=""Overall"",filter(Sales_Data!$S$2:$S$193,Sales_Data!$H$2:$H$193=C$1,Sales_Data!$I$2:$I$193=$A6,Sales_Data!$J$2:$J$193=$A$4),filter(Sales_Data!$S$2:$S$193,Sales_Data!$H$2:$H$193=C$1,Sales_Data!$I$2:$I$193=$A6,Sales_Data!$J$2:$J$193=$A$4,Sa"&amp;"les_Data!$O$2:$O$193=$A$5)),0)"),3704535.0)</f>
        <v>3704535</v>
      </c>
      <c r="D6" s="75">
        <f>IFERROR(__xludf.DUMMYFUNCTION("iferror(if($A$5=""Overall"",filter(Sales_Data!$S$2:$S$193,Sales_Data!$H$2:$H$193=D$1,Sales_Data!$I$2:$I$193=$A6,Sales_Data!$J$2:$J$193=$A$4),filter(Sales_Data!$S$2:$S$193,Sales_Data!$H$2:$H$193=D$1,Sales_Data!$I$2:$I$193=$A6,Sales_Data!$J$2:$J$193=$A$4,Sa"&amp;"les_Data!$O$2:$O$193=$A$5)),0)"),4567320.0)</f>
        <v>4567320</v>
      </c>
      <c r="E6" s="75">
        <f>IFERROR(__xludf.DUMMYFUNCTION("iferror(if($A$5=""Overall"",filter(Sales_Data!$S$2:$S$193,Sales_Data!$H$2:$H$193=E$1,Sales_Data!$I$2:$I$193=$A6,Sales_Data!$J$2:$J$193=$A$4),filter(Sales_Data!$S$2:$S$193,Sales_Data!$H$2:$H$193=E$1,Sales_Data!$I$2:$I$193=$A6,Sales_Data!$J$2:$J$193=$A$4,Sa"&amp;"les_Data!$O$2:$O$193=$A$5)),0)"),5431590.0)</f>
        <v>5431590</v>
      </c>
      <c r="F6" s="75">
        <f>IFERROR(__xludf.DUMMYFUNCTION("iferror(if($A$5=""Overall"",filter(Sales_Data!$S$2:$S$193,Sales_Data!$H$2:$H$193=F$1,Sales_Data!$I$2:$I$193=$A6,Sales_Data!$J$2:$J$193=$A$4),filter(Sales_Data!$S$2:$S$193,Sales_Data!$H$2:$H$193=F$1,Sales_Data!$I$2:$I$193=$A6,Sales_Data!$J$2:$J$193=$A$4,Sa"&amp;"les_Data!$O$2:$O$193=$A$5)),0)"),6198660.0)</f>
        <v>6198660</v>
      </c>
      <c r="G6" s="75">
        <f>IFERROR(__xludf.DUMMYFUNCTION("iferror(if($A$5=""Overall"",filter(Sales_Data!$S$2:$S$193,Sales_Data!$H$2:$H$193=G$1,Sales_Data!$I$2:$I$193=$A6,Sales_Data!$J$2:$J$193=$A$4),filter(Sales_Data!$S$2:$S$193,Sales_Data!$H$2:$H$193=G$1,Sales_Data!$I$2:$I$193=$A6,Sales_Data!$J$2:$J$193=$A$4,Sa"&amp;"les_Data!$O$2:$O$193=$A$5)),0)"),7313355.0)</f>
        <v>7313355</v>
      </c>
      <c r="H6" s="15"/>
      <c r="I6" s="15"/>
      <c r="J6" s="15"/>
      <c r="K6" s="15"/>
      <c r="L6" s="15"/>
      <c r="M6" s="15"/>
      <c r="N6" s="67"/>
      <c r="O6" s="67"/>
      <c r="P6" s="67"/>
      <c r="Q6" s="67"/>
      <c r="R6" s="15"/>
      <c r="S6" s="15"/>
      <c r="T6" s="15"/>
      <c r="U6" s="15"/>
      <c r="V6" s="15"/>
      <c r="W6" s="15"/>
      <c r="X6" s="15"/>
      <c r="Y6" s="15"/>
      <c r="Z6" s="15"/>
    </row>
    <row r="7">
      <c r="A7" s="15" t="s">
        <v>13</v>
      </c>
      <c r="B7" s="75">
        <f>IFERROR(__xludf.DUMMYFUNCTION("iferror(if($A$5=""Overall"",filter(Sales_Data!$S$2:$S$193,Sales_Data!$H$2:$H$193=B$1,Sales_Data!$I$2:$I$193=$A7,Sales_Data!$J$2:$J$193=$A$4),filter(Sales_Data!$S$2:$S$193,Sales_Data!$H$2:$H$193=B$1,Sales_Data!$I$2:$I$193=$A7,Sales_Data!$J$2:$J$193=$A$4,Sa"&amp;"les_Data!$O$2:$O$193=$A$5)),0)"),1703295.0)</f>
        <v>1703295</v>
      </c>
      <c r="C7" s="75">
        <f>IFERROR(__xludf.DUMMYFUNCTION("iferror(if($A$5=""Overall"",filter(Sales_Data!$S$2:$S$193,Sales_Data!$H$2:$H$193=C$1,Sales_Data!$I$2:$I$193=$A7,Sales_Data!$J$2:$J$193=$A$4),filter(Sales_Data!$S$2:$S$193,Sales_Data!$H$2:$H$193=C$1,Sales_Data!$I$2:$I$193=$A7,Sales_Data!$J$2:$J$193=$A$4,Sa"&amp;"les_Data!$O$2:$O$193=$A$5)),0)"),2046465.0)</f>
        <v>2046465</v>
      </c>
      <c r="D7" s="75">
        <f>IFERROR(__xludf.DUMMYFUNCTION("iferror(if($A$5=""Overall"",filter(Sales_Data!$S$2:$S$193,Sales_Data!$H$2:$H$193=D$1,Sales_Data!$I$2:$I$193=$A7,Sales_Data!$J$2:$J$193=$A$4),filter(Sales_Data!$S$2:$S$193,Sales_Data!$H$2:$H$193=D$1,Sales_Data!$I$2:$I$193=$A7,Sales_Data!$J$2:$J$193=$A$4,Sa"&amp;"les_Data!$O$2:$O$193=$A$5)),0)"),2416500.0)</f>
        <v>2416500</v>
      </c>
      <c r="E7" s="75">
        <f>IFERROR(__xludf.DUMMYFUNCTION("iferror(if($A$5=""Overall"",filter(Sales_Data!$S$2:$S$193,Sales_Data!$H$2:$H$193=E$1,Sales_Data!$I$2:$I$193=$A7,Sales_Data!$J$2:$J$193=$A$4),filter(Sales_Data!$S$2:$S$193,Sales_Data!$H$2:$H$193=E$1,Sales_Data!$I$2:$I$193=$A7,Sales_Data!$J$2:$J$193=$A$4,Sa"&amp;"les_Data!$O$2:$O$193=$A$5)),0)"),2778975.0)</f>
        <v>2778975</v>
      </c>
      <c r="F7" s="75">
        <f>IFERROR(__xludf.DUMMYFUNCTION("iferror(if($A$5=""Overall"",filter(Sales_Data!$S$2:$S$193,Sales_Data!$H$2:$H$193=F$1,Sales_Data!$I$2:$I$193=$A7,Sales_Data!$J$2:$J$193=$A$4),filter(Sales_Data!$S$2:$S$193,Sales_Data!$H$2:$H$193=F$1,Sales_Data!$I$2:$I$193=$A7,Sales_Data!$J$2:$J$193=$A$4,Sa"&amp;"les_Data!$O$2:$O$193=$A$5)),0)"),3223665.0)</f>
        <v>3223665</v>
      </c>
      <c r="G7" s="75">
        <f>IFERROR(__xludf.DUMMYFUNCTION("iferror(if($A$5=""Overall"",filter(Sales_Data!$S$2:$S$193,Sales_Data!$H$2:$H$193=G$1,Sales_Data!$I$2:$I$193=$A7,Sales_Data!$J$2:$J$193=$A$4),filter(Sales_Data!$S$2:$S$193,Sales_Data!$H$2:$H$193=G$1,Sales_Data!$I$2:$I$193=$A7,Sales_Data!$J$2:$J$193=$A$4,Sa"&amp;"les_Data!$O$2:$O$193=$A$5)),0)"),3997350.0)</f>
        <v>3997350</v>
      </c>
      <c r="H7" s="15"/>
      <c r="I7" s="15"/>
      <c r="J7" s="15"/>
      <c r="K7" s="15"/>
      <c r="L7" s="15"/>
      <c r="M7" s="15"/>
      <c r="N7" s="60"/>
      <c r="O7" s="60"/>
      <c r="P7" s="60"/>
      <c r="Q7" s="75"/>
      <c r="R7" s="15"/>
      <c r="S7" s="15"/>
      <c r="T7" s="15"/>
      <c r="U7" s="15"/>
      <c r="V7" s="15"/>
      <c r="W7" s="15"/>
      <c r="X7" s="15"/>
      <c r="Y7" s="15"/>
      <c r="Z7" s="15"/>
    </row>
    <row r="8">
      <c r="A8" s="15" t="s">
        <v>14</v>
      </c>
      <c r="B8" s="75">
        <f>IFERROR(__xludf.DUMMYFUNCTION("iferror(if($A$5=""Overall"",filter(Sales_Data!$S$2:$S$193,Sales_Data!$H$2:$H$193=B$1,Sales_Data!$I$2:$I$193=$A8,Sales_Data!$J$2:$J$193=$A$4),filter(Sales_Data!$S$2:$S$193,Sales_Data!$H$2:$H$193=B$1,Sales_Data!$I$2:$I$193=$A8,Sales_Data!$J$2:$J$193=$A$4,Sa"&amp;"les_Data!$O$2:$O$193=$A$5)),0)"),2112615.0)</f>
        <v>2112615</v>
      </c>
      <c r="C8" s="75">
        <f>IFERROR(__xludf.DUMMYFUNCTION("iferror(if($A$5=""Overall"",filter(Sales_Data!$S$2:$S$193,Sales_Data!$H$2:$H$193=C$1,Sales_Data!$I$2:$I$193=$A8,Sales_Data!$J$2:$J$193=$A$4),filter(Sales_Data!$S$2:$S$193,Sales_Data!$H$2:$H$193=C$1,Sales_Data!$I$2:$I$193=$A8,Sales_Data!$J$2:$J$193=$A$4,Sa"&amp;"les_Data!$O$2:$O$193=$A$5)),0)"),2601045.0)</f>
        <v>2601045</v>
      </c>
      <c r="D8" s="75">
        <f>IFERROR(__xludf.DUMMYFUNCTION("iferror(if($A$5=""Overall"",filter(Sales_Data!$S$2:$S$193,Sales_Data!$H$2:$H$193=D$1,Sales_Data!$I$2:$I$193=$A8,Sales_Data!$J$2:$J$193=$A$4),filter(Sales_Data!$S$2:$S$193,Sales_Data!$H$2:$H$193=D$1,Sales_Data!$I$2:$I$193=$A8,Sales_Data!$J$2:$J$193=$A$4,Sa"&amp;"les_Data!$O$2:$O$193=$A$5)),0)"),3119850.0)</f>
        <v>3119850</v>
      </c>
      <c r="E8" s="75">
        <f>IFERROR(__xludf.DUMMYFUNCTION("iferror(if($A$5=""Overall"",filter(Sales_Data!$S$2:$S$193,Sales_Data!$H$2:$H$193=E$1,Sales_Data!$I$2:$I$193=$A8,Sales_Data!$J$2:$J$193=$A$4),filter(Sales_Data!$S$2:$S$193,Sales_Data!$H$2:$H$193=E$1,Sales_Data!$I$2:$I$193=$A8,Sales_Data!$J$2:$J$193=$A$4,Sa"&amp;"les_Data!$O$2:$O$193=$A$5)),0)"),3589650.0)</f>
        <v>3589650</v>
      </c>
      <c r="F8" s="75">
        <f>IFERROR(__xludf.DUMMYFUNCTION("iferror(if($A$5=""Overall"",filter(Sales_Data!$S$2:$S$193,Sales_Data!$H$2:$H$193=F$1,Sales_Data!$I$2:$I$193=$A8,Sales_Data!$J$2:$J$193=$A$4),filter(Sales_Data!$S$2:$S$193,Sales_Data!$H$2:$H$193=F$1,Sales_Data!$I$2:$I$193=$A8,Sales_Data!$J$2:$J$193=$A$4,Sa"&amp;"les_Data!$O$2:$O$193=$A$5)),0)"),4198095.0)</f>
        <v>4198095</v>
      </c>
      <c r="G8" s="75">
        <f>IFERROR(__xludf.DUMMYFUNCTION("iferror(if($A$5=""Overall"",filter(Sales_Data!$S$2:$S$193,Sales_Data!$H$2:$H$193=G$1,Sales_Data!$I$2:$I$193=$A8,Sales_Data!$J$2:$J$193=$A$4),filter(Sales_Data!$S$2:$S$193,Sales_Data!$H$2:$H$193=G$1,Sales_Data!$I$2:$I$193=$A8,Sales_Data!$J$2:$J$193=$A$4,Sa"&amp;"les_Data!$O$2:$O$193=$A$5)),0)"),4867020.0)</f>
        <v>4867020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 t="s">
        <v>15</v>
      </c>
      <c r="B9" s="75">
        <f>IFERROR(__xludf.DUMMYFUNCTION("iferror(if($A$5=""Overall"",filter(Sales_Data!$S$2:$S$193,Sales_Data!$H$2:$H$193=B$1,Sales_Data!$I$2:$I$193=$A9,Sales_Data!$J$2:$J$193=$A$4),filter(Sales_Data!$S$2:$S$193,Sales_Data!$H$2:$H$193=B$1,Sales_Data!$I$2:$I$193=$A9,Sales_Data!$J$2:$J$193=$A$4,Sa"&amp;"les_Data!$O$2:$O$193=$A$5)),0)"),4122495.0)</f>
        <v>4122495</v>
      </c>
      <c r="C9" s="75">
        <f>IFERROR(__xludf.DUMMYFUNCTION("iferror(if($A$5=""Overall"",filter(Sales_Data!$S$2:$S$193,Sales_Data!$H$2:$H$193=C$1,Sales_Data!$I$2:$I$193=$A9,Sales_Data!$J$2:$J$193=$A$4),filter(Sales_Data!$S$2:$S$193,Sales_Data!$H$2:$H$193=C$1,Sales_Data!$I$2:$I$193=$A9,Sales_Data!$J$2:$J$193=$A$4,Sa"&amp;"les_Data!$O$2:$O$193=$A$5)),0)"),4429620.0)</f>
        <v>4429620</v>
      </c>
      <c r="D9" s="75">
        <f>IFERROR(__xludf.DUMMYFUNCTION("iferror(if($A$5=""Overall"",filter(Sales_Data!$S$2:$S$193,Sales_Data!$H$2:$H$193=D$1,Sales_Data!$I$2:$I$193=$A9,Sales_Data!$J$2:$J$193=$A$4),filter(Sales_Data!$S$2:$S$193,Sales_Data!$H$2:$H$193=D$1,Sales_Data!$I$2:$I$193=$A9,Sales_Data!$J$2:$J$193=$A$4,Sa"&amp;"les_Data!$O$2:$O$193=$A$5)),0)"),5600205.0)</f>
        <v>5600205</v>
      </c>
      <c r="E9" s="75">
        <f>IFERROR(__xludf.DUMMYFUNCTION("iferror(if($A$5=""Overall"",filter(Sales_Data!$S$2:$S$193,Sales_Data!$H$2:$H$193=E$1,Sales_Data!$I$2:$I$193=$A9,Sales_Data!$J$2:$J$193=$A$4),filter(Sales_Data!$S$2:$S$193,Sales_Data!$H$2:$H$193=E$1,Sales_Data!$I$2:$I$193=$A9,Sales_Data!$J$2:$J$193=$A$4,Sa"&amp;"les_Data!$O$2:$O$193=$A$5)),0)"),6718275.0)</f>
        <v>6718275</v>
      </c>
      <c r="F9" s="75">
        <f>IFERROR(__xludf.DUMMYFUNCTION("iferror(if($A$5=""Overall"",filter(Sales_Data!$S$2:$S$193,Sales_Data!$H$2:$H$193=F$1,Sales_Data!$I$2:$I$193=$A9,Sales_Data!$J$2:$J$193=$A$4),filter(Sales_Data!$S$2:$S$193,Sales_Data!$H$2:$H$193=F$1,Sales_Data!$I$2:$I$193=$A9,Sales_Data!$J$2:$J$193=$A$4,Sa"&amp;"les_Data!$O$2:$O$193=$A$5)),0)"),7151625.0)</f>
        <v>7151625</v>
      </c>
      <c r="G9" s="75">
        <f>IFERROR(__xludf.DUMMYFUNCTION("iferror(if($A$5=""Overall"",filter(Sales_Data!$S$2:$S$193,Sales_Data!$H$2:$H$193=G$1,Sales_Data!$I$2:$I$193=$A9,Sales_Data!$J$2:$J$193=$A$4),filter(Sales_Data!$S$2:$S$193,Sales_Data!$H$2:$H$193=G$1,Sales_Data!$I$2:$I$193=$A9,Sales_Data!$J$2:$J$193=$A$4,Sa"&amp;"les_Data!$O$2:$O$193=$A$5)),0)"),8224335.0)</f>
        <v>8224335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 t="s">
        <v>16</v>
      </c>
      <c r="B10" s="75">
        <f>IFERROR(__xludf.DUMMYFUNCTION("iferror(if($A$5=""Overall"",filter(Sales_Data!$S$2:$S$193,Sales_Data!$H$2:$H$193=B$1,Sales_Data!$I$2:$I$193=$A10,Sales_Data!$J$2:$J$193=$A$4),filter(Sales_Data!$S$2:$S$193,Sales_Data!$H$2:$H$193=B$1,Sales_Data!$I$2:$I$193=$A10,Sales_Data!$J$2:$J$193=$A$4,"&amp;"Sales_Data!$O$2:$O$193=$A$5)),0)"),3332205.0)</f>
        <v>3332205</v>
      </c>
      <c r="C10" s="75">
        <f>IFERROR(__xludf.DUMMYFUNCTION("iferror(if($A$5=""Overall"",filter(Sales_Data!$S$2:$S$193,Sales_Data!$H$2:$H$193=C$1,Sales_Data!$I$2:$I$193=$A10,Sales_Data!$J$2:$J$193=$A$4),filter(Sales_Data!$S$2:$S$193,Sales_Data!$H$2:$H$193=C$1,Sales_Data!$I$2:$I$193=$A10,Sales_Data!$J$2:$J$193=$A$4,"&amp;"Sales_Data!$O$2:$O$193=$A$5)),0)"),3970215.0)</f>
        <v>3970215</v>
      </c>
      <c r="D10" s="75">
        <f>IFERROR(__xludf.DUMMYFUNCTION("iferror(if($A$5=""Overall"",filter(Sales_Data!$S$2:$S$193,Sales_Data!$H$2:$H$193=D$1,Sales_Data!$I$2:$I$193=$A10,Sales_Data!$J$2:$J$193=$A$4),filter(Sales_Data!$S$2:$S$193,Sales_Data!$H$2:$H$193=D$1,Sales_Data!$I$2:$I$193=$A10,Sales_Data!$J$2:$J$193=$A$4,"&amp;"Sales_Data!$O$2:$O$193=$A$5)),0)"),5008635.0)</f>
        <v>5008635</v>
      </c>
      <c r="E10" s="75">
        <f>IFERROR(__xludf.DUMMYFUNCTION("iferror(if($A$5=""Overall"",filter(Sales_Data!$S$2:$S$193,Sales_Data!$H$2:$H$193=E$1,Sales_Data!$I$2:$I$193=$A10,Sales_Data!$J$2:$J$193=$A$4),filter(Sales_Data!$S$2:$S$193,Sales_Data!$H$2:$H$193=E$1,Sales_Data!$I$2:$I$193=$A10,Sales_Data!$J$2:$J$193=$A$4,"&amp;"Sales_Data!$O$2:$O$193=$A$5)),0)"),5670945.0)</f>
        <v>5670945</v>
      </c>
      <c r="F10" s="75">
        <f>IFERROR(__xludf.DUMMYFUNCTION("iferror(if($A$5=""Overall"",filter(Sales_Data!$S$2:$S$193,Sales_Data!$H$2:$H$193=F$1,Sales_Data!$I$2:$I$193=$A10,Sales_Data!$J$2:$J$193=$A$4),filter(Sales_Data!$S$2:$S$193,Sales_Data!$H$2:$H$193=F$1,Sales_Data!$I$2:$I$193=$A10,Sales_Data!$J$2:$J$193=$A$4,"&amp;"Sales_Data!$O$2:$O$193=$A$5)),0)"),6301395.0)</f>
        <v>6301395</v>
      </c>
      <c r="G10" s="75">
        <f>IFERROR(__xludf.DUMMYFUNCTION("iferror(if($A$5=""Overall"",filter(Sales_Data!$S$2:$S$193,Sales_Data!$H$2:$H$193=G$1,Sales_Data!$I$2:$I$193=$A10,Sales_Data!$J$2:$J$193=$A$4),filter(Sales_Data!$S$2:$S$193,Sales_Data!$H$2:$H$193=G$1,Sales_Data!$I$2:$I$193=$A10,Sales_Data!$J$2:$J$193=$A$4,"&amp;"Sales_Data!$O$2:$O$193=$A$5)),0)"),8090280.0)</f>
        <v>8090280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 t="s">
        <v>17</v>
      </c>
      <c r="B11" s="75">
        <f>IFERROR(__xludf.DUMMYFUNCTION("iferror(if($A$5=""Overall"",filter(Sales_Data!$S$2:$S$193,Sales_Data!$H$2:$H$193=B$1,Sales_Data!$I$2:$I$193=$A11,Sales_Data!$J$2:$J$193=$A$4),filter(Sales_Data!$S$2:$S$193,Sales_Data!$H$2:$H$193=B$1,Sales_Data!$I$2:$I$193=$A11,Sales_Data!$J$2:$J$193=$A$4,"&amp;"Sales_Data!$O$2:$O$193=$A$5)),0)"),1873530.0)</f>
        <v>1873530</v>
      </c>
      <c r="C11" s="75">
        <f>IFERROR(__xludf.DUMMYFUNCTION("iferror(if($A$5=""Overall"",filter(Sales_Data!$S$2:$S$193,Sales_Data!$H$2:$H$193=C$1,Sales_Data!$I$2:$I$193=$A11,Sales_Data!$J$2:$J$193=$A$4),filter(Sales_Data!$S$2:$S$193,Sales_Data!$H$2:$H$193=C$1,Sales_Data!$I$2:$I$193=$A11,Sales_Data!$J$2:$J$193=$A$4,"&amp;"Sales_Data!$O$2:$O$193=$A$5)),0)"),1948455.0)</f>
        <v>1948455</v>
      </c>
      <c r="D11" s="75">
        <f>IFERROR(__xludf.DUMMYFUNCTION("iferror(if($A$5=""Overall"",filter(Sales_Data!$S$2:$S$193,Sales_Data!$H$2:$H$193=D$1,Sales_Data!$I$2:$I$193=$A11,Sales_Data!$J$2:$J$193=$A$4),filter(Sales_Data!$S$2:$S$193,Sales_Data!$H$2:$H$193=D$1,Sales_Data!$I$2:$I$193=$A11,Sales_Data!$J$2:$J$193=$A$4,"&amp;"Sales_Data!$O$2:$O$193=$A$5)),0)"),2006910.0)</f>
        <v>2006910</v>
      </c>
      <c r="E11" s="75">
        <f>IFERROR(__xludf.DUMMYFUNCTION("iferror(if($A$5=""Overall"",filter(Sales_Data!$S$2:$S$193,Sales_Data!$H$2:$H$193=E$1,Sales_Data!$I$2:$I$193=$A11,Sales_Data!$J$2:$J$193=$A$4),filter(Sales_Data!$S$2:$S$193,Sales_Data!$H$2:$H$193=E$1,Sales_Data!$I$2:$I$193=$A11,Sales_Data!$J$2:$J$193=$A$4,"&amp;"Sales_Data!$O$2:$O$193=$A$5)),0)"),2047140.0)</f>
        <v>2047140</v>
      </c>
      <c r="F11" s="75">
        <f>IFERROR(__xludf.DUMMYFUNCTION("iferror(if($A$5=""Overall"",filter(Sales_Data!$S$2:$S$193,Sales_Data!$H$2:$H$193=F$1,Sales_Data!$I$2:$I$193=$A11,Sales_Data!$J$2:$J$193=$A$4),filter(Sales_Data!$S$2:$S$193,Sales_Data!$H$2:$H$193=F$1,Sales_Data!$I$2:$I$193=$A11,Sales_Data!$J$2:$J$193=$A$4,"&amp;"Sales_Data!$O$2:$O$193=$A$5)),0)"),2148795.0)</f>
        <v>2148795</v>
      </c>
      <c r="G11" s="75">
        <f>IFERROR(__xludf.DUMMYFUNCTION("iferror(if($A$5=""Overall"",filter(Sales_Data!$S$2:$S$193,Sales_Data!$H$2:$H$193=G$1,Sales_Data!$I$2:$I$193=$A11,Sales_Data!$J$2:$J$193=$A$4),filter(Sales_Data!$S$2:$S$193,Sales_Data!$H$2:$H$193=G$1,Sales_Data!$I$2:$I$193=$A11,Sales_Data!$J$2:$J$193=$A$4,"&amp;"Sales_Data!$O$2:$O$193=$A$5)),0)"),2192670.0)</f>
        <v>2192670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 t="s">
        <v>262</v>
      </c>
      <c r="B12" s="75">
        <f>IFERROR(__xludf.DUMMYFUNCTION("iferror(if($A$5=""Overall"",filter(Sales_Data!$S$2:$S$193,Sales_Data!$H$2:$H$193=B$1,Sales_Data!$I$2:$I$193=$A12,Sales_Data!$J$2:$J$193=$A$4),filter(Sales_Data!$S$2:$S$193,Sales_Data!$H$2:$H$193=B$1,Sales_Data!$I$2:$I$193=$A12,Sales_Data!$J$2:$J$193=$A$4,"&amp;"Sales_Data!$O$2:$O$193=$A$5)),0)"),3138480.0)</f>
        <v>3138480</v>
      </c>
      <c r="C12" s="75">
        <f>IFERROR(__xludf.DUMMYFUNCTION("iferror(if($A$5=""Overall"",filter(Sales_Data!$S$2:$S$193,Sales_Data!$H$2:$H$193=C$1,Sales_Data!$I$2:$I$193=$A12,Sales_Data!$J$2:$J$193=$A$4),filter(Sales_Data!$S$2:$S$193,Sales_Data!$H$2:$H$193=C$1,Sales_Data!$I$2:$I$193=$A12,Sales_Data!$J$2:$J$193=$A$4,"&amp;"Sales_Data!$O$2:$O$193=$A$5)),0)"),3793635.0)</f>
        <v>3793635</v>
      </c>
      <c r="D12" s="75">
        <f>IFERROR(__xludf.DUMMYFUNCTION("iferror(if($A$5=""Overall"",filter(Sales_Data!$S$2:$S$193,Sales_Data!$H$2:$H$193=D$1,Sales_Data!$I$2:$I$193=$A12,Sales_Data!$J$2:$J$193=$A$4),filter(Sales_Data!$S$2:$S$193,Sales_Data!$H$2:$H$193=D$1,Sales_Data!$I$2:$I$193=$A12,Sales_Data!$J$2:$J$193=$A$4,"&amp;"Sales_Data!$O$2:$O$193=$A$5)),0)"),4404240.0)</f>
        <v>4404240</v>
      </c>
      <c r="E12" s="75">
        <f>IFERROR(__xludf.DUMMYFUNCTION("iferror(if($A$5=""Overall"",filter(Sales_Data!$S$2:$S$193,Sales_Data!$H$2:$H$193=E$1,Sales_Data!$I$2:$I$193=$A12,Sales_Data!$J$2:$J$193=$A$4),filter(Sales_Data!$S$2:$S$193,Sales_Data!$H$2:$H$193=E$1,Sales_Data!$I$2:$I$193=$A12,Sales_Data!$J$2:$J$193=$A$4,"&amp;"Sales_Data!$O$2:$O$193=$A$5)),0)"),4981770.0)</f>
        <v>4981770</v>
      </c>
      <c r="F12" s="75">
        <f>IFERROR(__xludf.DUMMYFUNCTION("iferror(if($A$5=""Overall"",filter(Sales_Data!$S$2:$S$193,Sales_Data!$H$2:$H$193=F$1,Sales_Data!$I$2:$I$193=$A12,Sales_Data!$J$2:$J$193=$A$4),filter(Sales_Data!$S$2:$S$193,Sales_Data!$H$2:$H$193=F$1,Sales_Data!$I$2:$I$193=$A12,Sales_Data!$J$2:$J$193=$A$4,"&amp;"Sales_Data!$O$2:$O$193=$A$5)),0)"),5971455.0)</f>
        <v>5971455</v>
      </c>
      <c r="G12" s="75">
        <f>IFERROR(__xludf.DUMMYFUNCTION("iferror(if($A$5=""Overall"",filter(Sales_Data!$S$2:$S$193,Sales_Data!$H$2:$H$193=G$1,Sales_Data!$I$2:$I$193=$A12,Sales_Data!$J$2:$J$193=$A$4),filter(Sales_Data!$S$2:$S$193,Sales_Data!$H$2:$H$193=G$1,Sales_Data!$I$2:$I$193=$A12,Sales_Data!$J$2:$J$193=$A$4,"&amp;"Sales_Data!$O$2:$O$193=$A$5)),0)"),6313410.0)</f>
        <v>6313410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 t="s">
        <v>19</v>
      </c>
      <c r="B13" s="75">
        <f>IFERROR(__xludf.DUMMYFUNCTION("iferror(if($A$5=""Overall"",filter(Sales_Data!$S$2:$S$193,Sales_Data!$H$2:$H$193=B$1,Sales_Data!$I$2:$I$193=$A13,Sales_Data!$J$2:$J$193=$A$4),filter(Sales_Data!$S$2:$S$193,Sales_Data!$H$2:$H$193=B$1,Sales_Data!$I$2:$I$193=$A13,Sales_Data!$J$2:$J$193=$A$4,"&amp;"Sales_Data!$O$2:$O$193=$A$5)),0)"),1791180.0)</f>
        <v>1791180</v>
      </c>
      <c r="C13" s="75">
        <f>IFERROR(__xludf.DUMMYFUNCTION("iferror(if($A$5=""Overall"",filter(Sales_Data!$S$2:$S$193,Sales_Data!$H$2:$H$193=C$1,Sales_Data!$I$2:$I$193=$A13,Sales_Data!$J$2:$J$193=$A$4),filter(Sales_Data!$S$2:$S$193,Sales_Data!$H$2:$H$193=C$1,Sales_Data!$I$2:$I$193=$A13,Sales_Data!$J$2:$J$193=$A$4,"&amp;"Sales_Data!$O$2:$O$193=$A$5)),0)"),2344140.0)</f>
        <v>2344140</v>
      </c>
      <c r="D13" s="75">
        <f>IFERROR(__xludf.DUMMYFUNCTION("iferror(if($A$5=""Overall"",filter(Sales_Data!$S$2:$S$193,Sales_Data!$H$2:$H$193=D$1,Sales_Data!$I$2:$I$193=$A13,Sales_Data!$J$2:$J$193=$A$4),filter(Sales_Data!$S$2:$S$193,Sales_Data!$H$2:$H$193=D$1,Sales_Data!$I$2:$I$193=$A13,Sales_Data!$J$2:$J$193=$A$4,"&amp;"Sales_Data!$O$2:$O$193=$A$5)),0)"),2630340.0)</f>
        <v>2630340</v>
      </c>
      <c r="E13" s="75">
        <f>IFERROR(__xludf.DUMMYFUNCTION("iferror(if($A$5=""Overall"",filter(Sales_Data!$S$2:$S$193,Sales_Data!$H$2:$H$193=E$1,Sales_Data!$I$2:$I$193=$A13,Sales_Data!$J$2:$J$193=$A$4),filter(Sales_Data!$S$2:$S$193,Sales_Data!$H$2:$H$193=E$1,Sales_Data!$I$2:$I$193=$A13,Sales_Data!$J$2:$J$193=$A$4,"&amp;"Sales_Data!$O$2:$O$193=$A$5)),0)"),2972835.0)</f>
        <v>2972835</v>
      </c>
      <c r="F13" s="75">
        <f>IFERROR(__xludf.DUMMYFUNCTION("iferror(if($A$5=""Overall"",filter(Sales_Data!$S$2:$S$193,Sales_Data!$H$2:$H$193=F$1,Sales_Data!$I$2:$I$193=$A13,Sales_Data!$J$2:$J$193=$A$4),filter(Sales_Data!$S$2:$S$193,Sales_Data!$H$2:$H$193=F$1,Sales_Data!$I$2:$I$193=$A13,Sales_Data!$J$2:$J$193=$A$4,"&amp;"Sales_Data!$O$2:$O$193=$A$5)),0)"),3417255.0)</f>
        <v>3417255</v>
      </c>
      <c r="G13" s="75">
        <f>IFERROR(__xludf.DUMMYFUNCTION("iferror(if($A$5=""Overall"",filter(Sales_Data!$S$2:$S$193,Sales_Data!$H$2:$H$193=G$1,Sales_Data!$I$2:$I$193=$A13,Sales_Data!$J$2:$J$193=$A$4),filter(Sales_Data!$S$2:$S$193,Sales_Data!$H$2:$H$193=G$1,Sales_Data!$I$2:$I$193=$A13,Sales_Data!$J$2:$J$193=$A$4,"&amp;"Sales_Data!$O$2:$O$193=$A$5)),0)"),4388715.0)</f>
        <v>4388715</v>
      </c>
      <c r="H13" s="15"/>
      <c r="I13" s="15"/>
      <c r="J13" s="15"/>
      <c r="K13" s="15"/>
      <c r="L13" s="15"/>
      <c r="M13" s="15"/>
      <c r="N13" s="60"/>
      <c r="O13" s="60"/>
      <c r="P13" s="60"/>
      <c r="Q13" s="7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 t="s">
        <v>20</v>
      </c>
      <c r="B14" s="75">
        <f>IFERROR(__xludf.DUMMYFUNCTION("iferror(if($A$5=""Overall"",filter(Sales_Data!$S$2:$S$193,Sales_Data!$H$2:$H$193=B$1,Sales_Data!$I$2:$I$193=$A14,Sales_Data!$J$2:$J$193=$A$4),filter(Sales_Data!$S$2:$S$193,Sales_Data!$H$2:$H$193=B$1,Sales_Data!$I$2:$I$193=$A14,Sales_Data!$J$2:$J$193=$A$4,"&amp;"Sales_Data!$O$2:$O$193=$A$5)),0)"),3498255.0)</f>
        <v>3498255</v>
      </c>
      <c r="C14" s="75">
        <f>IFERROR(__xludf.DUMMYFUNCTION("iferror(if($A$5=""Overall"",filter(Sales_Data!$S$2:$S$193,Sales_Data!$H$2:$H$193=C$1,Sales_Data!$I$2:$I$193=$A14,Sales_Data!$J$2:$J$193=$A$4),filter(Sales_Data!$S$2:$S$193,Sales_Data!$H$2:$H$193=C$1,Sales_Data!$I$2:$I$193=$A14,Sales_Data!$J$2:$J$193=$A$4,"&amp;"Sales_Data!$O$2:$O$193=$A$5)),0)"),3606930.0)</f>
        <v>3606930</v>
      </c>
      <c r="D14" s="75">
        <f>IFERROR(__xludf.DUMMYFUNCTION("iferror(if($A$5=""Overall"",filter(Sales_Data!$S$2:$S$193,Sales_Data!$H$2:$H$193=D$1,Sales_Data!$I$2:$I$193=$A14,Sales_Data!$J$2:$J$193=$A$4),filter(Sales_Data!$S$2:$S$193,Sales_Data!$H$2:$H$193=D$1,Sales_Data!$I$2:$I$193=$A14,Sales_Data!$J$2:$J$193=$A$4,"&amp;"Sales_Data!$O$2:$O$193=$A$5)),0)"),4005855.0)</f>
        <v>4005855</v>
      </c>
      <c r="E14" s="75">
        <f>IFERROR(__xludf.DUMMYFUNCTION("iferror(if($A$5=""Overall"",filter(Sales_Data!$S$2:$S$193,Sales_Data!$H$2:$H$193=E$1,Sales_Data!$I$2:$I$193=$A14,Sales_Data!$J$2:$J$193=$A$4),filter(Sales_Data!$S$2:$S$193,Sales_Data!$H$2:$H$193=E$1,Sales_Data!$I$2:$I$193=$A14,Sales_Data!$J$2:$J$193=$A$4,"&amp;"Sales_Data!$O$2:$O$193=$A$5)),0)"),3756510.0)</f>
        <v>3756510</v>
      </c>
      <c r="F14" s="75">
        <f>IFERROR(__xludf.DUMMYFUNCTION("iferror(if($A$5=""Overall"",filter(Sales_Data!$S$2:$S$193,Sales_Data!$H$2:$H$193=F$1,Sales_Data!$I$2:$I$193=$A14,Sales_Data!$J$2:$J$193=$A$4),filter(Sales_Data!$S$2:$S$193,Sales_Data!$H$2:$H$193=F$1,Sales_Data!$I$2:$I$193=$A14,Sales_Data!$J$2:$J$193=$A$4,"&amp;"Sales_Data!$O$2:$O$193=$A$5)),0)"),4336875.0)</f>
        <v>4336875</v>
      </c>
      <c r="G14" s="75">
        <f>IFERROR(__xludf.DUMMYFUNCTION("iferror(if($A$5=""Overall"",filter(Sales_Data!$S$2:$S$193,Sales_Data!$H$2:$H$193=G$1,Sales_Data!$I$2:$I$193=$A14,Sales_Data!$J$2:$J$193=$A$4),filter(Sales_Data!$S$2:$S$193,Sales_Data!$H$2:$H$193=G$1,Sales_Data!$I$2:$I$193=$A14,Sales_Data!$J$2:$J$193=$A$4,"&amp;"Sales_Data!$O$2:$O$193=$A$5)),0)"),4279770.0)</f>
        <v>4279770</v>
      </c>
      <c r="H14" s="15"/>
      <c r="I14" s="15"/>
      <c r="J14" s="15"/>
      <c r="K14" s="15"/>
      <c r="L14" s="15"/>
      <c r="M14" s="15"/>
      <c r="N14" s="67"/>
      <c r="O14" s="67"/>
      <c r="P14" s="67"/>
      <c r="Q14" s="67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 t="s">
        <v>21</v>
      </c>
      <c r="B15" s="75">
        <f>IFERROR(__xludf.DUMMYFUNCTION("iferror(if($A$5=""Overall"",filter(Sales_Data!$S$2:$S$193,Sales_Data!$H$2:$H$193=B$1,Sales_Data!$I$2:$I$193=$A15,Sales_Data!$J$2:$J$193=$A$4),filter(Sales_Data!$S$2:$S$193,Sales_Data!$H$2:$H$193=B$1,Sales_Data!$I$2:$I$193=$A15,Sales_Data!$J$2:$J$193=$A$4,"&amp;"Sales_Data!$O$2:$O$193=$A$5)),0)"),3681855.0)</f>
        <v>3681855</v>
      </c>
      <c r="C15" s="75">
        <f>IFERROR(__xludf.DUMMYFUNCTION("iferror(if($A$5=""Overall"",filter(Sales_Data!$S$2:$S$193,Sales_Data!$H$2:$H$193=C$1,Sales_Data!$I$2:$I$193=$A15,Sales_Data!$J$2:$J$193=$A$4),filter(Sales_Data!$S$2:$S$193,Sales_Data!$H$2:$H$193=C$1,Sales_Data!$I$2:$I$193=$A15,Sales_Data!$J$2:$J$193=$A$4,"&amp;"Sales_Data!$O$2:$O$193=$A$5)),0)"),3758265.0)</f>
        <v>3758265</v>
      </c>
      <c r="D15" s="75">
        <f>IFERROR(__xludf.DUMMYFUNCTION("iferror(if($A$5=""Overall"",filter(Sales_Data!$S$2:$S$193,Sales_Data!$H$2:$H$193=D$1,Sales_Data!$I$2:$I$193=$A15,Sales_Data!$J$2:$J$193=$A$4),filter(Sales_Data!$S$2:$S$193,Sales_Data!$H$2:$H$193=D$1,Sales_Data!$I$2:$I$193=$A15,Sales_Data!$J$2:$J$193=$A$4,"&amp;"Sales_Data!$O$2:$O$193=$A$5)),0)"),4097115.0)</f>
        <v>4097115</v>
      </c>
      <c r="E15" s="75">
        <f>IFERROR(__xludf.DUMMYFUNCTION("iferror(if($A$5=""Overall"",filter(Sales_Data!$S$2:$S$193,Sales_Data!$H$2:$H$193=E$1,Sales_Data!$I$2:$I$193=$A15,Sales_Data!$J$2:$J$193=$A$4),filter(Sales_Data!$S$2:$S$193,Sales_Data!$H$2:$H$193=E$1,Sales_Data!$I$2:$I$193=$A15,Sales_Data!$J$2:$J$193=$A$4,"&amp;"Sales_Data!$O$2:$O$193=$A$5)),0)"),4101030.0)</f>
        <v>4101030</v>
      </c>
      <c r="F15" s="75">
        <f>IFERROR(__xludf.DUMMYFUNCTION("iferror(if($A$5=""Overall"",filter(Sales_Data!$S$2:$S$193,Sales_Data!$H$2:$H$193=F$1,Sales_Data!$I$2:$I$193=$A15,Sales_Data!$J$2:$J$193=$A$4),filter(Sales_Data!$S$2:$S$193,Sales_Data!$H$2:$H$193=F$1,Sales_Data!$I$2:$I$193=$A15,Sales_Data!$J$2:$J$193=$A$4,"&amp;"Sales_Data!$O$2:$O$193=$A$5)),0)"),4429080.0)</f>
        <v>4429080</v>
      </c>
      <c r="G15" s="75">
        <f>IFERROR(__xludf.DUMMYFUNCTION("iferror(if($A$5=""Overall"",filter(Sales_Data!$S$2:$S$193,Sales_Data!$H$2:$H$193=G$1,Sales_Data!$I$2:$I$193=$A15,Sales_Data!$J$2:$J$193=$A$4),filter(Sales_Data!$S$2:$S$193,Sales_Data!$H$2:$H$193=G$1,Sales_Data!$I$2:$I$193=$A15,Sales_Data!$J$2:$J$193=$A$4,"&amp;"Sales_Data!$O$2:$O$193=$A$5)),0)"),4392225.0)</f>
        <v>4392225</v>
      </c>
      <c r="H15" s="15"/>
      <c r="I15" s="15"/>
      <c r="J15" s="15"/>
      <c r="K15" s="15"/>
      <c r="L15" s="15"/>
      <c r="M15" s="15"/>
      <c r="N15" s="67"/>
      <c r="O15" s="67"/>
      <c r="P15" s="67"/>
      <c r="Q15" s="67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 t="s">
        <v>22</v>
      </c>
      <c r="B16" s="75">
        <f>IFERROR(__xludf.DUMMYFUNCTION("iferror(if($A$5=""Overall"",filter(Sales_Data!$S$2:$S$193,Sales_Data!$H$2:$H$193=B$1,Sales_Data!$I$2:$I$193=$A16,Sales_Data!$J$2:$J$193=$A$4),filter(Sales_Data!$S$2:$S$193,Sales_Data!$H$2:$H$193=B$1,Sales_Data!$I$2:$I$193=$A16,Sales_Data!$J$2:$J$193=$A$4,"&amp;"Sales_Data!$O$2:$O$193=$A$5)),0)"),2503845.0)</f>
        <v>2503845</v>
      </c>
      <c r="C16" s="75">
        <f>IFERROR(__xludf.DUMMYFUNCTION("iferror(if($A$5=""Overall"",filter(Sales_Data!$S$2:$S$193,Sales_Data!$H$2:$H$193=C$1,Sales_Data!$I$2:$I$193=$A16,Sales_Data!$J$2:$J$193=$A$4),filter(Sales_Data!$S$2:$S$193,Sales_Data!$H$2:$H$193=C$1,Sales_Data!$I$2:$I$193=$A16,Sales_Data!$J$2:$J$193=$A$4,"&amp;"Sales_Data!$O$2:$O$193=$A$5)),0)"),2873205.0)</f>
        <v>2873205</v>
      </c>
      <c r="D16" s="75">
        <f>IFERROR(__xludf.DUMMYFUNCTION("iferror(if($A$5=""Overall"",filter(Sales_Data!$S$2:$S$193,Sales_Data!$H$2:$H$193=D$1,Sales_Data!$I$2:$I$193=$A16,Sales_Data!$J$2:$J$193=$A$4),filter(Sales_Data!$S$2:$S$193,Sales_Data!$H$2:$H$193=D$1,Sales_Data!$I$2:$I$193=$A16,Sales_Data!$J$2:$J$193=$A$4,"&amp;"Sales_Data!$O$2:$O$193=$A$5)),0)"),3463695.0)</f>
        <v>3463695</v>
      </c>
      <c r="E16" s="75">
        <f>IFERROR(__xludf.DUMMYFUNCTION("iferror(if($A$5=""Overall"",filter(Sales_Data!$S$2:$S$193,Sales_Data!$H$2:$H$193=E$1,Sales_Data!$I$2:$I$193=$A16,Sales_Data!$J$2:$J$193=$A$4),filter(Sales_Data!$S$2:$S$193,Sales_Data!$H$2:$H$193=E$1,Sales_Data!$I$2:$I$193=$A16,Sales_Data!$J$2:$J$193=$A$4,"&amp;"Sales_Data!$O$2:$O$193=$A$5)),0)"),4055805.0)</f>
        <v>4055805</v>
      </c>
      <c r="F16" s="75">
        <f>IFERROR(__xludf.DUMMYFUNCTION("iferror(if($A$5=""Overall"",filter(Sales_Data!$S$2:$S$193,Sales_Data!$H$2:$H$193=F$1,Sales_Data!$I$2:$I$193=$A16,Sales_Data!$J$2:$J$193=$A$4),filter(Sales_Data!$S$2:$S$193,Sales_Data!$H$2:$H$193=F$1,Sales_Data!$I$2:$I$193=$A16,Sales_Data!$J$2:$J$193=$A$4,"&amp;"Sales_Data!$O$2:$O$193=$A$5)),0)"),4533570.0)</f>
        <v>4533570</v>
      </c>
      <c r="G16" s="75">
        <f>IFERROR(__xludf.DUMMYFUNCTION("iferror(if($A$5=""Overall"",filter(Sales_Data!$S$2:$S$193,Sales_Data!$H$2:$H$193=G$1,Sales_Data!$I$2:$I$193=$A16,Sales_Data!$J$2:$J$193=$A$4),filter(Sales_Data!$S$2:$S$193,Sales_Data!$H$2:$H$193=G$1,Sales_Data!$I$2:$I$193=$A16,Sales_Data!$J$2:$J$193=$A$4,"&amp;"Sales_Data!$O$2:$O$193=$A$5)),0)"),5508135.0)</f>
        <v>5508135</v>
      </c>
      <c r="H16" s="15"/>
      <c r="I16" s="15"/>
      <c r="J16" s="15"/>
      <c r="K16" s="15"/>
      <c r="L16" s="15"/>
      <c r="M16" s="15"/>
      <c r="N16" s="58"/>
      <c r="O16" s="58"/>
      <c r="P16" s="58"/>
      <c r="Q16" s="74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 t="s">
        <v>23</v>
      </c>
      <c r="B17" s="75">
        <f>IFERROR(__xludf.DUMMYFUNCTION("iferror(if($A$5=""Overall"",filter(Sales_Data!$S$2:$S$193,Sales_Data!$H$2:$H$193=B$1,Sales_Data!$I$2:$I$193=$A17,Sales_Data!$J$2:$J$193=$A$4),filter(Sales_Data!$S$2:$S$193,Sales_Data!$H$2:$H$193=B$1,Sales_Data!$I$2:$I$193=$A17,Sales_Data!$J$2:$J$193=$A$4,"&amp;"Sales_Data!$O$2:$O$193=$A$5)),0)"),3925530.0)</f>
        <v>3925530</v>
      </c>
      <c r="C17" s="75">
        <f>IFERROR(__xludf.DUMMYFUNCTION("iferror(if($A$5=""Overall"",filter(Sales_Data!$S$2:$S$193,Sales_Data!$H$2:$H$193=C$1,Sales_Data!$I$2:$I$193=$A17,Sales_Data!$J$2:$J$193=$A$4),filter(Sales_Data!$S$2:$S$193,Sales_Data!$H$2:$H$193=C$1,Sales_Data!$I$2:$I$193=$A17,Sales_Data!$J$2:$J$193=$A$4,"&amp;"Sales_Data!$O$2:$O$193=$A$5)),0)"),4553550.0)</f>
        <v>4553550</v>
      </c>
      <c r="D17" s="75">
        <f>IFERROR(__xludf.DUMMYFUNCTION("iferror(if($A$5=""Overall"",filter(Sales_Data!$S$2:$S$193,Sales_Data!$H$2:$H$193=D$1,Sales_Data!$I$2:$I$193=$A17,Sales_Data!$J$2:$J$193=$A$4),filter(Sales_Data!$S$2:$S$193,Sales_Data!$H$2:$H$193=D$1,Sales_Data!$I$2:$I$193=$A17,Sales_Data!$J$2:$J$193=$A$4,"&amp;"Sales_Data!$O$2:$O$193=$A$5)),0)"),5511375.0)</f>
        <v>5511375</v>
      </c>
      <c r="E17" s="75">
        <f>IFERROR(__xludf.DUMMYFUNCTION("iferror(if($A$5=""Overall"",filter(Sales_Data!$S$2:$S$193,Sales_Data!$H$2:$H$193=E$1,Sales_Data!$I$2:$I$193=$A17,Sales_Data!$J$2:$J$193=$A$4),filter(Sales_Data!$S$2:$S$193,Sales_Data!$H$2:$H$193=E$1,Sales_Data!$I$2:$I$193=$A17,Sales_Data!$J$2:$J$193=$A$4,"&amp;"Sales_Data!$O$2:$O$193=$A$5)),0)"),6496605.0)</f>
        <v>6496605</v>
      </c>
      <c r="F17" s="75">
        <f>IFERROR(__xludf.DUMMYFUNCTION("iferror(if($A$5=""Overall"",filter(Sales_Data!$S$2:$S$193,Sales_Data!$H$2:$H$193=F$1,Sales_Data!$I$2:$I$193=$A17,Sales_Data!$J$2:$J$193=$A$4),filter(Sales_Data!$S$2:$S$193,Sales_Data!$H$2:$H$193=F$1,Sales_Data!$I$2:$I$193=$A17,Sales_Data!$J$2:$J$193=$A$4,"&amp;"Sales_Data!$O$2:$O$193=$A$5)),0)"),7228170.0)</f>
        <v>7228170</v>
      </c>
      <c r="G17" s="75">
        <f>IFERROR(__xludf.DUMMYFUNCTION("iferror(if($A$5=""Overall"",filter(Sales_Data!$S$2:$S$193,Sales_Data!$H$2:$H$193=G$1,Sales_Data!$I$2:$I$193=$A17,Sales_Data!$J$2:$J$193=$A$4),filter(Sales_Data!$S$2:$S$193,Sales_Data!$H$2:$H$193=G$1,Sales_Data!$I$2:$I$193=$A17,Sales_Data!$J$2:$J$193=$A$4,"&amp;"Sales_Data!$O$2:$O$193=$A$5)),0)"),8456940.0)</f>
        <v>8456940</v>
      </c>
      <c r="H17" s="15"/>
      <c r="I17" s="15"/>
      <c r="J17" s="15"/>
      <c r="K17" s="15"/>
      <c r="L17" s="15"/>
      <c r="M17" s="15"/>
      <c r="N17" s="89"/>
      <c r="O17" s="89"/>
      <c r="P17" s="89"/>
      <c r="Q17" s="89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 t="s">
        <v>24</v>
      </c>
      <c r="B18" s="75">
        <f>IFERROR(__xludf.DUMMYFUNCTION("iferror(if($A$5=""Overall"",filter(Sales_Data!$S$2:$S$193,Sales_Data!$H$2:$H$193=B$1,Sales_Data!$I$2:$I$193=$A18,Sales_Data!$J$2:$J$193=$A$4),filter(Sales_Data!$S$2:$S$193,Sales_Data!$H$2:$H$193=B$1,Sales_Data!$I$2:$I$193=$A18,Sales_Data!$J$2:$J$193=$A$4,"&amp;"Sales_Data!$O$2:$O$193=$A$5)),0)"),3036150.0)</f>
        <v>3036150</v>
      </c>
      <c r="C18" s="75">
        <f>IFERROR(__xludf.DUMMYFUNCTION("iferror(if($A$5=""Overall"",filter(Sales_Data!$S$2:$S$193,Sales_Data!$H$2:$H$193=C$1,Sales_Data!$I$2:$I$193=$A18,Sales_Data!$J$2:$J$193=$A$4),filter(Sales_Data!$S$2:$S$193,Sales_Data!$H$2:$H$193=C$1,Sales_Data!$I$2:$I$193=$A18,Sales_Data!$J$2:$J$193=$A$4,"&amp;"Sales_Data!$O$2:$O$193=$A$5)),0)"),3187890.0)</f>
        <v>3187890</v>
      </c>
      <c r="D18" s="75">
        <f>IFERROR(__xludf.DUMMYFUNCTION("iferror(if($A$5=""Overall"",filter(Sales_Data!$S$2:$S$193,Sales_Data!$H$2:$H$193=D$1,Sales_Data!$I$2:$I$193=$A18,Sales_Data!$J$2:$J$193=$A$4),filter(Sales_Data!$S$2:$S$193,Sales_Data!$H$2:$H$193=D$1,Sales_Data!$I$2:$I$193=$A18,Sales_Data!$J$2:$J$193=$A$4,"&amp;"Sales_Data!$O$2:$O$193=$A$5)),0)"),3192345.0)</f>
        <v>3192345</v>
      </c>
      <c r="E18" s="75">
        <f>IFERROR(__xludf.DUMMYFUNCTION("iferror(if($A$5=""Overall"",filter(Sales_Data!$S$2:$S$193,Sales_Data!$H$2:$H$193=E$1,Sales_Data!$I$2:$I$193=$A18,Sales_Data!$J$2:$J$193=$A$4),filter(Sales_Data!$S$2:$S$193,Sales_Data!$H$2:$H$193=E$1,Sales_Data!$I$2:$I$193=$A18,Sales_Data!$J$2:$J$193=$A$4,"&amp;"Sales_Data!$O$2:$O$193=$A$5)),0)"),3319920.0)</f>
        <v>3319920</v>
      </c>
      <c r="F18" s="75">
        <f>IFERROR(__xludf.DUMMYFUNCTION("iferror(if($A$5=""Overall"",filter(Sales_Data!$S$2:$S$193,Sales_Data!$H$2:$H$193=F$1,Sales_Data!$I$2:$I$193=$A18,Sales_Data!$J$2:$J$193=$A$4),filter(Sales_Data!$S$2:$S$193,Sales_Data!$H$2:$H$193=F$1,Sales_Data!$I$2:$I$193=$A18,Sales_Data!$J$2:$J$193=$A$4,"&amp;"Sales_Data!$O$2:$O$193=$A$5)),0)"),3419280.0)</f>
        <v>3419280</v>
      </c>
      <c r="G18" s="75">
        <f>IFERROR(__xludf.DUMMYFUNCTION("iferror(if($A$5=""Overall"",filter(Sales_Data!$S$2:$S$193,Sales_Data!$H$2:$H$193=G$1,Sales_Data!$I$2:$I$193=$A18,Sales_Data!$J$2:$J$193=$A$4),filter(Sales_Data!$S$2:$S$193,Sales_Data!$H$2:$H$193=G$1,Sales_Data!$I$2:$I$193=$A18,Sales_Data!$J$2:$J$193=$A$4,"&amp;"Sales_Data!$O$2:$O$193=$A$5)),0)"),3487725.0)</f>
        <v>3487725</v>
      </c>
      <c r="H18" s="15"/>
      <c r="I18" s="15"/>
      <c r="J18" s="15"/>
      <c r="K18" s="15"/>
      <c r="L18" s="15"/>
      <c r="M18" s="15"/>
      <c r="N18" s="74"/>
      <c r="O18" s="74"/>
      <c r="P18" s="74"/>
      <c r="Q18" s="74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 t="s">
        <v>27</v>
      </c>
      <c r="B19" s="75">
        <f>IFERROR(__xludf.DUMMYFUNCTION("iferror(if($A$5=""Overall"",filter(Sales_Data!$S$2:$S$193,Sales_Data!$H$2:$H$193=B$1,Sales_Data!$I$2:$I$193=$A19,Sales_Data!$J$2:$J$193=$A$4),filter(Sales_Data!$S$2:$S$193,Sales_Data!$H$2:$H$193=B$1,Sales_Data!$I$2:$I$193=$A19,Sales_Data!$J$2:$J$193=$A$4,"&amp;"Sales_Data!$O$2:$O$193=$A$5)),0)"),3180060.0)</f>
        <v>3180060</v>
      </c>
      <c r="C19" s="75">
        <f>IFERROR(__xludf.DUMMYFUNCTION("iferror(if($A$5=""Overall"",filter(Sales_Data!$S$2:$S$193,Sales_Data!$H$2:$H$193=C$1,Sales_Data!$I$2:$I$193=$A19,Sales_Data!$J$2:$J$193=$A$4),filter(Sales_Data!$S$2:$S$193,Sales_Data!$H$2:$H$193=C$1,Sales_Data!$I$2:$I$193=$A19,Sales_Data!$J$2:$J$193=$A$4,"&amp;"Sales_Data!$O$2:$O$193=$A$5)),0)"),3337335.0)</f>
        <v>3337335</v>
      </c>
      <c r="D19" s="75">
        <f>IFERROR(__xludf.DUMMYFUNCTION("iferror(if($A$5=""Overall"",filter(Sales_Data!$S$2:$S$193,Sales_Data!$H$2:$H$193=D$1,Sales_Data!$I$2:$I$193=$A19,Sales_Data!$J$2:$J$193=$A$4),filter(Sales_Data!$S$2:$S$193,Sales_Data!$H$2:$H$193=D$1,Sales_Data!$I$2:$I$193=$A19,Sales_Data!$J$2:$J$193=$A$4,"&amp;"Sales_Data!$O$2:$O$193=$A$5)),0)"),3437505.0)</f>
        <v>3437505</v>
      </c>
      <c r="E19" s="75">
        <f>IFERROR(__xludf.DUMMYFUNCTION("iferror(if($A$5=""Overall"",filter(Sales_Data!$S$2:$S$193,Sales_Data!$H$2:$H$193=E$1,Sales_Data!$I$2:$I$193=$A19,Sales_Data!$J$2:$J$193=$A$4),filter(Sales_Data!$S$2:$S$193,Sales_Data!$H$2:$H$193=E$1,Sales_Data!$I$2:$I$193=$A19,Sales_Data!$J$2:$J$193=$A$4,"&amp;"Sales_Data!$O$2:$O$193=$A$5)),0)"),3644325.0)</f>
        <v>3644325</v>
      </c>
      <c r="F19" s="75">
        <f>IFERROR(__xludf.DUMMYFUNCTION("iferror(if($A$5=""Overall"",filter(Sales_Data!$S$2:$S$193,Sales_Data!$H$2:$H$193=F$1,Sales_Data!$I$2:$I$193=$A19,Sales_Data!$J$2:$J$193=$A$4),filter(Sales_Data!$S$2:$S$193,Sales_Data!$H$2:$H$193=F$1,Sales_Data!$I$2:$I$193=$A19,Sales_Data!$J$2:$J$193=$A$4,"&amp;"Sales_Data!$O$2:$O$193=$A$5)),0)"),3825900.0)</f>
        <v>3825900</v>
      </c>
      <c r="G19" s="75">
        <f>IFERROR(__xludf.DUMMYFUNCTION("iferror(if($A$5=""Overall"",filter(Sales_Data!$S$2:$S$193,Sales_Data!$H$2:$H$193=G$1,Sales_Data!$I$2:$I$193=$A19,Sales_Data!$J$2:$J$193=$A$4),filter(Sales_Data!$S$2:$S$193,Sales_Data!$H$2:$H$193=G$1,Sales_Data!$I$2:$I$193=$A19,Sales_Data!$J$2:$J$193=$A$4,"&amp;"Sales_Data!$O$2:$O$193=$A$5)),0)"),3903795.0)</f>
        <v>3903795</v>
      </c>
      <c r="H19" s="15"/>
      <c r="I19" s="15"/>
      <c r="J19" s="15"/>
      <c r="K19" s="15"/>
      <c r="L19" s="15"/>
      <c r="M19" s="15"/>
      <c r="N19" s="74"/>
      <c r="O19" s="74"/>
      <c r="P19" s="74"/>
      <c r="Q19" s="74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 t="s">
        <v>26</v>
      </c>
      <c r="B20" s="75">
        <f>IFERROR(__xludf.DUMMYFUNCTION("iferror(if($A$5=""Overall"",filter(Sales_Data!$S$2:$S$193,Sales_Data!$H$2:$H$193=B$1,Sales_Data!$I$2:$I$193=$A20,Sales_Data!$J$2:$J$193=$A$4),filter(Sales_Data!$S$2:$S$193,Sales_Data!$H$2:$H$193=B$1,Sales_Data!$I$2:$I$193=$A20,Sales_Data!$J$2:$J$193=$A$4,"&amp;"Sales_Data!$O$2:$O$193=$A$5)),0)"),3119175.0)</f>
        <v>3119175</v>
      </c>
      <c r="C20" s="75">
        <f>IFERROR(__xludf.DUMMYFUNCTION("iferror(if($A$5=""Overall"",filter(Sales_Data!$S$2:$S$193,Sales_Data!$H$2:$H$193=C$1,Sales_Data!$I$2:$I$193=$A20,Sales_Data!$J$2:$J$193=$A$4),filter(Sales_Data!$S$2:$S$193,Sales_Data!$H$2:$H$193=C$1,Sales_Data!$I$2:$I$193=$A20,Sales_Data!$J$2:$J$193=$A$4,"&amp;"Sales_Data!$O$2:$O$193=$A$5)),0)"),3805380.0)</f>
        <v>3805380</v>
      </c>
      <c r="D20" s="75">
        <f>IFERROR(__xludf.DUMMYFUNCTION("iferror(if($A$5=""Overall"",filter(Sales_Data!$S$2:$S$193,Sales_Data!$H$2:$H$193=D$1,Sales_Data!$I$2:$I$193=$A20,Sales_Data!$J$2:$J$193=$A$4),filter(Sales_Data!$S$2:$S$193,Sales_Data!$H$2:$H$193=D$1,Sales_Data!$I$2:$I$193=$A20,Sales_Data!$J$2:$J$193=$A$4,"&amp;"Sales_Data!$O$2:$O$193=$A$5)),0)"),4085505.0)</f>
        <v>4085505</v>
      </c>
      <c r="E20" s="75">
        <f>IFERROR(__xludf.DUMMYFUNCTION("iferror(if($A$5=""Overall"",filter(Sales_Data!$S$2:$S$193,Sales_Data!$H$2:$H$193=E$1,Sales_Data!$I$2:$I$193=$A20,Sales_Data!$J$2:$J$193=$A$4),filter(Sales_Data!$S$2:$S$193,Sales_Data!$H$2:$H$193=E$1,Sales_Data!$I$2:$I$193=$A20,Sales_Data!$J$2:$J$193=$A$4,"&amp;"Sales_Data!$O$2:$O$193=$A$5)),0)"),5166045.0)</f>
        <v>5166045</v>
      </c>
      <c r="F20" s="75">
        <f>IFERROR(__xludf.DUMMYFUNCTION("iferror(if($A$5=""Overall"",filter(Sales_Data!$S$2:$S$193,Sales_Data!$H$2:$H$193=F$1,Sales_Data!$I$2:$I$193=$A20,Sales_Data!$J$2:$J$193=$A$4),filter(Sales_Data!$S$2:$S$193,Sales_Data!$H$2:$H$193=F$1,Sales_Data!$I$2:$I$193=$A20,Sales_Data!$J$2:$J$193=$A$4,"&amp;"Sales_Data!$O$2:$O$193=$A$5)),0)"),6190830.0)</f>
        <v>6190830</v>
      </c>
      <c r="G20" s="75">
        <f>IFERROR(__xludf.DUMMYFUNCTION("iferror(if($A$5=""Overall"",filter(Sales_Data!$S$2:$S$193,Sales_Data!$H$2:$H$193=G$1,Sales_Data!$I$2:$I$193=$A20,Sales_Data!$J$2:$J$193=$A$4),filter(Sales_Data!$S$2:$S$193,Sales_Data!$H$2:$H$193=G$1,Sales_Data!$I$2:$I$193=$A20,Sales_Data!$J$2:$J$193=$A$4,"&amp;"Sales_Data!$O$2:$O$193=$A$5)),0)"),6954390.0)</f>
        <v>6954390</v>
      </c>
      <c r="H20" s="15"/>
      <c r="I20" s="15"/>
      <c r="J20" s="15"/>
      <c r="K20" s="15"/>
      <c r="L20" s="15"/>
      <c r="M20" s="15"/>
      <c r="N20" s="75"/>
      <c r="O20" s="75"/>
      <c r="P20" s="75"/>
      <c r="Q20" s="7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 t="s">
        <v>25</v>
      </c>
      <c r="B21" s="75">
        <f>IFERROR(__xludf.DUMMYFUNCTION("iferror(if($A$5=""Overall"",filter(Sales_Data!$S$2:$S$193,Sales_Data!$H$2:$H$193=B$1,Sales_Data!$I$2:$I$193=$A21,Sales_Data!$J$2:$J$193=$A$4),filter(Sales_Data!$S$2:$S$193,Sales_Data!$H$2:$H$193=B$1,Sales_Data!$I$2:$I$193=$A21,Sales_Data!$J$2:$J$193=$A$4,"&amp;"Sales_Data!$O$2:$O$193=$A$5)),0)"),2664900.0)</f>
        <v>2664900</v>
      </c>
      <c r="C21" s="75">
        <f>IFERROR(__xludf.DUMMYFUNCTION("iferror(if($A$5=""Overall"",filter(Sales_Data!$S$2:$S$193,Sales_Data!$H$2:$H$193=C$1,Sales_Data!$I$2:$I$193=$A21,Sales_Data!$J$2:$J$193=$A$4),filter(Sales_Data!$S$2:$S$193,Sales_Data!$H$2:$H$193=C$1,Sales_Data!$I$2:$I$193=$A21,Sales_Data!$J$2:$J$193=$A$4,"&amp;"Sales_Data!$O$2:$O$193=$A$5)),0)"),3227445.0)</f>
        <v>3227445</v>
      </c>
      <c r="D21" s="75">
        <f>IFERROR(__xludf.DUMMYFUNCTION("iferror(if($A$5=""Overall"",filter(Sales_Data!$S$2:$S$193,Sales_Data!$H$2:$H$193=D$1,Sales_Data!$I$2:$I$193=$A21,Sales_Data!$J$2:$J$193=$A$4),filter(Sales_Data!$S$2:$S$193,Sales_Data!$H$2:$H$193=D$1,Sales_Data!$I$2:$I$193=$A21,Sales_Data!$J$2:$J$193=$A$4,"&amp;"Sales_Data!$O$2:$O$193=$A$5)),0)"),3931740.0)</f>
        <v>3931740</v>
      </c>
      <c r="E21" s="75">
        <f>IFERROR(__xludf.DUMMYFUNCTION("iferror(if($A$5=""Overall"",filter(Sales_Data!$S$2:$S$193,Sales_Data!$H$2:$H$193=E$1,Sales_Data!$I$2:$I$193=$A21,Sales_Data!$J$2:$J$193=$A$4),filter(Sales_Data!$S$2:$S$193,Sales_Data!$H$2:$H$193=E$1,Sales_Data!$I$2:$I$193=$A21,Sales_Data!$J$2:$J$193=$A$4,"&amp;"Sales_Data!$O$2:$O$193=$A$5)),0)"),4123575.0)</f>
        <v>4123575</v>
      </c>
      <c r="F21" s="75">
        <f>IFERROR(__xludf.DUMMYFUNCTION("iferror(if($A$5=""Overall"",filter(Sales_Data!$S$2:$S$193,Sales_Data!$H$2:$H$193=F$1,Sales_Data!$I$2:$I$193=$A21,Sales_Data!$J$2:$J$193=$A$4),filter(Sales_Data!$S$2:$S$193,Sales_Data!$H$2:$H$193=F$1,Sales_Data!$I$2:$I$193=$A21,Sales_Data!$J$2:$J$193=$A$4,"&amp;"Sales_Data!$O$2:$O$193=$A$5)),0)"),5164695.0)</f>
        <v>5164695</v>
      </c>
      <c r="G21" s="75">
        <f>IFERROR(__xludf.DUMMYFUNCTION("iferror(if($A$5=""Overall"",filter(Sales_Data!$S$2:$S$193,Sales_Data!$H$2:$H$193=G$1,Sales_Data!$I$2:$I$193=$A21,Sales_Data!$J$2:$J$193=$A$4),filter(Sales_Data!$S$2:$S$193,Sales_Data!$H$2:$H$193=G$1,Sales_Data!$I$2:$I$193=$A21,Sales_Data!$J$2:$J$193=$A$4,"&amp;"Sales_Data!$O$2:$O$193=$A$5)),0)"),6092550.0)</f>
        <v>6092550</v>
      </c>
      <c r="H21" s="15"/>
      <c r="I21" s="15"/>
      <c r="J21" s="15"/>
      <c r="K21" s="15"/>
      <c r="L21" s="15"/>
      <c r="M21" s="15"/>
      <c r="N21" s="77"/>
      <c r="O21" s="77"/>
      <c r="P21" s="77"/>
      <c r="Q21" s="77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90" t="s">
        <v>319</v>
      </c>
      <c r="B22" s="77">
        <f t="shared" ref="B22:G22" si="1">sum(B6:B21)</f>
        <v>47311155</v>
      </c>
      <c r="C22" s="77">
        <f t="shared" si="1"/>
        <v>53188110</v>
      </c>
      <c r="D22" s="77">
        <f t="shared" si="1"/>
        <v>61479135</v>
      </c>
      <c r="E22" s="77">
        <f t="shared" si="1"/>
        <v>68854995</v>
      </c>
      <c r="F22" s="77">
        <f t="shared" si="1"/>
        <v>77739345</v>
      </c>
      <c r="G22" s="77">
        <f t="shared" si="1"/>
        <v>88462665</v>
      </c>
      <c r="H22" s="15"/>
      <c r="I22" s="15"/>
      <c r="J22" s="15"/>
      <c r="K22" s="57"/>
      <c r="L22" s="58"/>
      <c r="M22" s="58"/>
      <c r="N22" s="58"/>
      <c r="O22" s="58"/>
      <c r="P22" s="58"/>
      <c r="Q22" s="74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57" t="s">
        <v>320</v>
      </c>
      <c r="B24" s="60"/>
      <c r="C24" s="60"/>
      <c r="D24" s="60"/>
      <c r="E24" s="60"/>
      <c r="F24" s="60"/>
      <c r="G24" s="7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85" t="s">
        <v>321</v>
      </c>
      <c r="B25" s="59">
        <f>'Cost-RM'!B36</f>
        <v>16064765.52</v>
      </c>
      <c r="C25" s="59">
        <f>'Cost-RM'!C36</f>
        <v>18060318.24</v>
      </c>
      <c r="D25" s="59">
        <f>'Cost-RM'!D36</f>
        <v>20875581.84</v>
      </c>
      <c r="E25" s="59">
        <f>'Cost-RM'!E36</f>
        <v>23380096.08</v>
      </c>
      <c r="F25" s="59">
        <f>'Cost-RM'!F36</f>
        <v>26396826.48</v>
      </c>
      <c r="G25" s="59">
        <f>'Cost-RM'!G36</f>
        <v>30037989.36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85" t="s">
        <v>322</v>
      </c>
      <c r="B26" s="59">
        <f>Assumption!$C$34*'Sales Quantity'!C6</f>
        <v>1752265</v>
      </c>
      <c r="C26" s="59">
        <f>Assumption!$C$34*'Sales Quantity'!D6</f>
        <v>1969930</v>
      </c>
      <c r="D26" s="59">
        <f>Assumption!$C$34*'Sales Quantity'!E6</f>
        <v>2277005</v>
      </c>
      <c r="E26" s="59">
        <f>Assumption!$C$34*'Sales Quantity'!F6</f>
        <v>2550185</v>
      </c>
      <c r="F26" s="59">
        <f>Assumption!$C$34*'Sales Quantity'!G6</f>
        <v>2879235</v>
      </c>
      <c r="G26" s="59">
        <f>Assumption!$C$34*'Sales Quantity'!H6</f>
        <v>3276395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85" t="s">
        <v>323</v>
      </c>
      <c r="B27" s="59">
        <f>Assumption!$C$35*'Sales Quantity'!C6</f>
        <v>3854983</v>
      </c>
      <c r="C27" s="59">
        <f>Assumption!$C$35*'Sales Quantity'!D6</f>
        <v>4333846</v>
      </c>
      <c r="D27" s="59">
        <f>Assumption!$C$35*'Sales Quantity'!E6</f>
        <v>5009411</v>
      </c>
      <c r="E27" s="59">
        <f>Assumption!$C$35*'Sales Quantity'!F6</f>
        <v>5610407</v>
      </c>
      <c r="F27" s="59">
        <f>Assumption!$C$35*'Sales Quantity'!G6</f>
        <v>6334317</v>
      </c>
      <c r="G27" s="59">
        <f>Assumption!$C$35*'Sales Quantity'!H6</f>
        <v>7208069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61" t="s">
        <v>324</v>
      </c>
      <c r="B28" s="67">
        <f t="shared" ref="B28:G28" si="2">sum(B25:B27)</f>
        <v>21672013.52</v>
      </c>
      <c r="C28" s="67">
        <f t="shared" si="2"/>
        <v>24364094.24</v>
      </c>
      <c r="D28" s="67">
        <f t="shared" si="2"/>
        <v>28161997.84</v>
      </c>
      <c r="E28" s="67">
        <f t="shared" si="2"/>
        <v>31540688.08</v>
      </c>
      <c r="F28" s="67">
        <f t="shared" si="2"/>
        <v>35610378.48</v>
      </c>
      <c r="G28" s="67">
        <f t="shared" si="2"/>
        <v>40522453.36</v>
      </c>
      <c r="H28" s="15"/>
      <c r="I28" s="15"/>
      <c r="J28" s="15"/>
      <c r="K28" s="15"/>
      <c r="L28" s="75"/>
      <c r="M28" s="75"/>
      <c r="N28" s="75"/>
      <c r="O28" s="75"/>
      <c r="P28" s="75"/>
      <c r="Q28" s="7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57"/>
      <c r="L29" s="67"/>
      <c r="M29" s="67"/>
      <c r="N29" s="67"/>
      <c r="O29" s="67"/>
      <c r="P29" s="67"/>
      <c r="Q29" s="67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57" t="s">
        <v>325</v>
      </c>
      <c r="B30" s="94">
        <f>B28/'Sales Quantity'!C6</f>
        <v>61.84</v>
      </c>
      <c r="C30" s="94">
        <f>C28/'Sales Quantity'!D6</f>
        <v>61.84</v>
      </c>
      <c r="D30" s="94">
        <f>D28/'Sales Quantity'!E6</f>
        <v>61.84</v>
      </c>
      <c r="E30" s="94">
        <f>E28/'Sales Quantity'!F6</f>
        <v>61.84</v>
      </c>
      <c r="F30" s="94">
        <f>F28/'Sales Quantity'!G6</f>
        <v>61.84</v>
      </c>
      <c r="G30" s="94">
        <f>G28/'Sales Quantity'!H6</f>
        <v>61.84</v>
      </c>
      <c r="H30" s="15"/>
      <c r="I30" s="15"/>
      <c r="J30" s="15"/>
      <c r="K30" s="15"/>
      <c r="L30" s="67"/>
      <c r="M30" s="67"/>
      <c r="N30" s="67"/>
      <c r="O30" s="67"/>
      <c r="P30" s="67"/>
      <c r="Q30" s="67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61" t="s">
        <v>326</v>
      </c>
      <c r="B31" s="77">
        <f t="shared" ref="B31:G31" si="3">B22-B28</f>
        <v>25639141.48</v>
      </c>
      <c r="C31" s="77">
        <f t="shared" si="3"/>
        <v>28824015.76</v>
      </c>
      <c r="D31" s="77">
        <f t="shared" si="3"/>
        <v>33317137.16</v>
      </c>
      <c r="E31" s="77">
        <f t="shared" si="3"/>
        <v>37314306.92</v>
      </c>
      <c r="F31" s="77">
        <f t="shared" si="3"/>
        <v>42128966.52</v>
      </c>
      <c r="G31" s="77">
        <f t="shared" si="3"/>
        <v>47940211.64</v>
      </c>
      <c r="H31" s="15"/>
      <c r="I31" s="15"/>
      <c r="J31" s="15"/>
      <c r="K31" s="15"/>
      <c r="L31" s="67"/>
      <c r="M31" s="67"/>
      <c r="N31" s="67"/>
      <c r="O31" s="67"/>
      <c r="P31" s="67"/>
      <c r="Q31" s="67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58"/>
      <c r="L32" s="58"/>
      <c r="M32" s="58"/>
      <c r="N32" s="58"/>
      <c r="O32" s="58"/>
      <c r="P32" s="58"/>
      <c r="Q32" s="74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61" t="s">
        <v>327</v>
      </c>
      <c r="B33" s="95">
        <f>B31/'Sales Quantity'!C6</f>
        <v>73.16</v>
      </c>
      <c r="C33" s="95">
        <f>C31/'Sales Quantity'!D6</f>
        <v>73.16</v>
      </c>
      <c r="D33" s="95">
        <f>D31/'Sales Quantity'!E6</f>
        <v>73.16</v>
      </c>
      <c r="E33" s="95">
        <f>E31/'Sales Quantity'!F6</f>
        <v>73.16</v>
      </c>
      <c r="F33" s="95">
        <f>F31/'Sales Quantity'!G6</f>
        <v>73.16</v>
      </c>
      <c r="G33" s="95">
        <f>G31/'Sales Quantity'!H6</f>
        <v>73.16</v>
      </c>
      <c r="H33" s="15"/>
      <c r="I33" s="15"/>
      <c r="J33" s="15"/>
      <c r="K33" s="15"/>
      <c r="L33" s="89"/>
      <c r="M33" s="89"/>
      <c r="N33" s="89"/>
      <c r="O33" s="89"/>
      <c r="P33" s="89"/>
      <c r="Q33" s="89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90" t="s">
        <v>276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93" t="s">
        <v>257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 t="str">
        <f t="array" ref="A37:A52">UNIQUE(Sales_Data!I2:I193)</f>
        <v>Delhi</v>
      </c>
      <c r="B37" s="75">
        <f>IFERROR(__xludf.DUMMYFUNCTION("iferror(if($A$36=""Overall"",filter(Sales_Data!$S$2:$S$193,Sales_Data!$H$2:$H$193=B$1,Sales_Data!$I$2:$I$193=$A6,Sales_Data!$J$2:$J$193=$A$35),filter(Sales_Data!$S$2:$S$193,Sales_Data!$H$2:$H$193=B$1,Sales_Data!$I$2:$I$193=$A6,Sales_Data!$J$2:$J$193=$A$35"&amp;",Sales_Data!$O$2:$O$193=$A$36)),0)"),1208820.0)</f>
        <v>1208820</v>
      </c>
      <c r="C37" s="75">
        <f>IFERROR(__xludf.DUMMYFUNCTION("iferror(if($A$36=""Overall"",filter(Sales_Data!$S$2:$S$193,Sales_Data!$H$2:$H$193=C$1,Sales_Data!$I$2:$I$193=$A6,Sales_Data!$J$2:$J$193=$A$35),filter(Sales_Data!$S$2:$S$193,Sales_Data!$H$2:$H$193=C$1,Sales_Data!$I$2:$I$193=$A6,Sales_Data!$J$2:$J$193=$A$35"&amp;",Sales_Data!$O$2:$O$193=$A$36)),0)"),1401660.0)</f>
        <v>1401660</v>
      </c>
      <c r="D37" s="75">
        <f>IFERROR(__xludf.DUMMYFUNCTION("iferror(if($A$36=""Overall"",filter(Sales_Data!$S$2:$S$193,Sales_Data!$H$2:$H$193=D$1,Sales_Data!$I$2:$I$193=$A6,Sales_Data!$J$2:$J$193=$A$35),filter(Sales_Data!$S$2:$S$193,Sales_Data!$H$2:$H$193=D$1,Sales_Data!$I$2:$I$193=$A6,Sales_Data!$J$2:$J$193=$A$35"&amp;",Sales_Data!$O$2:$O$193=$A$36)),0)"),1559280.0)</f>
        <v>1559280</v>
      </c>
      <c r="E37" s="75">
        <f>IFERROR(__xludf.DUMMYFUNCTION("iferror(if($A$36=""Overall"",filter(Sales_Data!$S$2:$S$193,Sales_Data!$H$2:$H$193=E$1,Sales_Data!$I$2:$I$193=$A6,Sales_Data!$J$2:$J$193=$A$35),filter(Sales_Data!$S$2:$S$193,Sales_Data!$H$2:$H$193=E$1,Sales_Data!$I$2:$I$193=$A6,Sales_Data!$J$2:$J$193=$A$35"&amp;",Sales_Data!$O$2:$O$193=$A$36)),0)"),1915800.0)</f>
        <v>1915800</v>
      </c>
      <c r="F37" s="75">
        <f>IFERROR(__xludf.DUMMYFUNCTION("iferror(if($A$36=""Overall"",filter(Sales_Data!$S$2:$S$193,Sales_Data!$H$2:$H$193=F$1,Sales_Data!$I$2:$I$193=$A6,Sales_Data!$J$2:$J$193=$A$35),filter(Sales_Data!$S$2:$S$193,Sales_Data!$H$2:$H$193=F$1,Sales_Data!$I$2:$I$193=$A6,Sales_Data!$J$2:$J$193=$A$35"&amp;",Sales_Data!$O$2:$O$193=$A$36)),0)"),2080080.0)</f>
        <v>2080080</v>
      </c>
      <c r="G37" s="75">
        <f>IFERROR(__xludf.DUMMYFUNCTION("iferror(if($A$36=""Overall"",filter(Sales_Data!$S$2:$S$193,Sales_Data!$H$2:$H$193=G$1,Sales_Data!$I$2:$I$193=$A6,Sales_Data!$J$2:$J$193=$A$35),filter(Sales_Data!$S$2:$S$193,Sales_Data!$H$2:$H$193=G$1,Sales_Data!$I$2:$I$193=$A6,Sales_Data!$J$2:$J$193=$A$35"&amp;",Sales_Data!$O$2:$O$193=$A$36)),0)"),2309580.0)</f>
        <v>2309580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 t="s">
        <v>13</v>
      </c>
      <c r="B38" s="75">
        <f>IFERROR(__xludf.DUMMYFUNCTION("iferror(if($A$36=""Overall"",filter(Sales_Data!$S$2:$S$193,Sales_Data!$H$2:$H$193=B$1,Sales_Data!$I$2:$I$193=$A7,Sales_Data!$J$2:$J$193=$A$35),filter(Sales_Data!$S$2:$S$193,Sales_Data!$H$2:$H$193=B$1,Sales_Data!$I$2:$I$193=$A7,Sales_Data!$J$2:$J$193=$A$35"&amp;",Sales_Data!$O$2:$O$193=$A$36)),0)"),1649280.0)</f>
        <v>1649280</v>
      </c>
      <c r="C38" s="75">
        <f>IFERROR(__xludf.DUMMYFUNCTION("iferror(if($A$36=""Overall"",filter(Sales_Data!$S$2:$S$193,Sales_Data!$H$2:$H$193=C$1,Sales_Data!$I$2:$I$193=$A7,Sales_Data!$J$2:$J$193=$A$35),filter(Sales_Data!$S$2:$S$193,Sales_Data!$H$2:$H$193=C$1,Sales_Data!$I$2:$I$193=$A7,Sales_Data!$J$2:$J$193=$A$35"&amp;",Sales_Data!$O$2:$O$193=$A$36)),0)"),1804320.0)</f>
        <v>1804320</v>
      </c>
      <c r="D38" s="75">
        <f>IFERROR(__xludf.DUMMYFUNCTION("iferror(if($A$36=""Overall"",filter(Sales_Data!$S$2:$S$193,Sales_Data!$H$2:$H$193=D$1,Sales_Data!$I$2:$I$193=$A7,Sales_Data!$J$2:$J$193=$A$35),filter(Sales_Data!$S$2:$S$193,Sales_Data!$H$2:$H$193=D$1,Sales_Data!$I$2:$I$193=$A7,Sales_Data!$J$2:$J$193=$A$35"&amp;",Sales_Data!$O$2:$O$193=$A$36)),0)"),2057100.0)</f>
        <v>2057100</v>
      </c>
      <c r="E38" s="75">
        <f>IFERROR(__xludf.DUMMYFUNCTION("iferror(if($A$36=""Overall"",filter(Sales_Data!$S$2:$S$193,Sales_Data!$H$2:$H$193=E$1,Sales_Data!$I$2:$I$193=$A7,Sales_Data!$J$2:$J$193=$A$35),filter(Sales_Data!$S$2:$S$193,Sales_Data!$H$2:$H$193=E$1,Sales_Data!$I$2:$I$193=$A7,Sales_Data!$J$2:$J$193=$A$35"&amp;",Sales_Data!$O$2:$O$193=$A$36)),0)"),2617320.0)</f>
        <v>2617320</v>
      </c>
      <c r="F38" s="75">
        <f>IFERROR(__xludf.DUMMYFUNCTION("iferror(if($A$36=""Overall"",filter(Sales_Data!$S$2:$S$193,Sales_Data!$H$2:$H$193=F$1,Sales_Data!$I$2:$I$193=$A7,Sales_Data!$J$2:$J$193=$A$35),filter(Sales_Data!$S$2:$S$193,Sales_Data!$H$2:$H$193=F$1,Sales_Data!$I$2:$I$193=$A7,Sales_Data!$J$2:$J$193=$A$35"&amp;",Sales_Data!$O$2:$O$193=$A$36)),0)"),2938980.0)</f>
        <v>2938980</v>
      </c>
      <c r="G38" s="75">
        <f>IFERROR(__xludf.DUMMYFUNCTION("iferror(if($A$36=""Overall"",filter(Sales_Data!$S$2:$S$193,Sales_Data!$H$2:$H$193=G$1,Sales_Data!$I$2:$I$193=$A7,Sales_Data!$J$2:$J$193=$A$35),filter(Sales_Data!$S$2:$S$193,Sales_Data!$H$2:$H$193=G$1,Sales_Data!$I$2:$I$193=$A7,Sales_Data!$J$2:$J$193=$A$35"&amp;",Sales_Data!$O$2:$O$193=$A$36)),0)"),3526020.0)</f>
        <v>3526020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 t="s">
        <v>14</v>
      </c>
      <c r="B39" s="75">
        <f>IFERROR(__xludf.DUMMYFUNCTION("iferror(if($A$36=""Overall"",filter(Sales_Data!$S$2:$S$193,Sales_Data!$H$2:$H$193=B$1,Sales_Data!$I$2:$I$193=$A8,Sales_Data!$J$2:$J$193=$A$35),filter(Sales_Data!$S$2:$S$193,Sales_Data!$H$2:$H$193=B$1,Sales_Data!$I$2:$I$193=$A8,Sales_Data!$J$2:$J$193=$A$35"&amp;",Sales_Data!$O$2:$O$193=$A$36)),0)"),1156500.0)</f>
        <v>1156500</v>
      </c>
      <c r="C39" s="75">
        <f>IFERROR(__xludf.DUMMYFUNCTION("iferror(if($A$36=""Overall"",filter(Sales_Data!$S$2:$S$193,Sales_Data!$H$2:$H$193=C$1,Sales_Data!$I$2:$I$193=$A8,Sales_Data!$J$2:$J$193=$A$35),filter(Sales_Data!$S$2:$S$193,Sales_Data!$H$2:$H$193=C$1,Sales_Data!$I$2:$I$193=$A8,Sales_Data!$J$2:$J$193=$A$35"&amp;",Sales_Data!$O$2:$O$193=$A$36)),0)"),1297560.0)</f>
        <v>1297560</v>
      </c>
      <c r="D39" s="75">
        <f>IFERROR(__xludf.DUMMYFUNCTION("iferror(if($A$36=""Overall"",filter(Sales_Data!$S$2:$S$193,Sales_Data!$H$2:$H$193=D$1,Sales_Data!$I$2:$I$193=$A8,Sales_Data!$J$2:$J$193=$A$35),filter(Sales_Data!$S$2:$S$193,Sales_Data!$H$2:$H$193=D$1,Sales_Data!$I$2:$I$193=$A8,Sales_Data!$J$2:$J$193=$A$35"&amp;",Sales_Data!$O$2:$O$193=$A$36)),0)"),1451940.0)</f>
        <v>1451940</v>
      </c>
      <c r="E39" s="75">
        <f>IFERROR(__xludf.DUMMYFUNCTION("iferror(if($A$36=""Overall"",filter(Sales_Data!$S$2:$S$193,Sales_Data!$H$2:$H$193=E$1,Sales_Data!$I$2:$I$193=$A8,Sales_Data!$J$2:$J$193=$A$35),filter(Sales_Data!$S$2:$S$193,Sales_Data!$H$2:$H$193=E$1,Sales_Data!$I$2:$I$193=$A8,Sales_Data!$J$2:$J$193=$A$35"&amp;",Sales_Data!$O$2:$O$193=$A$36)),0)"),1714200.0)</f>
        <v>1714200</v>
      </c>
      <c r="F39" s="75">
        <f>IFERROR(__xludf.DUMMYFUNCTION("iferror(if($A$36=""Overall"",filter(Sales_Data!$S$2:$S$193,Sales_Data!$H$2:$H$193=F$1,Sales_Data!$I$2:$I$193=$A8,Sales_Data!$J$2:$J$193=$A$35),filter(Sales_Data!$S$2:$S$193,Sales_Data!$H$2:$H$193=F$1,Sales_Data!$I$2:$I$193=$A8,Sales_Data!$J$2:$J$193=$A$35"&amp;",Sales_Data!$O$2:$O$193=$A$36)),0)"),2095980.0)</f>
        <v>2095980</v>
      </c>
      <c r="G39" s="75">
        <f>IFERROR(__xludf.DUMMYFUNCTION("iferror(if($A$36=""Overall"",filter(Sales_Data!$S$2:$S$193,Sales_Data!$H$2:$H$193=G$1,Sales_Data!$I$2:$I$193=$A8,Sales_Data!$J$2:$J$193=$A$35),filter(Sales_Data!$S$2:$S$193,Sales_Data!$H$2:$H$193=G$1,Sales_Data!$I$2:$I$193=$A8,Sales_Data!$J$2:$J$193=$A$35"&amp;",Sales_Data!$O$2:$O$193=$A$36)),0)"),2514420.0)</f>
        <v>2514420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 t="s">
        <v>15</v>
      </c>
      <c r="B40" s="75">
        <f>IFERROR(__xludf.DUMMYFUNCTION("iferror(if($A$36=""Overall"",filter(Sales_Data!$S$2:$S$193,Sales_Data!$H$2:$H$193=B$1,Sales_Data!$I$2:$I$193=$A9,Sales_Data!$J$2:$J$193=$A$35),filter(Sales_Data!$S$2:$S$193,Sales_Data!$H$2:$H$193=B$1,Sales_Data!$I$2:$I$193=$A9,Sales_Data!$J$2:$J$193=$A$35"&amp;",Sales_Data!$O$2:$O$193=$A$36)),0)"),896940.0)</f>
        <v>896940</v>
      </c>
      <c r="C40" s="75">
        <f>IFERROR(__xludf.DUMMYFUNCTION("iferror(if($A$36=""Overall"",filter(Sales_Data!$S$2:$S$193,Sales_Data!$H$2:$H$193=C$1,Sales_Data!$I$2:$I$193=$A9,Sales_Data!$J$2:$J$193=$A$35),filter(Sales_Data!$S$2:$S$193,Sales_Data!$H$2:$H$193=C$1,Sales_Data!$I$2:$I$193=$A9,Sales_Data!$J$2:$J$193=$A$35"&amp;",Sales_Data!$O$2:$O$193=$A$36)),0)"),1124880.0)</f>
        <v>1124880</v>
      </c>
      <c r="D40" s="75">
        <f>IFERROR(__xludf.DUMMYFUNCTION("iferror(if($A$36=""Overall"",filter(Sales_Data!$S$2:$S$193,Sales_Data!$H$2:$H$193=D$1,Sales_Data!$I$2:$I$193=$A9,Sales_Data!$J$2:$J$193=$A$35),filter(Sales_Data!$S$2:$S$193,Sales_Data!$H$2:$H$193=D$1,Sales_Data!$I$2:$I$193=$A9,Sales_Data!$J$2:$J$193=$A$35"&amp;",Sales_Data!$O$2:$O$193=$A$36)),0)"),1338360.0)</f>
        <v>1338360</v>
      </c>
      <c r="E40" s="75">
        <f>IFERROR(__xludf.DUMMYFUNCTION("iferror(if($A$36=""Overall"",filter(Sales_Data!$S$2:$S$193,Sales_Data!$H$2:$H$193=E$1,Sales_Data!$I$2:$I$193=$A9,Sales_Data!$J$2:$J$193=$A$35),filter(Sales_Data!$S$2:$S$193,Sales_Data!$H$2:$H$193=E$1,Sales_Data!$I$2:$I$193=$A9,Sales_Data!$J$2:$J$193=$A$35"&amp;",Sales_Data!$O$2:$O$193=$A$36)),0)"),1579260.0)</f>
        <v>1579260</v>
      </c>
      <c r="F40" s="75">
        <f>IFERROR(__xludf.DUMMYFUNCTION("iferror(if($A$36=""Overall"",filter(Sales_Data!$S$2:$S$193,Sales_Data!$H$2:$H$193=F$1,Sales_Data!$I$2:$I$193=$A9,Sales_Data!$J$2:$J$193=$A$35),filter(Sales_Data!$S$2:$S$193,Sales_Data!$H$2:$H$193=F$1,Sales_Data!$I$2:$I$193=$A9,Sales_Data!$J$2:$J$193=$A$35"&amp;",Sales_Data!$O$2:$O$193=$A$36)),0)"),1710300.0)</f>
        <v>1710300</v>
      </c>
      <c r="G40" s="75">
        <f>IFERROR(__xludf.DUMMYFUNCTION("iferror(if($A$36=""Overall"",filter(Sales_Data!$S$2:$S$193,Sales_Data!$H$2:$H$193=G$1,Sales_Data!$I$2:$I$193=$A9,Sales_Data!$J$2:$J$193=$A$35),filter(Sales_Data!$S$2:$S$193,Sales_Data!$H$2:$H$193=G$1,Sales_Data!$I$2:$I$193=$A9,Sales_Data!$J$2:$J$193=$A$35"&amp;",Sales_Data!$O$2:$O$193=$A$36)),0)"),2142480.0)</f>
        <v>2142480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 t="s">
        <v>16</v>
      </c>
      <c r="B41" s="75">
        <f>IFERROR(__xludf.DUMMYFUNCTION("iferror(if($A$36=""Overall"",filter(Sales_Data!$S$2:$S$193,Sales_Data!$H$2:$H$193=B$1,Sales_Data!$I$2:$I$193=$A10,Sales_Data!$J$2:$J$193=$A$35),filter(Sales_Data!$S$2:$S$193,Sales_Data!$H$2:$H$193=B$1,Sales_Data!$I$2:$I$193=$A10,Sales_Data!$J$2:$J$193=$A$"&amp;"35,Sales_Data!$O$2:$O$193=$A$36)),0)"),1742520.0)</f>
        <v>1742520</v>
      </c>
      <c r="C41" s="75">
        <f>IFERROR(__xludf.DUMMYFUNCTION("iferror(if($A$36=""Overall"",filter(Sales_Data!$S$2:$S$193,Sales_Data!$H$2:$H$193=C$1,Sales_Data!$I$2:$I$193=$A10,Sales_Data!$J$2:$J$193=$A$35),filter(Sales_Data!$S$2:$S$193,Sales_Data!$H$2:$H$193=C$1,Sales_Data!$I$2:$I$193=$A10,Sales_Data!$J$2:$J$193=$A$"&amp;"35,Sales_Data!$O$2:$O$193=$A$36)),0)"),1923540.0)</f>
        <v>1923540</v>
      </c>
      <c r="D41" s="75">
        <f>IFERROR(__xludf.DUMMYFUNCTION("iferror(if($A$36=""Overall"",filter(Sales_Data!$S$2:$S$193,Sales_Data!$H$2:$H$193=D$1,Sales_Data!$I$2:$I$193=$A10,Sales_Data!$J$2:$J$193=$A$35),filter(Sales_Data!$S$2:$S$193,Sales_Data!$H$2:$H$193=D$1,Sales_Data!$I$2:$I$193=$A10,Sales_Data!$J$2:$J$193=$A$"&amp;"35,Sales_Data!$O$2:$O$193=$A$36)),0)"),2250240.0)</f>
        <v>2250240</v>
      </c>
      <c r="E41" s="75">
        <f>IFERROR(__xludf.DUMMYFUNCTION("iferror(if($A$36=""Overall"",filter(Sales_Data!$S$2:$S$193,Sales_Data!$H$2:$H$193=E$1,Sales_Data!$I$2:$I$193=$A10,Sales_Data!$J$2:$J$193=$A$35),filter(Sales_Data!$S$2:$S$193,Sales_Data!$H$2:$H$193=E$1,Sales_Data!$I$2:$I$193=$A10,Sales_Data!$J$2:$J$193=$A$"&amp;"35,Sales_Data!$O$2:$O$193=$A$36)),0)"),2699700.0)</f>
        <v>2699700</v>
      </c>
      <c r="F41" s="75">
        <f>IFERROR(__xludf.DUMMYFUNCTION("iferror(if($A$36=""Overall"",filter(Sales_Data!$S$2:$S$193,Sales_Data!$H$2:$H$193=F$1,Sales_Data!$I$2:$I$193=$A10,Sales_Data!$J$2:$J$193=$A$35),filter(Sales_Data!$S$2:$S$193,Sales_Data!$H$2:$H$193=F$1,Sales_Data!$I$2:$I$193=$A10,Sales_Data!$J$2:$J$193=$A$"&amp;"35,Sales_Data!$O$2:$O$193=$A$36)),0)"),3053340.0)</f>
        <v>3053340</v>
      </c>
      <c r="G41" s="75">
        <f>IFERROR(__xludf.DUMMYFUNCTION("iferror(if($A$36=""Overall"",filter(Sales_Data!$S$2:$S$193,Sales_Data!$H$2:$H$193=G$1,Sales_Data!$I$2:$I$193=$A10,Sales_Data!$J$2:$J$193=$A$35),filter(Sales_Data!$S$2:$S$193,Sales_Data!$H$2:$H$193=G$1,Sales_Data!$I$2:$I$193=$A10,Sales_Data!$J$2:$J$193=$A$"&amp;"35,Sales_Data!$O$2:$O$193=$A$36)),0)"),3720480.0)</f>
        <v>3720480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 t="s">
        <v>17</v>
      </c>
      <c r="B42" s="75">
        <f>IFERROR(__xludf.DUMMYFUNCTION("iferror(if($A$36=""Overall"",filter(Sales_Data!$S$2:$S$193,Sales_Data!$H$2:$H$193=B$1,Sales_Data!$I$2:$I$193=$A11,Sales_Data!$J$2:$J$193=$A$35),filter(Sales_Data!$S$2:$S$193,Sales_Data!$H$2:$H$193=B$1,Sales_Data!$I$2:$I$193=$A11,Sales_Data!$J$2:$J$193=$A$"&amp;"35,Sales_Data!$O$2:$O$193=$A$36)),0)"),1112760.0)</f>
        <v>1112760</v>
      </c>
      <c r="C42" s="75">
        <f>IFERROR(__xludf.DUMMYFUNCTION("iferror(if($A$36=""Overall"",filter(Sales_Data!$S$2:$S$193,Sales_Data!$H$2:$H$193=C$1,Sales_Data!$I$2:$I$193=$A11,Sales_Data!$J$2:$J$193=$A$35),filter(Sales_Data!$S$2:$S$193,Sales_Data!$H$2:$H$193=C$1,Sales_Data!$I$2:$I$193=$A11,Sales_Data!$J$2:$J$193=$A$"&amp;"35,Sales_Data!$O$2:$O$193=$A$36)),0)"),1168560.0)</f>
        <v>1168560</v>
      </c>
      <c r="D42" s="75">
        <f>IFERROR(__xludf.DUMMYFUNCTION("iferror(if($A$36=""Overall"",filter(Sales_Data!$S$2:$S$193,Sales_Data!$H$2:$H$193=D$1,Sales_Data!$I$2:$I$193=$A11,Sales_Data!$J$2:$J$193=$A$35),filter(Sales_Data!$S$2:$S$193,Sales_Data!$H$2:$H$193=D$1,Sales_Data!$I$2:$I$193=$A11,Sales_Data!$J$2:$J$193=$A$"&amp;"35,Sales_Data!$O$2:$O$193=$A$36)),0)"),1180800.0)</f>
        <v>1180800</v>
      </c>
      <c r="E42" s="75">
        <f>IFERROR(__xludf.DUMMYFUNCTION("iferror(if($A$36=""Overall"",filter(Sales_Data!$S$2:$S$193,Sales_Data!$H$2:$H$193=E$1,Sales_Data!$I$2:$I$193=$A11,Sales_Data!$J$2:$J$193=$A$35),filter(Sales_Data!$S$2:$S$193,Sales_Data!$H$2:$H$193=E$1,Sales_Data!$I$2:$I$193=$A11,Sales_Data!$J$2:$J$193=$A$"&amp;"35,Sales_Data!$O$2:$O$193=$A$36)),0)"),1228140.0)</f>
        <v>1228140</v>
      </c>
      <c r="F42" s="75">
        <f>IFERROR(__xludf.DUMMYFUNCTION("iferror(if($A$36=""Overall"",filter(Sales_Data!$S$2:$S$193,Sales_Data!$H$2:$H$193=F$1,Sales_Data!$I$2:$I$193=$A11,Sales_Data!$J$2:$J$193=$A$35),filter(Sales_Data!$S$2:$S$193,Sales_Data!$H$2:$H$193=F$1,Sales_Data!$I$2:$I$193=$A11,Sales_Data!$J$2:$J$193=$A$"&amp;"35,Sales_Data!$O$2:$O$193=$A$36)),0)"),1326420.0)</f>
        <v>1326420</v>
      </c>
      <c r="G42" s="75">
        <f>IFERROR(__xludf.DUMMYFUNCTION("iferror(if($A$36=""Overall"",filter(Sales_Data!$S$2:$S$193,Sales_Data!$H$2:$H$193=G$1,Sales_Data!$I$2:$I$193=$A11,Sales_Data!$J$2:$J$193=$A$35),filter(Sales_Data!$S$2:$S$193,Sales_Data!$H$2:$H$193=G$1,Sales_Data!$I$2:$I$193=$A11,Sales_Data!$J$2:$J$193=$A$"&amp;"35,Sales_Data!$O$2:$O$193=$A$36)),0)"),1433040.0)</f>
        <v>1433040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 t="s">
        <v>262</v>
      </c>
      <c r="B43" s="75">
        <f>IFERROR(__xludf.DUMMYFUNCTION("iferror(if($A$36=""Overall"",filter(Sales_Data!$S$2:$S$193,Sales_Data!$H$2:$H$193=B$1,Sales_Data!$I$2:$I$193=$A12,Sales_Data!$J$2:$J$193=$A$35),filter(Sales_Data!$S$2:$S$193,Sales_Data!$H$2:$H$193=B$1,Sales_Data!$I$2:$I$193=$A12,Sales_Data!$J$2:$J$193=$A$"&amp;"35,Sales_Data!$O$2:$O$193=$A$36)),0)"),790560.0)</f>
        <v>790560</v>
      </c>
      <c r="C43" s="75">
        <f>IFERROR(__xludf.DUMMYFUNCTION("iferror(if($A$36=""Overall"",filter(Sales_Data!$S$2:$S$193,Sales_Data!$H$2:$H$193=C$1,Sales_Data!$I$2:$I$193=$A12,Sales_Data!$J$2:$J$193=$A$35),filter(Sales_Data!$S$2:$S$193,Sales_Data!$H$2:$H$193=C$1,Sales_Data!$I$2:$I$193=$A12,Sales_Data!$J$2:$J$193=$A$"&amp;"35,Sales_Data!$O$2:$O$193=$A$36)),0)"),979740.0)</f>
        <v>979740</v>
      </c>
      <c r="D43" s="75">
        <f>IFERROR(__xludf.DUMMYFUNCTION("iferror(if($A$36=""Overall"",filter(Sales_Data!$S$2:$S$193,Sales_Data!$H$2:$H$193=D$1,Sales_Data!$I$2:$I$193=$A12,Sales_Data!$J$2:$J$193=$A$35),filter(Sales_Data!$S$2:$S$193,Sales_Data!$H$2:$H$193=D$1,Sales_Data!$I$2:$I$193=$A12,Sales_Data!$J$2:$J$193=$A$"&amp;"35,Sales_Data!$O$2:$O$193=$A$36)),0)"),1136460.0)</f>
        <v>1136460</v>
      </c>
      <c r="E43" s="75">
        <f>IFERROR(__xludf.DUMMYFUNCTION("iferror(if($A$36=""Overall"",filter(Sales_Data!$S$2:$S$193,Sales_Data!$H$2:$H$193=E$1,Sales_Data!$I$2:$I$193=$A12,Sales_Data!$J$2:$J$193=$A$35),filter(Sales_Data!$S$2:$S$193,Sales_Data!$H$2:$H$193=E$1,Sales_Data!$I$2:$I$193=$A12,Sales_Data!$J$2:$J$193=$A$"&amp;"35,Sales_Data!$O$2:$O$193=$A$36)),0)"),1170120.0)</f>
        <v>1170120</v>
      </c>
      <c r="F43" s="75">
        <f>IFERROR(__xludf.DUMMYFUNCTION("iferror(if($A$36=""Overall"",filter(Sales_Data!$S$2:$S$193,Sales_Data!$H$2:$H$193=F$1,Sales_Data!$I$2:$I$193=$A12,Sales_Data!$J$2:$J$193=$A$35),filter(Sales_Data!$S$2:$S$193,Sales_Data!$H$2:$H$193=F$1,Sales_Data!$I$2:$I$193=$A12,Sales_Data!$J$2:$J$193=$A$"&amp;"35,Sales_Data!$O$2:$O$193=$A$36)),0)"),1430940.0)</f>
        <v>1430940</v>
      </c>
      <c r="G43" s="75">
        <f>IFERROR(__xludf.DUMMYFUNCTION("iferror(if($A$36=""Overall"",filter(Sales_Data!$S$2:$S$193,Sales_Data!$H$2:$H$193=G$1,Sales_Data!$I$2:$I$193=$A12,Sales_Data!$J$2:$J$193=$A$35),filter(Sales_Data!$S$2:$S$193,Sales_Data!$H$2:$H$193=G$1,Sales_Data!$I$2:$I$193=$A12,Sales_Data!$J$2:$J$193=$A$"&amp;"35,Sales_Data!$O$2:$O$193=$A$36)),0)"),1747560.0)</f>
        <v>1747560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 t="s">
        <v>19</v>
      </c>
      <c r="B44" s="75">
        <f>IFERROR(__xludf.DUMMYFUNCTION("iferror(if($A$36=""Overall"",filter(Sales_Data!$S$2:$S$193,Sales_Data!$H$2:$H$193=B$1,Sales_Data!$I$2:$I$193=$A13,Sales_Data!$J$2:$J$193=$A$35),filter(Sales_Data!$S$2:$S$193,Sales_Data!$H$2:$H$193=B$1,Sales_Data!$I$2:$I$193=$A13,Sales_Data!$J$2:$J$193=$A$"&amp;"35,Sales_Data!$O$2:$O$193=$A$36)),0)"),1002120.0)</f>
        <v>1002120</v>
      </c>
      <c r="C44" s="75">
        <f>IFERROR(__xludf.DUMMYFUNCTION("iferror(if($A$36=""Overall"",filter(Sales_Data!$S$2:$S$193,Sales_Data!$H$2:$H$193=C$1,Sales_Data!$I$2:$I$193=$A13,Sales_Data!$J$2:$J$193=$A$35),filter(Sales_Data!$S$2:$S$193,Sales_Data!$H$2:$H$193=C$1,Sales_Data!$I$2:$I$193=$A13,Sales_Data!$J$2:$J$193=$A$"&amp;"35,Sales_Data!$O$2:$O$193=$A$36)),0)"),1086900.0)</f>
        <v>1086900</v>
      </c>
      <c r="D44" s="75">
        <f>IFERROR(__xludf.DUMMYFUNCTION("iferror(if($A$36=""Overall"",filter(Sales_Data!$S$2:$S$193,Sales_Data!$H$2:$H$193=D$1,Sales_Data!$I$2:$I$193=$A13,Sales_Data!$J$2:$J$193=$A$35),filter(Sales_Data!$S$2:$S$193,Sales_Data!$H$2:$H$193=D$1,Sales_Data!$I$2:$I$193=$A13,Sales_Data!$J$2:$J$193=$A$"&amp;"35,Sales_Data!$O$2:$O$193=$A$36)),0)"),1228320.0)</f>
        <v>1228320</v>
      </c>
      <c r="E44" s="75">
        <f>IFERROR(__xludf.DUMMYFUNCTION("iferror(if($A$36=""Overall"",filter(Sales_Data!$S$2:$S$193,Sales_Data!$H$2:$H$193=E$1,Sales_Data!$I$2:$I$193=$A13,Sales_Data!$J$2:$J$193=$A$35),filter(Sales_Data!$S$2:$S$193,Sales_Data!$H$2:$H$193=E$1,Sales_Data!$I$2:$I$193=$A13,Sales_Data!$J$2:$J$193=$A$"&amp;"35,Sales_Data!$O$2:$O$193=$A$36)),0)"),1576560.0)</f>
        <v>1576560</v>
      </c>
      <c r="F44" s="75">
        <f>IFERROR(__xludf.DUMMYFUNCTION("iferror(if($A$36=""Overall"",filter(Sales_Data!$S$2:$S$193,Sales_Data!$H$2:$H$193=F$1,Sales_Data!$I$2:$I$193=$A13,Sales_Data!$J$2:$J$193=$A$35),filter(Sales_Data!$S$2:$S$193,Sales_Data!$H$2:$H$193=F$1,Sales_Data!$I$2:$I$193=$A13,Sales_Data!$J$2:$J$193=$A$"&amp;"35,Sales_Data!$O$2:$O$193=$A$36)),0)"),1813980.0)</f>
        <v>1813980</v>
      </c>
      <c r="G44" s="75">
        <f>IFERROR(__xludf.DUMMYFUNCTION("iferror(if($A$36=""Overall"",filter(Sales_Data!$S$2:$S$193,Sales_Data!$H$2:$H$193=G$1,Sales_Data!$I$2:$I$193=$A13,Sales_Data!$J$2:$J$193=$A$35),filter(Sales_Data!$S$2:$S$193,Sales_Data!$H$2:$H$193=G$1,Sales_Data!$I$2:$I$193=$A13,Sales_Data!$J$2:$J$193=$A$"&amp;"35,Sales_Data!$O$2:$O$193=$A$36)),0)"),2018280.0)</f>
        <v>2018280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 t="s">
        <v>20</v>
      </c>
      <c r="B45" s="75">
        <f>IFERROR(__xludf.DUMMYFUNCTION("iferror(if($A$36=""Overall"",filter(Sales_Data!$S$2:$S$193,Sales_Data!$H$2:$H$193=B$1,Sales_Data!$I$2:$I$193=$A14,Sales_Data!$J$2:$J$193=$A$35),filter(Sales_Data!$S$2:$S$193,Sales_Data!$H$2:$H$193=B$1,Sales_Data!$I$2:$I$193=$A14,Sales_Data!$J$2:$J$193=$A$"&amp;"35,Sales_Data!$O$2:$O$193=$A$36)),0)"),1324920.0)</f>
        <v>1324920</v>
      </c>
      <c r="C45" s="75">
        <f>IFERROR(__xludf.DUMMYFUNCTION("iferror(if($A$36=""Overall"",filter(Sales_Data!$S$2:$S$193,Sales_Data!$H$2:$H$193=C$1,Sales_Data!$I$2:$I$193=$A14,Sales_Data!$J$2:$J$193=$A$35),filter(Sales_Data!$S$2:$S$193,Sales_Data!$H$2:$H$193=C$1,Sales_Data!$I$2:$I$193=$A14,Sales_Data!$J$2:$J$193=$A$"&amp;"35,Sales_Data!$O$2:$O$193=$A$36)),0)"),1365780.0)</f>
        <v>1365780</v>
      </c>
      <c r="D45" s="75">
        <f>IFERROR(__xludf.DUMMYFUNCTION("iferror(if($A$36=""Overall"",filter(Sales_Data!$S$2:$S$193,Sales_Data!$H$2:$H$193=D$1,Sales_Data!$I$2:$I$193=$A14,Sales_Data!$J$2:$J$193=$A$35),filter(Sales_Data!$S$2:$S$193,Sales_Data!$H$2:$H$193=D$1,Sales_Data!$I$2:$I$193=$A14,Sales_Data!$J$2:$J$193=$A$"&amp;"35,Sales_Data!$O$2:$O$193=$A$36)),0)"),1510860.0)</f>
        <v>1510860</v>
      </c>
      <c r="E45" s="75">
        <f>IFERROR(__xludf.DUMMYFUNCTION("iferror(if($A$36=""Overall"",filter(Sales_Data!$S$2:$S$193,Sales_Data!$H$2:$H$193=E$1,Sales_Data!$I$2:$I$193=$A14,Sales_Data!$J$2:$J$193=$A$35),filter(Sales_Data!$S$2:$S$193,Sales_Data!$H$2:$H$193=E$1,Sales_Data!$I$2:$I$193=$A14,Sales_Data!$J$2:$J$193=$A$"&amp;"35,Sales_Data!$O$2:$O$193=$A$36)),0)"),1506480.0)</f>
        <v>1506480</v>
      </c>
      <c r="F45" s="75">
        <f>IFERROR(__xludf.DUMMYFUNCTION("iferror(if($A$36=""Overall"",filter(Sales_Data!$S$2:$S$193,Sales_Data!$H$2:$H$193=F$1,Sales_Data!$I$2:$I$193=$A14,Sales_Data!$J$2:$J$193=$A$35),filter(Sales_Data!$S$2:$S$193,Sales_Data!$H$2:$H$193=F$1,Sales_Data!$I$2:$I$193=$A14,Sales_Data!$J$2:$J$193=$A$"&amp;"35,Sales_Data!$O$2:$O$193=$A$36)),0)"),1653060.0)</f>
        <v>1653060</v>
      </c>
      <c r="G45" s="75">
        <f>IFERROR(__xludf.DUMMYFUNCTION("iferror(if($A$36=""Overall"",filter(Sales_Data!$S$2:$S$193,Sales_Data!$H$2:$H$193=G$1,Sales_Data!$I$2:$I$193=$A14,Sales_Data!$J$2:$J$193=$A$35),filter(Sales_Data!$S$2:$S$193,Sales_Data!$H$2:$H$193=G$1,Sales_Data!$I$2:$I$193=$A14,Sales_Data!$J$2:$J$193=$A$"&amp;"35,Sales_Data!$O$2:$O$193=$A$36)),0)"),1692600.0)</f>
        <v>1692600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 t="s">
        <v>21</v>
      </c>
      <c r="B46" s="75">
        <f>IFERROR(__xludf.DUMMYFUNCTION("iferror(if($A$36=""Overall"",filter(Sales_Data!$S$2:$S$193,Sales_Data!$H$2:$H$193=B$1,Sales_Data!$I$2:$I$193=$A15,Sales_Data!$J$2:$J$193=$A$35),filter(Sales_Data!$S$2:$S$193,Sales_Data!$H$2:$H$193=B$1,Sales_Data!$I$2:$I$193=$A15,Sales_Data!$J$2:$J$193=$A$"&amp;"35,Sales_Data!$O$2:$O$193=$A$36)),0)"),972480.0)</f>
        <v>972480</v>
      </c>
      <c r="C46" s="75">
        <f>IFERROR(__xludf.DUMMYFUNCTION("iferror(if($A$36=""Overall"",filter(Sales_Data!$S$2:$S$193,Sales_Data!$H$2:$H$193=C$1,Sales_Data!$I$2:$I$193=$A15,Sales_Data!$J$2:$J$193=$A$35),filter(Sales_Data!$S$2:$S$193,Sales_Data!$H$2:$H$193=C$1,Sales_Data!$I$2:$I$193=$A15,Sales_Data!$J$2:$J$193=$A$"&amp;"35,Sales_Data!$O$2:$O$193=$A$36)),0)"),1021320.0)</f>
        <v>1021320</v>
      </c>
      <c r="D46" s="75">
        <f>IFERROR(__xludf.DUMMYFUNCTION("iferror(if($A$36=""Overall"",filter(Sales_Data!$S$2:$S$193,Sales_Data!$H$2:$H$193=D$1,Sales_Data!$I$2:$I$193=$A15,Sales_Data!$J$2:$J$193=$A$35),filter(Sales_Data!$S$2:$S$193,Sales_Data!$H$2:$H$193=D$1,Sales_Data!$I$2:$I$193=$A15,Sales_Data!$J$2:$J$193=$A$"&amp;"35,Sales_Data!$O$2:$O$193=$A$36)),0)"),1135140.0)</f>
        <v>1135140</v>
      </c>
      <c r="E46" s="75">
        <f>IFERROR(__xludf.DUMMYFUNCTION("iferror(if($A$36=""Overall"",filter(Sales_Data!$S$2:$S$193,Sales_Data!$H$2:$H$193=E$1,Sales_Data!$I$2:$I$193=$A15,Sales_Data!$J$2:$J$193=$A$35),filter(Sales_Data!$S$2:$S$193,Sales_Data!$H$2:$H$193=E$1,Sales_Data!$I$2:$I$193=$A15,Sales_Data!$J$2:$J$193=$A$"&amp;"35,Sales_Data!$O$2:$O$193=$A$36)),0)"),1203120.0)</f>
        <v>1203120</v>
      </c>
      <c r="F46" s="75">
        <f>IFERROR(__xludf.DUMMYFUNCTION("iferror(if($A$36=""Overall"",filter(Sales_Data!$S$2:$S$193,Sales_Data!$H$2:$H$193=F$1,Sales_Data!$I$2:$I$193=$A15,Sales_Data!$J$2:$J$193=$A$35),filter(Sales_Data!$S$2:$S$193,Sales_Data!$H$2:$H$193=F$1,Sales_Data!$I$2:$I$193=$A15,Sales_Data!$J$2:$J$193=$A$"&amp;"35,Sales_Data!$O$2:$O$193=$A$36)),0)"),1287000.0)</f>
        <v>1287000</v>
      </c>
      <c r="G46" s="75">
        <f>IFERROR(__xludf.DUMMYFUNCTION("iferror(if($A$36=""Overall"",filter(Sales_Data!$S$2:$S$193,Sales_Data!$H$2:$H$193=G$1,Sales_Data!$I$2:$I$193=$A15,Sales_Data!$J$2:$J$193=$A$35),filter(Sales_Data!$S$2:$S$193,Sales_Data!$H$2:$H$193=G$1,Sales_Data!$I$2:$I$193=$A15,Sales_Data!$J$2:$J$193=$A$"&amp;"35,Sales_Data!$O$2:$O$193=$A$36)),0)"),1403340.0)</f>
        <v>1403340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 t="s">
        <v>22</v>
      </c>
      <c r="B47" s="75">
        <f>IFERROR(__xludf.DUMMYFUNCTION("iferror(if($A$36=""Overall"",filter(Sales_Data!$S$2:$S$193,Sales_Data!$H$2:$H$193=B$1,Sales_Data!$I$2:$I$193=$A16,Sales_Data!$J$2:$J$193=$A$35),filter(Sales_Data!$S$2:$S$193,Sales_Data!$H$2:$H$193=B$1,Sales_Data!$I$2:$I$193=$A16,Sales_Data!$J$2:$J$193=$A$"&amp;"35,Sales_Data!$O$2:$O$193=$A$36)),0)"),896580.0)</f>
        <v>896580</v>
      </c>
      <c r="C47" s="75">
        <f>IFERROR(__xludf.DUMMYFUNCTION("iferror(if($A$36=""Overall"",filter(Sales_Data!$S$2:$S$193,Sales_Data!$H$2:$H$193=C$1,Sales_Data!$I$2:$I$193=$A16,Sales_Data!$J$2:$J$193=$A$35),filter(Sales_Data!$S$2:$S$193,Sales_Data!$H$2:$H$193=C$1,Sales_Data!$I$2:$I$193=$A16,Sales_Data!$J$2:$J$193=$A$"&amp;"35,Sales_Data!$O$2:$O$193=$A$36)),0)"),1019280.0)</f>
        <v>1019280</v>
      </c>
      <c r="D47" s="75">
        <f>IFERROR(__xludf.DUMMYFUNCTION("iferror(if($A$36=""Overall"",filter(Sales_Data!$S$2:$S$193,Sales_Data!$H$2:$H$193=D$1,Sales_Data!$I$2:$I$193=$A16,Sales_Data!$J$2:$J$193=$A$35),filter(Sales_Data!$S$2:$S$193,Sales_Data!$H$2:$H$193=D$1,Sales_Data!$I$2:$I$193=$A16,Sales_Data!$J$2:$J$193=$A$"&amp;"35,Sales_Data!$O$2:$O$193=$A$36)),0)"),1216800.0)</f>
        <v>1216800</v>
      </c>
      <c r="E47" s="75">
        <f>IFERROR(__xludf.DUMMYFUNCTION("iferror(if($A$36=""Overall"",filter(Sales_Data!$S$2:$S$193,Sales_Data!$H$2:$H$193=E$1,Sales_Data!$I$2:$I$193=$A16,Sales_Data!$J$2:$J$193=$A$35),filter(Sales_Data!$S$2:$S$193,Sales_Data!$H$2:$H$193=E$1,Sales_Data!$I$2:$I$193=$A16,Sales_Data!$J$2:$J$193=$A$"&amp;"35,Sales_Data!$O$2:$O$193=$A$36)),0)"),1369920.0)</f>
        <v>1369920</v>
      </c>
      <c r="F47" s="75">
        <f>IFERROR(__xludf.DUMMYFUNCTION("iferror(if($A$36=""Overall"",filter(Sales_Data!$S$2:$S$193,Sales_Data!$H$2:$H$193=F$1,Sales_Data!$I$2:$I$193=$A16,Sales_Data!$J$2:$J$193=$A$35),filter(Sales_Data!$S$2:$S$193,Sales_Data!$H$2:$H$193=F$1,Sales_Data!$I$2:$I$193=$A16,Sales_Data!$J$2:$J$193=$A$"&amp;"35,Sales_Data!$O$2:$O$193=$A$36)),0)"),1649880.0)</f>
        <v>1649880</v>
      </c>
      <c r="G47" s="75">
        <f>IFERROR(__xludf.DUMMYFUNCTION("iferror(if($A$36=""Overall"",filter(Sales_Data!$S$2:$S$193,Sales_Data!$H$2:$H$193=G$1,Sales_Data!$I$2:$I$193=$A16,Sales_Data!$J$2:$J$193=$A$35),filter(Sales_Data!$S$2:$S$193,Sales_Data!$H$2:$H$193=G$1,Sales_Data!$I$2:$I$193=$A16,Sales_Data!$J$2:$J$193=$A$"&amp;"35,Sales_Data!$O$2:$O$193=$A$36)),0)"),1965420.0)</f>
        <v>1965420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 t="s">
        <v>23</v>
      </c>
      <c r="B48" s="75">
        <f>IFERROR(__xludf.DUMMYFUNCTION("iferror(if($A$36=""Overall"",filter(Sales_Data!$S$2:$S$193,Sales_Data!$H$2:$H$193=B$1,Sales_Data!$I$2:$I$193=$A17,Sales_Data!$J$2:$J$193=$A$35),filter(Sales_Data!$S$2:$S$193,Sales_Data!$H$2:$H$193=B$1,Sales_Data!$I$2:$I$193=$A17,Sales_Data!$J$2:$J$193=$A$"&amp;"35,Sales_Data!$O$2:$O$193=$A$36)),0)"),1775280.0)</f>
        <v>1775280</v>
      </c>
      <c r="C48" s="75">
        <f>IFERROR(__xludf.DUMMYFUNCTION("iferror(if($A$36=""Overall"",filter(Sales_Data!$S$2:$S$193,Sales_Data!$H$2:$H$193=C$1,Sales_Data!$I$2:$I$193=$A17,Sales_Data!$J$2:$J$193=$A$35),filter(Sales_Data!$S$2:$S$193,Sales_Data!$H$2:$H$193=C$1,Sales_Data!$I$2:$I$193=$A17,Sales_Data!$J$2:$J$193=$A$"&amp;"35,Sales_Data!$O$2:$O$193=$A$36)),0)"),1903560.0)</f>
        <v>1903560</v>
      </c>
      <c r="D48" s="75">
        <f>IFERROR(__xludf.DUMMYFUNCTION("iferror(if($A$36=""Overall"",filter(Sales_Data!$S$2:$S$193,Sales_Data!$H$2:$H$193=D$1,Sales_Data!$I$2:$I$193=$A17,Sales_Data!$J$2:$J$193=$A$35),filter(Sales_Data!$S$2:$S$193,Sales_Data!$H$2:$H$193=D$1,Sales_Data!$I$2:$I$193=$A17,Sales_Data!$J$2:$J$193=$A$"&amp;"35,Sales_Data!$O$2:$O$193=$A$36)),0)"),2487600.0)</f>
        <v>2487600</v>
      </c>
      <c r="E48" s="75">
        <f>IFERROR(__xludf.DUMMYFUNCTION("iferror(if($A$36=""Overall"",filter(Sales_Data!$S$2:$S$193,Sales_Data!$H$2:$H$193=E$1,Sales_Data!$I$2:$I$193=$A17,Sales_Data!$J$2:$J$193=$A$35),filter(Sales_Data!$S$2:$S$193,Sales_Data!$H$2:$H$193=E$1,Sales_Data!$I$2:$I$193=$A17,Sales_Data!$J$2:$J$193=$A$"&amp;"35,Sales_Data!$O$2:$O$193=$A$36)),0)"),2746320.0)</f>
        <v>2746320</v>
      </c>
      <c r="F48" s="75">
        <f>IFERROR(__xludf.DUMMYFUNCTION("iferror(if($A$36=""Overall"",filter(Sales_Data!$S$2:$S$193,Sales_Data!$H$2:$H$193=F$1,Sales_Data!$I$2:$I$193=$A17,Sales_Data!$J$2:$J$193=$A$35),filter(Sales_Data!$S$2:$S$193,Sales_Data!$H$2:$H$193=F$1,Sales_Data!$I$2:$I$193=$A17,Sales_Data!$J$2:$J$193=$A$"&amp;"35,Sales_Data!$O$2:$O$193=$A$36)),0)"),3132840.0)</f>
        <v>3132840</v>
      </c>
      <c r="G48" s="75">
        <f>IFERROR(__xludf.DUMMYFUNCTION("iferror(if($A$36=""Overall"",filter(Sales_Data!$S$2:$S$193,Sales_Data!$H$2:$H$193=G$1,Sales_Data!$I$2:$I$193=$A17,Sales_Data!$J$2:$J$193=$A$35),filter(Sales_Data!$S$2:$S$193,Sales_Data!$H$2:$H$193=G$1,Sales_Data!$I$2:$I$193=$A17,Sales_Data!$J$2:$J$193=$A$"&amp;"35,Sales_Data!$O$2:$O$193=$A$36)),0)"),3601920.0)</f>
        <v>3601920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 t="s">
        <v>24</v>
      </c>
      <c r="B49" s="75">
        <f>IFERROR(__xludf.DUMMYFUNCTION("iferror(if($A$36=""Overall"",filter(Sales_Data!$S$2:$S$193,Sales_Data!$H$2:$H$193=B$1,Sales_Data!$I$2:$I$193=$A18,Sales_Data!$J$2:$J$193=$A$35),filter(Sales_Data!$S$2:$S$193,Sales_Data!$H$2:$H$193=B$1,Sales_Data!$I$2:$I$193=$A18,Sales_Data!$J$2:$J$193=$A$"&amp;"35,Sales_Data!$O$2:$O$193=$A$36)),0)"),815040.0)</f>
        <v>815040</v>
      </c>
      <c r="C49" s="75">
        <f>IFERROR(__xludf.DUMMYFUNCTION("iferror(if($A$36=""Overall"",filter(Sales_Data!$S$2:$S$193,Sales_Data!$H$2:$H$193=C$1,Sales_Data!$I$2:$I$193=$A18,Sales_Data!$J$2:$J$193=$A$35),filter(Sales_Data!$S$2:$S$193,Sales_Data!$H$2:$H$193=C$1,Sales_Data!$I$2:$I$193=$A18,Sales_Data!$J$2:$J$193=$A$"&amp;"35,Sales_Data!$O$2:$O$193=$A$36)),0)"),871800.0)</f>
        <v>871800</v>
      </c>
      <c r="D49" s="75">
        <f>IFERROR(__xludf.DUMMYFUNCTION("iferror(if($A$36=""Overall"",filter(Sales_Data!$S$2:$S$193,Sales_Data!$H$2:$H$193=D$1,Sales_Data!$I$2:$I$193=$A18,Sales_Data!$J$2:$J$193=$A$35),filter(Sales_Data!$S$2:$S$193,Sales_Data!$H$2:$H$193=D$1,Sales_Data!$I$2:$I$193=$A18,Sales_Data!$J$2:$J$193=$A$"&amp;"35,Sales_Data!$O$2:$O$193=$A$36)),0)"),932880.0)</f>
        <v>932880</v>
      </c>
      <c r="E49" s="75">
        <f>IFERROR(__xludf.DUMMYFUNCTION("iferror(if($A$36=""Overall"",filter(Sales_Data!$S$2:$S$193,Sales_Data!$H$2:$H$193=E$1,Sales_Data!$I$2:$I$193=$A18,Sales_Data!$J$2:$J$193=$A$35),filter(Sales_Data!$S$2:$S$193,Sales_Data!$H$2:$H$193=E$1,Sales_Data!$I$2:$I$193=$A18,Sales_Data!$J$2:$J$193=$A$"&amp;"35,Sales_Data!$O$2:$O$193=$A$36)),0)"),960840.0)</f>
        <v>960840</v>
      </c>
      <c r="F49" s="75">
        <f>IFERROR(__xludf.DUMMYFUNCTION("iferror(if($A$36=""Overall"",filter(Sales_Data!$S$2:$S$193,Sales_Data!$H$2:$H$193=F$1,Sales_Data!$I$2:$I$193=$A18,Sales_Data!$J$2:$J$193=$A$35),filter(Sales_Data!$S$2:$S$193,Sales_Data!$H$2:$H$193=F$1,Sales_Data!$I$2:$I$193=$A18,Sales_Data!$J$2:$J$193=$A$"&amp;"35,Sales_Data!$O$2:$O$193=$A$36)),0)"),980760.0)</f>
        <v>980760</v>
      </c>
      <c r="G49" s="75">
        <f>IFERROR(__xludf.DUMMYFUNCTION("iferror(if($A$36=""Overall"",filter(Sales_Data!$S$2:$S$193,Sales_Data!$H$2:$H$193=G$1,Sales_Data!$I$2:$I$193=$A18,Sales_Data!$J$2:$J$193=$A$35),filter(Sales_Data!$S$2:$S$193,Sales_Data!$H$2:$H$193=G$1,Sales_Data!$I$2:$I$193=$A18,Sales_Data!$J$2:$J$193=$A$"&amp;"35,Sales_Data!$O$2:$O$193=$A$36)),0)"),962640.0)</f>
        <v>962640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 t="s">
        <v>27</v>
      </c>
      <c r="B50" s="75">
        <f>IFERROR(__xludf.DUMMYFUNCTION("iferror(if($A$36=""Overall"",filter(Sales_Data!$S$2:$S$193,Sales_Data!$H$2:$H$193=B$1,Sales_Data!$I$2:$I$193=$A19,Sales_Data!$J$2:$J$193=$A$35),filter(Sales_Data!$S$2:$S$193,Sales_Data!$H$2:$H$193=B$1,Sales_Data!$I$2:$I$193=$A19,Sales_Data!$J$2:$J$193=$A$"&amp;"35,Sales_Data!$O$2:$O$193=$A$36)),0)"),872700.0)</f>
        <v>872700</v>
      </c>
      <c r="C50" s="75">
        <f>IFERROR(__xludf.DUMMYFUNCTION("iferror(if($A$36=""Overall"",filter(Sales_Data!$S$2:$S$193,Sales_Data!$H$2:$H$193=C$1,Sales_Data!$I$2:$I$193=$A19,Sales_Data!$J$2:$J$193=$A$35),filter(Sales_Data!$S$2:$S$193,Sales_Data!$H$2:$H$193=C$1,Sales_Data!$I$2:$I$193=$A19,Sales_Data!$J$2:$J$193=$A$"&amp;"35,Sales_Data!$O$2:$O$193=$A$36)),0)"),916200.0)</f>
        <v>916200</v>
      </c>
      <c r="D50" s="75">
        <f>IFERROR(__xludf.DUMMYFUNCTION("iferror(if($A$36=""Overall"",filter(Sales_Data!$S$2:$S$193,Sales_Data!$H$2:$H$193=D$1,Sales_Data!$I$2:$I$193=$A19,Sales_Data!$J$2:$J$193=$A$35),filter(Sales_Data!$S$2:$S$193,Sales_Data!$H$2:$H$193=D$1,Sales_Data!$I$2:$I$193=$A19,Sales_Data!$J$2:$J$193=$A$"&amp;"35,Sales_Data!$O$2:$O$193=$A$36)),0)"),971160.0)</f>
        <v>971160</v>
      </c>
      <c r="E50" s="75">
        <f>IFERROR(__xludf.DUMMYFUNCTION("iferror(if($A$36=""Overall"",filter(Sales_Data!$S$2:$S$193,Sales_Data!$H$2:$H$193=E$1,Sales_Data!$I$2:$I$193=$A19,Sales_Data!$J$2:$J$193=$A$35),filter(Sales_Data!$S$2:$S$193,Sales_Data!$H$2:$H$193=E$1,Sales_Data!$I$2:$I$193=$A19,Sales_Data!$J$2:$J$193=$A$"&amp;"35,Sales_Data!$O$2:$O$193=$A$36)),0)"),1058760.0)</f>
        <v>1058760</v>
      </c>
      <c r="F50" s="75">
        <f>IFERROR(__xludf.DUMMYFUNCTION("iferror(if($A$36=""Overall"",filter(Sales_Data!$S$2:$S$193,Sales_Data!$H$2:$H$193=F$1,Sales_Data!$I$2:$I$193=$A19,Sales_Data!$J$2:$J$193=$A$35),filter(Sales_Data!$S$2:$S$193,Sales_Data!$H$2:$H$193=F$1,Sales_Data!$I$2:$I$193=$A19,Sales_Data!$J$2:$J$193=$A$"&amp;"35,Sales_Data!$O$2:$O$193=$A$36)),0)"),1111680.0)</f>
        <v>1111680</v>
      </c>
      <c r="G50" s="75">
        <f>IFERROR(__xludf.DUMMYFUNCTION("iferror(if($A$36=""Overall"",filter(Sales_Data!$S$2:$S$193,Sales_Data!$H$2:$H$193=G$1,Sales_Data!$I$2:$I$193=$A19,Sales_Data!$J$2:$J$193=$A$35),filter(Sales_Data!$S$2:$S$193,Sales_Data!$H$2:$H$193=G$1,Sales_Data!$I$2:$I$193=$A19,Sales_Data!$J$2:$J$193=$A$"&amp;"35,Sales_Data!$O$2:$O$193=$A$36)),0)"),1155960.0)</f>
        <v>1155960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 t="s">
        <v>26</v>
      </c>
      <c r="B51" s="75">
        <f>IFERROR(__xludf.DUMMYFUNCTION("iferror(if($A$36=""Overall"",filter(Sales_Data!$S$2:$S$193,Sales_Data!$H$2:$H$193=B$1,Sales_Data!$I$2:$I$193=$A20,Sales_Data!$J$2:$J$193=$A$35),filter(Sales_Data!$S$2:$S$193,Sales_Data!$H$2:$H$193=B$1,Sales_Data!$I$2:$I$193=$A20,Sales_Data!$J$2:$J$193=$A$"&amp;"35,Sales_Data!$O$2:$O$193=$A$36)),0)"),1115880.0)</f>
        <v>1115880</v>
      </c>
      <c r="C51" s="75">
        <f>IFERROR(__xludf.DUMMYFUNCTION("iferror(if($A$36=""Overall"",filter(Sales_Data!$S$2:$S$193,Sales_Data!$H$2:$H$193=C$1,Sales_Data!$I$2:$I$193=$A20,Sales_Data!$J$2:$J$193=$A$35),filter(Sales_Data!$S$2:$S$193,Sales_Data!$H$2:$H$193=C$1,Sales_Data!$I$2:$I$193=$A20,Sales_Data!$J$2:$J$193=$A$"&amp;"35,Sales_Data!$O$2:$O$193=$A$36)),0)"),1294380.0)</f>
        <v>1294380</v>
      </c>
      <c r="D51" s="75">
        <f>IFERROR(__xludf.DUMMYFUNCTION("iferror(if($A$36=""Overall"",filter(Sales_Data!$S$2:$S$193,Sales_Data!$H$2:$H$193=D$1,Sales_Data!$I$2:$I$193=$A20,Sales_Data!$J$2:$J$193=$A$35),filter(Sales_Data!$S$2:$S$193,Sales_Data!$H$2:$H$193=D$1,Sales_Data!$I$2:$I$193=$A20,Sales_Data!$J$2:$J$193=$A$"&amp;"35,Sales_Data!$O$2:$O$193=$A$36)),0)"),1402740.0)</f>
        <v>1402740</v>
      </c>
      <c r="E51" s="75">
        <f>IFERROR(__xludf.DUMMYFUNCTION("iferror(if($A$36=""Overall"",filter(Sales_Data!$S$2:$S$193,Sales_Data!$H$2:$H$193=E$1,Sales_Data!$I$2:$I$193=$A20,Sales_Data!$J$2:$J$193=$A$35),filter(Sales_Data!$S$2:$S$193,Sales_Data!$H$2:$H$193=E$1,Sales_Data!$I$2:$I$193=$A20,Sales_Data!$J$2:$J$193=$A$"&amp;"35,Sales_Data!$O$2:$O$193=$A$36)),0)"),1830960.0)</f>
        <v>1830960</v>
      </c>
      <c r="F51" s="75">
        <f>IFERROR(__xludf.DUMMYFUNCTION("iferror(if($A$36=""Overall"",filter(Sales_Data!$S$2:$S$193,Sales_Data!$H$2:$H$193=F$1,Sales_Data!$I$2:$I$193=$A20,Sales_Data!$J$2:$J$193=$A$35),filter(Sales_Data!$S$2:$S$193,Sales_Data!$H$2:$H$193=F$1,Sales_Data!$I$2:$I$193=$A20,Sales_Data!$J$2:$J$193=$A$"&amp;"35,Sales_Data!$O$2:$O$193=$A$36)),0)"),2107920.0)</f>
        <v>2107920</v>
      </c>
      <c r="G51" s="75">
        <f>IFERROR(__xludf.DUMMYFUNCTION("iferror(if($A$36=""Overall"",filter(Sales_Data!$S$2:$S$193,Sales_Data!$H$2:$H$193=G$1,Sales_Data!$I$2:$I$193=$A20,Sales_Data!$J$2:$J$193=$A$35),filter(Sales_Data!$S$2:$S$193,Sales_Data!$H$2:$H$193=G$1,Sales_Data!$I$2:$I$193=$A20,Sales_Data!$J$2:$J$193=$A$"&amp;"35,Sales_Data!$O$2:$O$193=$A$36)),0)"),2466300.0)</f>
        <v>2466300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 t="s">
        <v>25</v>
      </c>
      <c r="B52" s="75">
        <f>IFERROR(__xludf.DUMMYFUNCTION("iferror(if($A$36=""Overall"",filter(Sales_Data!$S$2:$S$193,Sales_Data!$H$2:$H$193=B$1,Sales_Data!$I$2:$I$193=$A21,Sales_Data!$J$2:$J$193=$A$35),filter(Sales_Data!$S$2:$S$193,Sales_Data!$H$2:$H$193=B$1,Sales_Data!$I$2:$I$193=$A21,Sales_Data!$J$2:$J$193=$A$"&amp;"35,Sales_Data!$O$2:$O$193=$A$36)),0)"),1618920.0)</f>
        <v>1618920</v>
      </c>
      <c r="C52" s="75">
        <f>IFERROR(__xludf.DUMMYFUNCTION("iferror(if($A$36=""Overall"",filter(Sales_Data!$S$2:$S$193,Sales_Data!$H$2:$H$193=C$1,Sales_Data!$I$2:$I$193=$A21,Sales_Data!$J$2:$J$193=$A$35),filter(Sales_Data!$S$2:$S$193,Sales_Data!$H$2:$H$193=C$1,Sales_Data!$I$2:$I$193=$A21,Sales_Data!$J$2:$J$193=$A$"&amp;"35,Sales_Data!$O$2:$O$193=$A$36)),0)"),1956420.0)</f>
        <v>1956420</v>
      </c>
      <c r="D52" s="75">
        <f>IFERROR(__xludf.DUMMYFUNCTION("iferror(if($A$36=""Overall"",filter(Sales_Data!$S$2:$S$193,Sales_Data!$H$2:$H$193=D$1,Sales_Data!$I$2:$I$193=$A21,Sales_Data!$J$2:$J$193=$A$35),filter(Sales_Data!$S$2:$S$193,Sales_Data!$H$2:$H$193=D$1,Sales_Data!$I$2:$I$193=$A21,Sales_Data!$J$2:$J$193=$A$"&amp;"35,Sales_Data!$O$2:$O$193=$A$36)),0)"),2214540.0)</f>
        <v>2214540</v>
      </c>
      <c r="E52" s="75">
        <f>IFERROR(__xludf.DUMMYFUNCTION("iferror(if($A$36=""Overall"",filter(Sales_Data!$S$2:$S$193,Sales_Data!$H$2:$H$193=E$1,Sales_Data!$I$2:$I$193=$A21,Sales_Data!$J$2:$J$193=$A$35),filter(Sales_Data!$S$2:$S$193,Sales_Data!$H$2:$H$193=E$1,Sales_Data!$I$2:$I$193=$A21,Sales_Data!$J$2:$J$193=$A$"&amp;"35,Sales_Data!$O$2:$O$193=$A$36)),0)"),2547600.0)</f>
        <v>2547600</v>
      </c>
      <c r="F52" s="75">
        <f>IFERROR(__xludf.DUMMYFUNCTION("iferror(if($A$36=""Overall"",filter(Sales_Data!$S$2:$S$193,Sales_Data!$H$2:$H$193=F$1,Sales_Data!$I$2:$I$193=$A21,Sales_Data!$J$2:$J$193=$A$35),filter(Sales_Data!$S$2:$S$193,Sales_Data!$H$2:$H$193=F$1,Sales_Data!$I$2:$I$193=$A21,Sales_Data!$J$2:$J$193=$A$"&amp;"35,Sales_Data!$O$2:$O$193=$A$36)),0)"),2783220.0)</f>
        <v>2783220</v>
      </c>
      <c r="G52" s="75">
        <f>IFERROR(__xludf.DUMMYFUNCTION("iferror(if($A$36=""Overall"",filter(Sales_Data!$S$2:$S$193,Sales_Data!$H$2:$H$193=G$1,Sales_Data!$I$2:$I$193=$A21,Sales_Data!$J$2:$J$193=$A$35),filter(Sales_Data!$S$2:$S$193,Sales_Data!$H$2:$H$193=G$1,Sales_Data!$I$2:$I$193=$A21,Sales_Data!$J$2:$J$193=$A$"&amp;"35,Sales_Data!$O$2:$O$193=$A$36)),0)"),3199200.0)</f>
        <v>3199200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93" t="s">
        <v>319</v>
      </c>
      <c r="B53" s="77">
        <f t="shared" ref="B53:G53" si="4">sum(B37:B52)</f>
        <v>18951300</v>
      </c>
      <c r="C53" s="77">
        <f t="shared" si="4"/>
        <v>21135900</v>
      </c>
      <c r="D53" s="77">
        <f t="shared" si="4"/>
        <v>24074220</v>
      </c>
      <c r="E53" s="77">
        <f t="shared" si="4"/>
        <v>27725100</v>
      </c>
      <c r="F53" s="77">
        <f t="shared" si="4"/>
        <v>31156380</v>
      </c>
      <c r="G53" s="77">
        <f t="shared" si="4"/>
        <v>35859240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57" t="s">
        <v>328</v>
      </c>
      <c r="B55" s="58"/>
      <c r="C55" s="58"/>
      <c r="D55" s="58"/>
      <c r="E55" s="58"/>
      <c r="F55" s="58"/>
      <c r="G55" s="7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85" t="s">
        <v>321</v>
      </c>
      <c r="B56" s="59">
        <f>'Cost-RM'!B48</f>
        <v>4456082.34</v>
      </c>
      <c r="C56" s="59">
        <f>'Cost-RM'!C48</f>
        <v>4969754.62</v>
      </c>
      <c r="D56" s="59">
        <f>'Cost-RM'!D48</f>
        <v>5660651.596</v>
      </c>
      <c r="E56" s="59">
        <f>'Cost-RM'!E48</f>
        <v>6519095.18</v>
      </c>
      <c r="F56" s="59">
        <f>'Cost-RM'!F48</f>
        <v>7325903.484</v>
      </c>
      <c r="G56" s="59">
        <f>'Cost-RM'!G48</f>
        <v>8431702.632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85" t="s">
        <v>322</v>
      </c>
      <c r="B57" s="59">
        <f>Assumption!$C$34*'Sales Quantity'!C7</f>
        <v>1579275</v>
      </c>
      <c r="C57" s="59">
        <f>Assumption!$C$34*'Sales Quantity'!D7</f>
        <v>1761325</v>
      </c>
      <c r="D57" s="59">
        <f>Assumption!$C$34*'Sales Quantity'!E7</f>
        <v>2006185</v>
      </c>
      <c r="E57" s="59">
        <f>Assumption!$C$34*'Sales Quantity'!F7</f>
        <v>2310425</v>
      </c>
      <c r="F57" s="59">
        <f>Assumption!$C$34*'Sales Quantity'!G7</f>
        <v>2596365</v>
      </c>
      <c r="G57" s="59">
        <f>Assumption!$C$34*'Sales Quantity'!H7</f>
        <v>2988270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85" t="s">
        <v>323</v>
      </c>
      <c r="B58" s="59">
        <f>Assumption!$C$35*'Sales Quantity'!C7</f>
        <v>3474405</v>
      </c>
      <c r="C58" s="59">
        <f>Assumption!$C$35*'Sales Quantity'!D7</f>
        <v>3874915</v>
      </c>
      <c r="D58" s="59">
        <f>Assumption!$C$35*'Sales Quantity'!E7</f>
        <v>4413607</v>
      </c>
      <c r="E58" s="59">
        <f>Assumption!$C$35*'Sales Quantity'!F7</f>
        <v>5082935</v>
      </c>
      <c r="F58" s="59">
        <f>Assumption!$C$35*'Sales Quantity'!G7</f>
        <v>5712003</v>
      </c>
      <c r="G58" s="59">
        <f>Assumption!$C$35*'Sales Quantity'!H7</f>
        <v>6574194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61" t="s">
        <v>324</v>
      </c>
      <c r="B59" s="67">
        <f t="shared" ref="B59:G59" si="5">sum(B56:B58)</f>
        <v>9509762.34</v>
      </c>
      <c r="C59" s="67">
        <f t="shared" si="5"/>
        <v>10605994.62</v>
      </c>
      <c r="D59" s="67">
        <f t="shared" si="5"/>
        <v>12080443.6</v>
      </c>
      <c r="E59" s="67">
        <f t="shared" si="5"/>
        <v>13912455.18</v>
      </c>
      <c r="F59" s="67">
        <f t="shared" si="5"/>
        <v>15634271.48</v>
      </c>
      <c r="G59" s="67">
        <f t="shared" si="5"/>
        <v>17994166.63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57" t="s">
        <v>325</v>
      </c>
      <c r="B61" s="96">
        <f>B59/'Sales Quantity'!C7</f>
        <v>30.108</v>
      </c>
      <c r="C61" s="96">
        <f>C59/'Sales Quantity'!D7</f>
        <v>30.108</v>
      </c>
      <c r="D61" s="96">
        <f>D59/'Sales Quantity'!E7</f>
        <v>30.108</v>
      </c>
      <c r="E61" s="96">
        <f>E59/'Sales Quantity'!F7</f>
        <v>30.108</v>
      </c>
      <c r="F61" s="96">
        <f>F59/'Sales Quantity'!G7</f>
        <v>30.108</v>
      </c>
      <c r="G61" s="96">
        <f>G59/'Sales Quantity'!H7</f>
        <v>30.108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61" t="s">
        <v>326</v>
      </c>
      <c r="B62" s="77">
        <f t="shared" ref="B62:G62" si="6">B53-B59</f>
        <v>9441537.66</v>
      </c>
      <c r="C62" s="77">
        <f t="shared" si="6"/>
        <v>10529905.38</v>
      </c>
      <c r="D62" s="77">
        <f t="shared" si="6"/>
        <v>11993776.4</v>
      </c>
      <c r="E62" s="77">
        <f t="shared" si="6"/>
        <v>13812644.82</v>
      </c>
      <c r="F62" s="77">
        <f t="shared" si="6"/>
        <v>15522108.52</v>
      </c>
      <c r="G62" s="77">
        <f t="shared" si="6"/>
        <v>17865073.37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61" t="s">
        <v>327</v>
      </c>
      <c r="B64" s="96">
        <f>B62/'Sales Quantity'!C7</f>
        <v>29.892</v>
      </c>
      <c r="C64" s="96">
        <f>C62/'Sales Quantity'!D7</f>
        <v>29.892</v>
      </c>
      <c r="D64" s="96">
        <f>D62/'Sales Quantity'!E7</f>
        <v>29.892</v>
      </c>
      <c r="E64" s="96">
        <f>E62/'Sales Quantity'!F7</f>
        <v>29.892</v>
      </c>
      <c r="F64" s="96">
        <f>F62/'Sales Quantity'!G7</f>
        <v>29.892</v>
      </c>
      <c r="G64" s="96">
        <f>G62/'Sales Quantity'!H7</f>
        <v>29.892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</sheetData>
  <dataValidations>
    <dataValidation type="list" allowBlank="1" showErrorMessage="1" sqref="A5">
      <formula1>"North,South,East,West,Overall"</formula1>
    </dataValidation>
    <dataValidation type="list" allowBlank="1" showErrorMessage="1" sqref="A36">
      <formula1>"North,South,West,East,Overall"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97" t="s">
        <v>318</v>
      </c>
      <c r="B1" s="45" t="s">
        <v>308</v>
      </c>
      <c r="C1" s="45" t="s">
        <v>267</v>
      </c>
      <c r="D1" s="45" t="s">
        <v>268</v>
      </c>
      <c r="E1" s="45" t="s">
        <v>269</v>
      </c>
      <c r="F1" s="45" t="s">
        <v>270</v>
      </c>
      <c r="G1" s="45" t="s">
        <v>271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7" t="s">
        <v>329</v>
      </c>
      <c r="B2" s="43"/>
      <c r="C2" s="43"/>
      <c r="D2" s="43"/>
      <c r="E2" s="43"/>
      <c r="F2" s="43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7" t="s">
        <v>258</v>
      </c>
      <c r="B3" s="59"/>
      <c r="C3" s="59"/>
      <c r="D3" s="59"/>
      <c r="E3" s="59"/>
      <c r="F3" s="59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47" t="s">
        <v>275</v>
      </c>
      <c r="B4" s="59">
        <f>Contribution_Old!B31</f>
        <v>22904462.27</v>
      </c>
      <c r="C4" s="59">
        <f>Contribution_Old!C31</f>
        <v>25906438.11</v>
      </c>
      <c r="D4" s="59">
        <f>Contribution_Old!D31</f>
        <v>29378245.3</v>
      </c>
      <c r="E4" s="59">
        <f>Contribution_Old!E31</f>
        <v>33157900.53</v>
      </c>
      <c r="F4" s="59">
        <f>Contribution_Old!F31</f>
        <v>37591034.65</v>
      </c>
      <c r="G4" s="59">
        <f>Contribution_Old!G31</f>
        <v>42635298.36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47" t="s">
        <v>276</v>
      </c>
      <c r="B5" s="59">
        <f>Contribution_Old!B62</f>
        <v>9220939.524</v>
      </c>
      <c r="C5" s="59">
        <f>Contribution_Old!C62</f>
        <v>10426683.96</v>
      </c>
      <c r="D5" s="59">
        <f>Contribution_Old!D62</f>
        <v>11851272.76</v>
      </c>
      <c r="E5" s="59">
        <f>Contribution_Old!E62</f>
        <v>13543450.78</v>
      </c>
      <c r="F5" s="59">
        <f>Contribution_Old!F62</f>
        <v>15505434.05</v>
      </c>
      <c r="G5" s="59">
        <f>Contribution_Old!G62</f>
        <v>17750021.71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7" t="s">
        <v>259</v>
      </c>
      <c r="B6" s="59"/>
      <c r="C6" s="59"/>
      <c r="D6" s="59"/>
      <c r="E6" s="59"/>
      <c r="F6" s="59"/>
      <c r="G6" s="7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47" t="s">
        <v>275</v>
      </c>
      <c r="B7" s="60">
        <f>Contribution_New!B31:G31</f>
        <v>25639141.48</v>
      </c>
      <c r="C7" s="60">
        <f>Contribution_New!C31:H31</f>
        <v>28824015.76</v>
      </c>
      <c r="D7" s="60">
        <f>Contribution_New!D31:I31</f>
        <v>33317137.16</v>
      </c>
      <c r="E7" s="60">
        <f>Contribution_New!E31:J31</f>
        <v>37314306.92</v>
      </c>
      <c r="F7" s="60">
        <f>Contribution_New!F31:K31</f>
        <v>42128966.52</v>
      </c>
      <c r="G7" s="60">
        <f>Contribution_New!G31:L31</f>
        <v>47940211.64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47" t="s">
        <v>276</v>
      </c>
      <c r="B8" s="59">
        <f>Contribution_New!B62</f>
        <v>9441537.66</v>
      </c>
      <c r="C8" s="59">
        <f>Contribution_New!C62</f>
        <v>10529905.38</v>
      </c>
      <c r="D8" s="59">
        <f>Contribution_New!D62</f>
        <v>11993776.4</v>
      </c>
      <c r="E8" s="59">
        <f>Contribution_New!E62</f>
        <v>13812644.82</v>
      </c>
      <c r="F8" s="59">
        <f>Contribution_New!F62</f>
        <v>15522108.52</v>
      </c>
      <c r="G8" s="59">
        <f>Contribution_New!G62</f>
        <v>17865073.37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7"/>
      <c r="B9" s="67"/>
      <c r="C9" s="67"/>
      <c r="D9" s="67"/>
      <c r="E9" s="67"/>
      <c r="F9" s="67"/>
      <c r="G9" s="7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98" t="s">
        <v>330</v>
      </c>
      <c r="B10" s="89">
        <f t="shared" ref="B10:G10" si="1">B7-B4</f>
        <v>2734679.21</v>
      </c>
      <c r="C10" s="89">
        <f t="shared" si="1"/>
        <v>2917577.655</v>
      </c>
      <c r="D10" s="89">
        <f t="shared" si="1"/>
        <v>3938891.865</v>
      </c>
      <c r="E10" s="89">
        <f t="shared" si="1"/>
        <v>4156406.39</v>
      </c>
      <c r="F10" s="89">
        <f t="shared" si="1"/>
        <v>4537931.875</v>
      </c>
      <c r="G10" s="89">
        <f t="shared" si="1"/>
        <v>5304913.285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98" t="s">
        <v>331</v>
      </c>
      <c r="B11" s="61">
        <f t="shared" ref="B11:G11" si="2">B8-B5</f>
        <v>220598.136</v>
      </c>
      <c r="C11" s="61">
        <f t="shared" si="2"/>
        <v>103221.42</v>
      </c>
      <c r="D11" s="61">
        <f t="shared" si="2"/>
        <v>142503.648</v>
      </c>
      <c r="E11" s="61">
        <f t="shared" si="2"/>
        <v>269194.044</v>
      </c>
      <c r="F11" s="61">
        <f t="shared" si="2"/>
        <v>16674.468</v>
      </c>
      <c r="G11" s="61">
        <f t="shared" si="2"/>
        <v>115051.656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7"/>
      <c r="B12" s="60"/>
      <c r="C12" s="60"/>
      <c r="D12" s="60"/>
      <c r="E12" s="60"/>
      <c r="F12" s="60"/>
      <c r="G12" s="75"/>
      <c r="H12" s="99"/>
      <c r="I12" s="59"/>
      <c r="J12" s="59"/>
      <c r="K12" s="59"/>
      <c r="L12" s="59"/>
      <c r="M12" s="59"/>
      <c r="N12" s="59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7" t="s">
        <v>332</v>
      </c>
      <c r="B13" s="60">
        <v>85725.0</v>
      </c>
      <c r="C13" s="60">
        <v>94297.50000000001</v>
      </c>
      <c r="D13" s="60">
        <v>103727.25000000003</v>
      </c>
      <c r="E13" s="60">
        <v>114099.97500000003</v>
      </c>
      <c r="F13" s="60">
        <v>125509.97250000005</v>
      </c>
      <c r="G13" s="75">
        <v>138060.96975000008</v>
      </c>
      <c r="H13" s="35"/>
      <c r="I13" s="59"/>
      <c r="J13" s="59"/>
      <c r="K13" s="59"/>
      <c r="L13" s="59"/>
      <c r="M13" s="59"/>
      <c r="N13" s="5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7" t="s">
        <v>304</v>
      </c>
      <c r="B14" s="60">
        <v>1200000.0</v>
      </c>
      <c r="C14" s="60">
        <v>1344000.0000000002</v>
      </c>
      <c r="D14" s="60">
        <v>1505280.0000000005</v>
      </c>
      <c r="E14" s="60">
        <v>1685913.6000000008</v>
      </c>
      <c r="F14" s="60">
        <v>1888223.232000001</v>
      </c>
      <c r="G14" s="75">
        <v>2114810.019840001</v>
      </c>
      <c r="H14" s="35"/>
      <c r="I14" s="59"/>
      <c r="J14" s="59"/>
      <c r="K14" s="59"/>
      <c r="L14" s="59"/>
      <c r="M14" s="59"/>
      <c r="N14" s="59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7"/>
      <c r="B15" s="60"/>
      <c r="C15" s="60"/>
      <c r="D15" s="60"/>
      <c r="E15" s="60"/>
      <c r="F15" s="60"/>
      <c r="G15" s="75"/>
      <c r="H15" s="35"/>
      <c r="I15" s="59"/>
      <c r="J15" s="59"/>
      <c r="K15" s="59"/>
      <c r="L15" s="59"/>
      <c r="M15" s="59"/>
      <c r="N15" s="59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7" t="s">
        <v>333</v>
      </c>
      <c r="B16" s="60"/>
      <c r="C16" s="60"/>
      <c r="D16" s="60"/>
      <c r="E16" s="60"/>
      <c r="F16" s="60"/>
      <c r="G16" s="75"/>
      <c r="H16" s="35"/>
      <c r="I16" s="59"/>
      <c r="J16" s="59"/>
      <c r="K16" s="59"/>
      <c r="L16" s="59"/>
      <c r="M16" s="59"/>
      <c r="N16" s="59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43" t="s">
        <v>334</v>
      </c>
      <c r="B17" s="59">
        <f>Assumption!$B$41</f>
        <v>10000000</v>
      </c>
      <c r="C17" s="82">
        <v>0.0</v>
      </c>
      <c r="D17" s="82">
        <v>0.0</v>
      </c>
      <c r="E17" s="82">
        <v>0.0</v>
      </c>
      <c r="F17" s="82">
        <v>0.0</v>
      </c>
      <c r="G17" s="82">
        <v>0.0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5" t="s">
        <v>335</v>
      </c>
      <c r="B18" s="59">
        <f>Assumption!$B$42</f>
        <v>100000</v>
      </c>
      <c r="C18" s="82">
        <v>0.0</v>
      </c>
      <c r="D18" s="82">
        <v>0.0</v>
      </c>
      <c r="E18" s="82">
        <v>0.0</v>
      </c>
      <c r="F18" s="82">
        <v>0.0</v>
      </c>
      <c r="G18" s="82">
        <v>0.0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93" t="s">
        <v>336</v>
      </c>
      <c r="B19" s="75">
        <f t="shared" ref="B19:G19" si="3">B14-B13</f>
        <v>1114275</v>
      </c>
      <c r="C19" s="75">
        <f t="shared" si="3"/>
        <v>1249702.5</v>
      </c>
      <c r="D19" s="75">
        <f t="shared" si="3"/>
        <v>1401552.75</v>
      </c>
      <c r="E19" s="75">
        <f t="shared" si="3"/>
        <v>1571813.625</v>
      </c>
      <c r="F19" s="75">
        <f t="shared" si="3"/>
        <v>1762713.26</v>
      </c>
      <c r="G19" s="75">
        <f t="shared" si="3"/>
        <v>1976749.05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7" t="s">
        <v>263</v>
      </c>
      <c r="B20" s="67">
        <f t="shared" ref="B20:G20" si="4">sum(B17:B19)</f>
        <v>11214275</v>
      </c>
      <c r="C20" s="67">
        <f t="shared" si="4"/>
        <v>1249702.5</v>
      </c>
      <c r="D20" s="67">
        <f t="shared" si="4"/>
        <v>1401552.75</v>
      </c>
      <c r="E20" s="67">
        <f t="shared" si="4"/>
        <v>1571813.625</v>
      </c>
      <c r="F20" s="67">
        <f t="shared" si="4"/>
        <v>1762713.26</v>
      </c>
      <c r="G20" s="67">
        <f t="shared" si="4"/>
        <v>1976749.05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43"/>
      <c r="B21" s="60"/>
      <c r="C21" s="60"/>
      <c r="D21" s="60"/>
      <c r="E21" s="60"/>
      <c r="F21" s="60"/>
      <c r="G21" s="7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7" t="s">
        <v>337</v>
      </c>
      <c r="B22" s="100">
        <f t="shared" ref="B22:G22" si="5">sum(B10:B11)-B20</f>
        <v>-8258997.654</v>
      </c>
      <c r="C22" s="100">
        <f t="shared" si="5"/>
        <v>1771096.575</v>
      </c>
      <c r="D22" s="100">
        <f t="shared" si="5"/>
        <v>2679842.763</v>
      </c>
      <c r="E22" s="100">
        <f t="shared" si="5"/>
        <v>2853786.809</v>
      </c>
      <c r="F22" s="100">
        <f t="shared" si="5"/>
        <v>2791893.084</v>
      </c>
      <c r="G22" s="100">
        <f t="shared" si="5"/>
        <v>3443215.891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0"/>
    <col customWidth="1" min="2" max="2" width="12.88"/>
    <col customWidth="1" min="3" max="3" width="15.75"/>
    <col customWidth="1" min="6" max="6" width="14.75"/>
    <col customWidth="1" min="8" max="8" width="15.25"/>
    <col customWidth="1" min="9" max="9" width="13.38"/>
    <col customWidth="1" min="10" max="10" width="13.88"/>
    <col customWidth="1" min="11" max="11" width="12.25"/>
  </cols>
  <sheetData>
    <row r="1">
      <c r="A1" s="101" t="s">
        <v>338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02" t="str">
        <f>if(or($G$2="North",$G$2="South",$G$2="West",$G$2="East"),"Region:",if($G$2="Overall","Consolidated:","City:"))</f>
        <v>Region:</v>
      </c>
      <c r="G2" s="103" t="s">
        <v>3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02" t="s">
        <v>339</v>
      </c>
      <c r="G3" s="104" t="s">
        <v>276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51"/>
      <c r="F54" s="51"/>
      <c r="G54" s="51"/>
      <c r="H54" s="51"/>
      <c r="I54" s="5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51"/>
      <c r="F55" s="51"/>
      <c r="G55" s="51"/>
      <c r="H55" s="51"/>
      <c r="I55" s="5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51"/>
      <c r="F56" s="51"/>
      <c r="G56" s="51"/>
      <c r="H56" s="51"/>
      <c r="I56" s="5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05"/>
      <c r="B57" s="106"/>
      <c r="C57" s="107"/>
      <c r="D57" s="15"/>
      <c r="E57" s="51"/>
      <c r="F57" s="108"/>
      <c r="G57" s="108"/>
      <c r="H57" s="109"/>
      <c r="I57" s="5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10" t="s">
        <v>340</v>
      </c>
      <c r="B58" s="111"/>
      <c r="C58" s="112" t="str">
        <f>$G$2</f>
        <v>West</v>
      </c>
      <c r="D58" s="15"/>
      <c r="E58" s="51"/>
      <c r="F58" s="108"/>
      <c r="G58" s="108"/>
      <c r="H58" s="55"/>
      <c r="I58" s="51"/>
      <c r="J58" s="51"/>
      <c r="K58" s="51"/>
      <c r="L58" s="51"/>
      <c r="M58" s="51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13"/>
      <c r="B59" s="114"/>
      <c r="C59" s="115" t="str">
        <f>$G$3</f>
        <v>NutriKid</v>
      </c>
      <c r="D59" s="15"/>
      <c r="E59" s="51"/>
      <c r="F59" s="108"/>
      <c r="G59" s="108"/>
      <c r="H59" s="55"/>
      <c r="I59" s="51"/>
      <c r="J59" s="51"/>
      <c r="K59" s="116"/>
      <c r="L59" s="116"/>
      <c r="M59" s="51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17" t="s">
        <v>33</v>
      </c>
      <c r="B60" s="118" t="s">
        <v>258</v>
      </c>
      <c r="C60" s="117" t="s">
        <v>259</v>
      </c>
      <c r="D60" s="15"/>
      <c r="E60" s="51"/>
      <c r="F60" s="55"/>
      <c r="G60" s="66"/>
      <c r="H60" s="55"/>
      <c r="I60" s="51"/>
      <c r="J60" s="119"/>
      <c r="K60" s="119"/>
      <c r="L60" s="109"/>
      <c r="M60" s="51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20" t="s">
        <v>308</v>
      </c>
      <c r="B61" s="121">
        <f>if(and($C$58="West",$C$59="Both"),sumifs(Sales_Data!K$2:K$193,Sales_Data!$O$2:$O$193,"West",Sales_Data!$H$2:$H$193,$A61),if(and($C$58="West",$C$59&lt;&gt;"Both"),sumifs(Sales_Data!K$2:K$193,Sales_Data!$O$2:$O$193,"West",Sales_Data!$H$2:$H$193,$A61,Sales_Data!$J$2:$J$193,$C$59),if(and($C$58="East",$C$59="Both"),sumifs(Sales_Data!K$2:K$193,Sales_Data!$O$2:$O$193,"East",Sales_Data!$H$2:$H$193,$A61),if(and($C$58="East",$C$59&lt;&gt;"Both"),sumifs(Sales_Data!K$2:K$193,Sales_Data!$O$2:$O$193,"East",Sales_Data!$H$2:$H$193,$A61,Sales_Data!$J$2:$J$193,$C$59),if(and($C$58="South",$C$59="Both"),sumifs(Sales_Data!K$2:K$193,Sales_Data!$O$2:$O$193,"South",Sales_Data!$H$2:$H$193,$A61),if(and($C$58="South",$C$59&lt;&gt;"Both"),sumifs(Sales_Data!K$2:K$193,Sales_Data!$O$2:$O$193,"South",Sales_Data!$H$2:$H$193,$A61,Sales_Data!$J$2:$J$193,$C$59),if(and($C$58="North",$C$59="Both"),sumifs(Sales_Data!K$2:K$193,Sales_Data!$O$2:$O$193,"North",Sales_Data!$H$2:$H$193,$A61),if(and($C$58="North",$C$59&lt;&gt;"Both"),sumifs(Sales_Data!K$2:K$193,Sales_Data!$O$2:$O$193,"North",Sales_Data!$H$2:$H$193,$A61,Sales_Data!$J$2:$J$193,$C$59),IF($C$59&lt;&gt;"Both",if($C$58&lt;&gt;"Overall",sumifs(Sales_Data!K$2:K$193,Sales_Data!$H$2:$H$193,$A61,Sales_Data!$I$2:$I$193,$C$58,Sales_Data!$J$2:$J$193,$C$59),sumifs(Sales_Data!K$2:K$193,Sales_Data!$H$2:$H$193,$A61,Sales_Data!$J$2:$J$193,$C$59)),if($C$58&lt;&gt;"Overall",sumifs(Sales_Data!K$2:K$193,Sales_Data!$H$2:$H$193,$A61,Sales_Data!$I$2:$I$193,$C$58),sumifs(Sales_Data!K$2:K$193,Sales_Data!$H$2:$H$193,$A61)))))))))))</f>
        <v>56499</v>
      </c>
      <c r="C61" s="121">
        <f>if(and($C$58="North",$C$59="Both"),sumifs(Sales_Data!L$2:L$193,Sales_Data!$H$2:$H$193,$A61,Sales_Data!$O$2:$O$193,"North"),if(and($C$58="North",$C$59&lt;&gt;"Both"),sumifs(Sales_Data!L$2:L$193,Sales_Data!$H$2:$H$193,$A61,Sales_Data!$O$2:$O$193,"North",Sales_Data!$J$2:$J$193,$C$59),if(and($C$58="South",$C$59="Both"),sumifs(Sales_Data!L$2:L$193,Sales_Data!$H$2:$H$193,$A61,Sales_Data!$O$2:$O$193,"South"),if(and($C$58="South",$C$59&lt;&gt;"Both"),sumifs(Sales_Data!L$2:L$193,Sales_Data!$H$2:$H$193,$A61,Sales_Data!$O$2:$O$193,"South",Sales_Data!$J$2:$J$193,$C$59),if(and($C$58="West",$C$59="Both"),sumifs(Sales_Data!L$2:L$193,Sales_Data!$H$2:$H$193,$A61,Sales_Data!$O$2:$O$193,"West"),if(and($C$58="West",$C$59&lt;&gt;"Both"),sumifs(Sales_Data!L$2:L$193,Sales_Data!$H$2:$H$193,$A61,Sales_Data!$O$2:$O$193,"West",Sales_Data!$J$2:$J$193,$C$59),if(and($C$58="East",$C$59="Both"),sumifs(Sales_Data!L$2:L$193,Sales_Data!$H$2:$H$193,$A61,Sales_Data!$O$2:$O$193,"East"),if(and($C$58="East",$C$59&lt;&gt;"Both"),sumifs(Sales_Data!L$2:L$193,Sales_Data!$H$2:$H$193,$A61,Sales_Data!$O$2:$O$193,"East",Sales_Data!$J$2:$J$193,$C$59), IF($C$59&lt;&gt;"Both",if($C$58&lt;&gt;"Overall",sumifs(Sales_Data!L$2:L$193,Sales_Data!$H$2:$H$193,$A61,Sales_Data!$I$2:$I$193,$C$58,Sales_Data!$J$2:$J$193,$C$59),sumifs(Sales_Data!L$2:L$193,Sales_Data!$H$2:$H$193,$A61,Sales_Data!$J$2:$J$193,$C$59)),if($C$58&lt;&gt;"Overall",sumifs(Sales_Data!L$2:L$193,Sales_Data!$H$2:$H$193,$A61,Sales_Data!$I$2:$I$193,$C$58),sumifs(Sales_Data!L$2:L$193,Sales_Data!$H$2:$H$193,$A61)))))))))))</f>
        <v>65992</v>
      </c>
      <c r="D61" s="15"/>
      <c r="E61" s="51"/>
      <c r="F61" s="122"/>
      <c r="G61" s="68"/>
      <c r="H61" s="68"/>
      <c r="I61" s="51"/>
      <c r="J61" s="119"/>
      <c r="K61" s="119"/>
      <c r="L61" s="123"/>
      <c r="M61" s="51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20" t="s">
        <v>267</v>
      </c>
      <c r="B62" s="121">
        <f>if(and($C$58="West",$C$59="Both"),sumifs(Sales_Data!K$2:K$193,Sales_Data!$O$2:$O$193,"West",Sales_Data!$H$2:$H$193,$A62),if(and($C$58="West",$C$59&lt;&gt;"Both"),sumifs(Sales_Data!K$2:K$193,Sales_Data!$O$2:$O$193,"West",Sales_Data!$H$2:$H$193,$A62,Sales_Data!$J$2:$J$193,$C$59),if(and($C$58="East",$C$59="Both"),sumifs(Sales_Data!K$2:K$193,Sales_Data!$O$2:$O$193,"East",Sales_Data!$H$2:$H$193,$A62),if(and($C$58="East",$C$59&lt;&gt;"Both"),sumifs(Sales_Data!K$2:K$193,Sales_Data!$O$2:$O$193,"East",Sales_Data!$H$2:$H$193,$A62,Sales_Data!$J$2:$J$193,$C$59),if(and($C$58="South",$C$59="Both"),sumifs(Sales_Data!K$2:K$193,Sales_Data!$O$2:$O$193,"South",Sales_Data!$H$2:$H$193,$A62),if(and($C$58="South",$C$59&lt;&gt;"Both"),sumifs(Sales_Data!K$2:K$193,Sales_Data!$O$2:$O$193,"South",Sales_Data!$H$2:$H$193,$A62,Sales_Data!$J$2:$J$193,$C$59),if(and($C$58="North",$C$59="Both"),sumifs(Sales_Data!K$2:K$193,Sales_Data!$O$2:$O$193,"North",Sales_Data!$H$2:$H$193,$A62),if(and($C$58="North",$C$59&lt;&gt;"Both"),sumifs(Sales_Data!K$2:K$193,Sales_Data!$O$2:$O$193,"North",Sales_Data!$H$2:$H$193,$A62,Sales_Data!$J$2:$J$193,$C$59),IF($C$59&lt;&gt;"Both",if($C$58&lt;&gt;"Overall",sumifs(Sales_Data!K$2:K$193,Sales_Data!$H$2:$H$193,$A62,Sales_Data!$I$2:$I$193,$C$58,Sales_Data!$J$2:$J$193,$C$59),sumifs(Sales_Data!K$2:K$193,Sales_Data!$H$2:$H$193,$A62,Sales_Data!$J$2:$J$193,$C$59)),if($C$58&lt;&gt;"Overall",sumifs(Sales_Data!K$2:K$193,Sales_Data!$H$2:$H$193,$A62,Sales_Data!$I$2:$I$193,$C$58),sumifs(Sales_Data!K$2:K$193,Sales_Data!$H$2:$H$193,$A62)))))))))))</f>
        <v>65882</v>
      </c>
      <c r="C62" s="121">
        <f>if(and($C$58="North",$C$59="Both"),sumifs(Sales_Data!L$2:L$193,Sales_Data!$H$2:$H$193,$A62,Sales_Data!$O$2:$O$193,"North"),if(and($C$58="North",$C$59&lt;&gt;"Both"),sumifs(Sales_Data!L$2:L$193,Sales_Data!$H$2:$H$193,$A62,Sales_Data!$O$2:$O$193,"North",Sales_Data!$J$2:$J$193,$C$59),if(and($C$58="South",$C$59="Both"),sumifs(Sales_Data!L$2:L$193,Sales_Data!$H$2:$H$193,$A62,Sales_Data!$O$2:$O$193,"South"),if(and($C$58="South",$C$59&lt;&gt;"Both"),sumifs(Sales_Data!L$2:L$193,Sales_Data!$H$2:$H$193,$A62,Sales_Data!$O$2:$O$193,"South",Sales_Data!$J$2:$J$193,$C$59),if(and($C$58="West",$C$59="Both"),sumifs(Sales_Data!L$2:L$193,Sales_Data!$H$2:$H$193,$A62,Sales_Data!$O$2:$O$193,"West"),if(and($C$58="West",$C$59&lt;&gt;"Both"),sumifs(Sales_Data!L$2:L$193,Sales_Data!$H$2:$H$193,$A62,Sales_Data!$O$2:$O$193,"West",Sales_Data!$J$2:$J$193,$C$59),if(and($C$58="East",$C$59="Both"),sumifs(Sales_Data!L$2:L$193,Sales_Data!$H$2:$H$193,$A62,Sales_Data!$O$2:$O$193,"East"),if(and($C$58="East",$C$59&lt;&gt;"Both"),sumifs(Sales_Data!L$2:L$193,Sales_Data!$H$2:$H$193,$A62,Sales_Data!$O$2:$O$193,"East",Sales_Data!$J$2:$J$193,$C$59),IF($C$59&lt;&gt;"Both",if($C$58&lt;&gt;"Overall",sumifs(Sales_Data!L$2:L$193,Sales_Data!$H$2:$H$193,$A62,Sales_Data!$I$2:$I$193,$C$58,Sales_Data!$J$2:$J$193,$C$59),sumifs(Sales_Data!L$2:L$193,Sales_Data!$H$2:$H$193,$A62,Sales_Data!$J$2:$J$193,$C$59)),if($C$58&lt;&gt;"Overall",sumifs(Sales_Data!L$2:L$193,Sales_Data!$H$2:$H$193,$A62,Sales_Data!$I$2:$I$193,$C$58),sumifs(Sales_Data!L$2:L$193,Sales_Data!$H$2:$H$193,$A62)))))))))))</f>
        <v>76516</v>
      </c>
      <c r="D62" s="15"/>
      <c r="E62" s="51"/>
      <c r="F62" s="122"/>
      <c r="G62" s="68"/>
      <c r="H62" s="68"/>
      <c r="I62" s="51"/>
      <c r="J62" s="55"/>
      <c r="K62" s="124"/>
      <c r="L62" s="109"/>
      <c r="M62" s="51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0" t="s">
        <v>268</v>
      </c>
      <c r="B63" s="121">
        <f>if(and($C$58="West",$C$59="Both"),sumifs(Sales_Data!K$2:K$193,Sales_Data!$O$2:$O$193,"West",Sales_Data!$H$2:$H$193,$A63),if(and($C$58="West",$C$59&lt;&gt;"Both"),sumifs(Sales_Data!K$2:K$193,Sales_Data!$O$2:$O$193,"West",Sales_Data!$H$2:$H$193,$A63,Sales_Data!$J$2:$J$193,$C$59),if(and($C$58="East",$C$59="Both"),sumifs(Sales_Data!K$2:K$193,Sales_Data!$O$2:$O$193,"East",Sales_Data!$H$2:$H$193,$A63),if(and($C$58="East",$C$59&lt;&gt;"Both"),sumifs(Sales_Data!K$2:K$193,Sales_Data!$O$2:$O$193,"East",Sales_Data!$H$2:$H$193,$A63,Sales_Data!$J$2:$J$193,$C$59),if(and($C$58="South",$C$59="Both"),sumifs(Sales_Data!K$2:K$193,Sales_Data!$O$2:$O$193,"South",Sales_Data!$H$2:$H$193,$A63),if(and($C$58="South",$C$59&lt;&gt;"Both"),sumifs(Sales_Data!K$2:K$193,Sales_Data!$O$2:$O$193,"South",Sales_Data!$H$2:$H$193,$A63,Sales_Data!$J$2:$J$193,$C$59),if(and($C$58="North",$C$59="Both"),sumifs(Sales_Data!K$2:K$193,Sales_Data!$O$2:$O$193,"North",Sales_Data!$H$2:$H$193,$A63),if(and($C$58="North",$C$59&lt;&gt;"Both"),sumifs(Sales_Data!K$2:K$193,Sales_Data!$O$2:$O$193,"North",Sales_Data!$H$2:$H$193,$A63,Sales_Data!$J$2:$J$193,$C$59),IF($C$59&lt;&gt;"Both",if($C$58&lt;&gt;"Overall",sumifs(Sales_Data!K$2:K$193,Sales_Data!$H$2:$H$193,$A63,Sales_Data!$I$2:$I$193,$C$58,Sales_Data!$J$2:$J$193,$C$59),sumifs(Sales_Data!K$2:K$193,Sales_Data!$H$2:$H$193,$A63,Sales_Data!$J$2:$J$193,$C$59)),if($C$58&lt;&gt;"Overall",sumifs(Sales_Data!K$2:K$193,Sales_Data!$H$2:$H$193,$A63,Sales_Data!$I$2:$I$193,$C$58),sumifs(Sales_Data!K$2:K$193,Sales_Data!$H$2:$H$193,$A63)))))))))))</f>
        <v>76973</v>
      </c>
      <c r="C63" s="121">
        <f>if(and($C$58="North",$C$59="Both"),sumifs(Sales_Data!L$2:L$193,Sales_Data!$H$2:$H$193,$A63,Sales_Data!$O$2:$O$193,"North"),if(and($C$58="North",$C$59&lt;&gt;"Both"),sumifs(Sales_Data!L$2:L$193,Sales_Data!$H$2:$H$193,$A63,Sales_Data!$O$2:$O$193,"North",Sales_Data!$J$2:$J$193,$C$59),if(and($C$58="South",$C$59="Both"),sumifs(Sales_Data!L$2:L$193,Sales_Data!$H$2:$H$193,$A63,Sales_Data!$O$2:$O$193,"South"),if(and($C$58="South",$C$59&lt;&gt;"Both"),sumifs(Sales_Data!L$2:L$193,Sales_Data!$H$2:$H$193,$A63,Sales_Data!$O$2:$O$193,"South",Sales_Data!$J$2:$J$193,$C$59),if(and($C$58="West",$C$59="Both"),sumifs(Sales_Data!L$2:L$193,Sales_Data!$H$2:$H$193,$A63,Sales_Data!$O$2:$O$193,"West"),if(and($C$58="West",$C$59&lt;&gt;"Both"),sumifs(Sales_Data!L$2:L$193,Sales_Data!$H$2:$H$193,$A63,Sales_Data!$O$2:$O$193,"West",Sales_Data!$J$2:$J$193,$C$59),if(and($C$58="East",$C$59="Both"),sumifs(Sales_Data!L$2:L$193,Sales_Data!$H$2:$H$193,$A63,Sales_Data!$O$2:$O$193,"East"),if(and($C$58="East",$C$59&lt;&gt;"Both"),sumifs(Sales_Data!L$2:L$193,Sales_Data!$H$2:$H$193,$A63,Sales_Data!$O$2:$O$193,"East",Sales_Data!$J$2:$J$193,$C$59),IF($C$59&lt;&gt;"Both",if($C$58&lt;&gt;"Overall",sumifs(Sales_Data!L$2:L$193,Sales_Data!$H$2:$H$193,$A63,Sales_Data!$I$2:$I$193,$C$58,Sales_Data!$J$2:$J$193,$C$59),sumifs(Sales_Data!L$2:L$193,Sales_Data!$H$2:$H$193,$A63,Sales_Data!$J$2:$J$193,$C$59)),if($C$58&lt;&gt;"Overall",sumifs(Sales_Data!L$2:L$193,Sales_Data!$H$2:$H$193,$A63,Sales_Data!$I$2:$I$193,$C$58),sumifs(Sales_Data!L$2:L$193,Sales_Data!$H$2:$H$193,$A63)))))))))))</f>
        <v>86799</v>
      </c>
      <c r="D63" s="15"/>
      <c r="E63" s="51"/>
      <c r="F63" s="50"/>
      <c r="G63" s="68"/>
      <c r="H63" s="68"/>
      <c r="I63" s="51"/>
      <c r="J63" s="125"/>
      <c r="K63" s="68"/>
      <c r="L63" s="68"/>
      <c r="M63" s="51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0" t="s">
        <v>269</v>
      </c>
      <c r="B64" s="121">
        <f>if(and($C$58="West",$C$59="Both"),sumifs(Sales_Data!K$2:K$193,Sales_Data!$O$2:$O$193,"West",Sales_Data!$H$2:$H$193,$A64),if(and($C$58="West",$C$59&lt;&gt;"Both"),sumifs(Sales_Data!K$2:K$193,Sales_Data!$O$2:$O$193,"West",Sales_Data!$H$2:$H$193,$A64,Sales_Data!$J$2:$J$193,$C$59),if(and($C$58="East",$C$59="Both"),sumifs(Sales_Data!K$2:K$193,Sales_Data!$O$2:$O$193,"East",Sales_Data!$H$2:$H$193,$A64),if(and($C$58="East",$C$59&lt;&gt;"Both"),sumifs(Sales_Data!K$2:K$193,Sales_Data!$O$2:$O$193,"East",Sales_Data!$H$2:$H$193,$A64,Sales_Data!$J$2:$J$193,$C$59),if(and($C$58="South",$C$59="Both"),sumifs(Sales_Data!K$2:K$193,Sales_Data!$O$2:$O$193,"South",Sales_Data!$H$2:$H$193,$A64),if(and($C$58="South",$C$59&lt;&gt;"Both"),sumifs(Sales_Data!K$2:K$193,Sales_Data!$O$2:$O$193,"South",Sales_Data!$H$2:$H$193,$A64,Sales_Data!$J$2:$J$193,$C$59),if(and($C$58="North",$C$59="Both"),sumifs(Sales_Data!K$2:K$193,Sales_Data!$O$2:$O$193,"North",Sales_Data!$H$2:$H$193,$A64),if(and($C$58="North",$C$59&lt;&gt;"Both"),sumifs(Sales_Data!K$2:K$193,Sales_Data!$O$2:$O$193,"North",Sales_Data!$H$2:$H$193,$A64,Sales_Data!$J$2:$J$193,$C$59),IF($C$59&lt;&gt;"Both",if($C$58&lt;&gt;"Overall",sumifs(Sales_Data!K$2:K$193,Sales_Data!$H$2:$H$193,$A64,Sales_Data!$I$2:$I$193,$C$58,Sales_Data!$J$2:$J$193,$C$59),sumifs(Sales_Data!K$2:K$193,Sales_Data!$H$2:$H$193,$A64,Sales_Data!$J$2:$J$193,$C$59)),if($C$58&lt;&gt;"Overall",sumifs(Sales_Data!K$2:K$193,Sales_Data!$H$2:$H$193,$A64,Sales_Data!$I$2:$I$193,$C$58),sumifs(Sales_Data!K$2:K$193,Sales_Data!$H$2:$H$193,$A64)))))))))))</f>
        <v>90265</v>
      </c>
      <c r="C64" s="121">
        <f>if(and($C$58="North",$C$59="Both"),sumifs(Sales_Data!L$2:L$193,Sales_Data!$H$2:$H$193,$A64,Sales_Data!$O$2:$O$193,"North"),if(and($C$58="North",$C$59&lt;&gt;"Both"),sumifs(Sales_Data!L$2:L$193,Sales_Data!$H$2:$H$193,$A64,Sales_Data!$O$2:$O$193,"North",Sales_Data!$J$2:$J$193,$C$59),if(and($C$58="South",$C$59="Both"),sumifs(Sales_Data!L$2:L$193,Sales_Data!$H$2:$H$193,$A64,Sales_Data!$O$2:$O$193,"South"),if(and($C$58="South",$C$59&lt;&gt;"Both"),sumifs(Sales_Data!L$2:L$193,Sales_Data!$H$2:$H$193,$A64,Sales_Data!$O$2:$O$193,"South",Sales_Data!$J$2:$J$193,$C$59),if(and($C$58="West",$C$59="Both"),sumifs(Sales_Data!L$2:L$193,Sales_Data!$H$2:$H$193,$A64,Sales_Data!$O$2:$O$193,"West"),if(and($C$58="West",$C$59&lt;&gt;"Both"),sumifs(Sales_Data!L$2:L$193,Sales_Data!$H$2:$H$193,$A64,Sales_Data!$O$2:$O$193,"West",Sales_Data!$J$2:$J$193,$C$59),if(and($C$58="East",$C$59="Both"),sumifs(Sales_Data!L$2:L$193,Sales_Data!$H$2:$H$193,$A64,Sales_Data!$O$2:$O$193,"East"),if(and($C$58="East",$C$59&lt;&gt;"Both"),sumifs(Sales_Data!L$2:L$193,Sales_Data!$H$2:$H$193,$A64,Sales_Data!$O$2:$O$193,"East",Sales_Data!$J$2:$J$193,$C$59),IF($C$59&lt;&gt;"Both",if($C$58&lt;&gt;"Overall",sumifs(Sales_Data!L$2:L$193,Sales_Data!$H$2:$H$193,$A64,Sales_Data!$I$2:$I$193,$C$58,Sales_Data!$J$2:$J$193,$C$59),sumifs(Sales_Data!L$2:L$193,Sales_Data!$H$2:$H$193,$A64,Sales_Data!$J$2:$J$193,$C$59)),if($C$58&lt;&gt;"Overall",sumifs(Sales_Data!L$2:L$193,Sales_Data!$H$2:$H$193,$A64,Sales_Data!$I$2:$I$193,$C$58),sumifs(Sales_Data!L$2:L$193,Sales_Data!$H$2:$H$193,$A64)))))))))))</f>
        <v>101420</v>
      </c>
      <c r="D64" s="15"/>
      <c r="E64" s="51"/>
      <c r="F64" s="50"/>
      <c r="G64" s="68"/>
      <c r="H64" s="68"/>
      <c r="I64" s="51"/>
      <c r="J64" s="125"/>
      <c r="K64" s="68"/>
      <c r="L64" s="68"/>
      <c r="M64" s="51"/>
      <c r="N64" s="51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0" t="s">
        <v>270</v>
      </c>
      <c r="B65" s="121">
        <f>if(and($C$58="West",$C$59="Both"),sumifs(Sales_Data!K$2:K$193,Sales_Data!$O$2:$O$193,"West",Sales_Data!$H$2:$H$193,$A65),if(and($C$58="West",$C$59&lt;&gt;"Both"),sumifs(Sales_Data!K$2:K$193,Sales_Data!$O$2:$O$193,"West",Sales_Data!$H$2:$H$193,$A65,Sales_Data!$J$2:$J$193,$C$59),if(and($C$58="East",$C$59="Both"),sumifs(Sales_Data!K$2:K$193,Sales_Data!$O$2:$O$193,"East",Sales_Data!$H$2:$H$193,$A65),if(and($C$58="East",$C$59&lt;&gt;"Both"),sumifs(Sales_Data!K$2:K$193,Sales_Data!$O$2:$O$193,"East",Sales_Data!$H$2:$H$193,$A65,Sales_Data!$J$2:$J$193,$C$59),if(and($C$58="South",$C$59="Both"),sumifs(Sales_Data!K$2:K$193,Sales_Data!$O$2:$O$193,"South",Sales_Data!$H$2:$H$193,$A65),if(and($C$58="South",$C$59&lt;&gt;"Both"),sumifs(Sales_Data!K$2:K$193,Sales_Data!$O$2:$O$193,"South",Sales_Data!$H$2:$H$193,$A65,Sales_Data!$J$2:$J$193,$C$59),if(and($C$58="North",$C$59="Both"),sumifs(Sales_Data!K$2:K$193,Sales_Data!$O$2:$O$193,"North",Sales_Data!$H$2:$H$193,$A65),if(and($C$58="North",$C$59&lt;&gt;"Both"),sumifs(Sales_Data!K$2:K$193,Sales_Data!$O$2:$O$193,"North",Sales_Data!$H$2:$H$193,$A65,Sales_Data!$J$2:$J$193,$C$59),IF($C$59&lt;&gt;"Both",if($C$58&lt;&gt;"Overall",sumifs(Sales_Data!K$2:K$193,Sales_Data!$H$2:$H$193,$A65,Sales_Data!$I$2:$I$193,$C$58,Sales_Data!$J$2:$J$193,$C$59),sumifs(Sales_Data!K$2:K$193,Sales_Data!$H$2:$H$193,$A65,Sales_Data!$J$2:$J$193,$C$59)),if($C$58&lt;&gt;"Overall",sumifs(Sales_Data!K$2:K$193,Sales_Data!$H$2:$H$193,$A65,Sales_Data!$I$2:$I$193,$C$58),sumifs(Sales_Data!K$2:K$193,Sales_Data!$H$2:$H$193,$A65)))))))))))</f>
        <v>105529</v>
      </c>
      <c r="C65" s="121">
        <f>if(and($C$58="North",$C$59="Both"),sumifs(Sales_Data!L$2:L$193,Sales_Data!$H$2:$H$193,$A65,Sales_Data!$O$2:$O$193,"North"),if(and($C$58="North",$C$59&lt;&gt;"Both"),sumifs(Sales_Data!L$2:L$193,Sales_Data!$H$2:$H$193,$A65,Sales_Data!$O$2:$O$193,"North",Sales_Data!$J$2:$J$193,$C$59),if(and($C$58="South",$C$59="Both"),sumifs(Sales_Data!L$2:L$193,Sales_Data!$H$2:$H$193,$A65,Sales_Data!$O$2:$O$193,"South"),if(and($C$58="South",$C$59&lt;&gt;"Both"),sumifs(Sales_Data!L$2:L$193,Sales_Data!$H$2:$H$193,$A65,Sales_Data!$O$2:$O$193,"South",Sales_Data!$J$2:$J$193,$C$59),if(and($C$58="West",$C$59="Both"),sumifs(Sales_Data!L$2:L$193,Sales_Data!$H$2:$H$193,$A65,Sales_Data!$O$2:$O$193,"West"),if(and($C$58="West",$C$59&lt;&gt;"Both"),sumifs(Sales_Data!L$2:L$193,Sales_Data!$H$2:$H$193,$A65,Sales_Data!$O$2:$O$193,"West",Sales_Data!$J$2:$J$193,$C$59),if(and($C$58="East",$C$59="Both"),sumifs(Sales_Data!L$2:L$193,Sales_Data!$H$2:$H$193,$A65,Sales_Data!$O$2:$O$193,"East"),if(and($C$58="East",$C$59&lt;&gt;"Both"),sumifs(Sales_Data!L$2:L$193,Sales_Data!$H$2:$H$193,$A65,Sales_Data!$O$2:$O$193,"East",Sales_Data!$J$2:$J$193,$C$59),IF($C$59&lt;&gt;"Both",if($C$58&lt;&gt;"Overall",sumifs(Sales_Data!L$2:L$193,Sales_Data!$H$2:$H$193,$A65,Sales_Data!$I$2:$I$193,$C$58,Sales_Data!$J$2:$J$193,$C$59),sumifs(Sales_Data!L$2:L$193,Sales_Data!$H$2:$H$193,$A65,Sales_Data!$J$2:$J$193,$C$59)),if($C$58&lt;&gt;"Overall",sumifs(Sales_Data!L$2:L$193,Sales_Data!$H$2:$H$193,$A65,Sales_Data!$I$2:$I$193,$C$58),sumifs(Sales_Data!L$2:L$193,Sales_Data!$H$2:$H$193,$A65)))))))))))</f>
        <v>121412</v>
      </c>
      <c r="D65" s="15"/>
      <c r="E65" s="51"/>
      <c r="F65" s="50"/>
      <c r="G65" s="68"/>
      <c r="H65" s="68"/>
      <c r="I65" s="51"/>
      <c r="J65" s="125"/>
      <c r="K65" s="68"/>
      <c r="L65" s="68"/>
      <c r="M65" s="51"/>
      <c r="N65" s="51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0" t="s">
        <v>271</v>
      </c>
      <c r="B66" s="121">
        <f>if(and($C$58="West",$C$59="Both"),sumifs(Sales_Data!K$2:K$193,Sales_Data!$O$2:$O$193,"West",Sales_Data!$H$2:$H$193,$A66),if(and($C$58="West",$C$59&lt;&gt;"Both"),sumifs(Sales_Data!K$2:K$193,Sales_Data!$O$2:$O$193,"West",Sales_Data!$H$2:$H$193,$A66,Sales_Data!$J$2:$J$193,$C$59),if(and($C$58="East",$C$59="Both"),sumifs(Sales_Data!K$2:K$193,Sales_Data!$O$2:$O$193,"East",Sales_Data!$H$2:$H$193,$A66),if(and($C$58="East",$C$59&lt;&gt;"Both"),sumifs(Sales_Data!K$2:K$193,Sales_Data!$O$2:$O$193,"East",Sales_Data!$H$2:$H$193,$A66,Sales_Data!$J$2:$J$193,$C$59),if(and($C$58="South",$C$59="Both"),sumifs(Sales_Data!K$2:K$193,Sales_Data!$O$2:$O$193,"South",Sales_Data!$H$2:$H$193,$A66),if(and($C$58="South",$C$59&lt;&gt;"Both"),sumifs(Sales_Data!K$2:K$193,Sales_Data!$O$2:$O$193,"South",Sales_Data!$H$2:$H$193,$A66,Sales_Data!$J$2:$J$193,$C$59),if(and($C$58="North",$C$59="Both"),sumifs(Sales_Data!K$2:K$193,Sales_Data!$O$2:$O$193,"North",Sales_Data!$H$2:$H$193,$A66),if(and($C$58="North",$C$59&lt;&gt;"Both"),sumifs(Sales_Data!K$2:K$193,Sales_Data!$O$2:$O$193,"North",Sales_Data!$H$2:$H$193,$A66,Sales_Data!$J$2:$J$193,$C$59),IF($C$59&lt;&gt;"Both",if($C$58&lt;&gt;"Overall",sumifs(Sales_Data!K$2:K$193,Sales_Data!$H$2:$H$193,$A66,Sales_Data!$I$2:$I$193,$C$58,Sales_Data!$J$2:$J$193,$C$59),sumifs(Sales_Data!K$2:K$193,Sales_Data!$H$2:$H$193,$A66,Sales_Data!$J$2:$J$193,$C$59)),if($C$58&lt;&gt;"Overall",sumifs(Sales_Data!K$2:K$193,Sales_Data!$H$2:$H$193,$A66,Sales_Data!$I$2:$I$193,$C$58),sumifs(Sales_Data!K$2:K$193,Sales_Data!$H$2:$H$193,$A66)))))))))))</f>
        <v>123432</v>
      </c>
      <c r="C66" s="121">
        <f>if(and($C$58="North",$C$59="Both"),sumifs(Sales_Data!L$2:L$193,Sales_Data!$H$2:$H$193,$A66,Sales_Data!$O$2:$O$193,"North"),if(and($C$58="North",$C$59&lt;&gt;"Both"),sumifs(Sales_Data!L$2:L$193,Sales_Data!$H$2:$H$193,$A66,Sales_Data!$O$2:$O$193,"North",Sales_Data!$J$2:$J$193,$C$59),if(and($C$58="South",$C$59="Both"),sumifs(Sales_Data!L$2:L$193,Sales_Data!$H$2:$H$193,$A66,Sales_Data!$O$2:$O$193,"South"),if(and($C$58="South",$C$59&lt;&gt;"Both"),sumifs(Sales_Data!L$2:L$193,Sales_Data!$H$2:$H$193,$A66,Sales_Data!$O$2:$O$193,"South",Sales_Data!$J$2:$J$193,$C$59),if(and($C$58="West",$C$59="Both"),sumifs(Sales_Data!L$2:L$193,Sales_Data!$H$2:$H$193,$A66,Sales_Data!$O$2:$O$193,"West"),if(and($C$58="West",$C$59&lt;&gt;"Both"),sumifs(Sales_Data!L$2:L$193,Sales_Data!$H$2:$H$193,$A66,Sales_Data!$O$2:$O$193,"West",Sales_Data!$J$2:$J$193,$C$59),if(and($C$58="East",$C$59="Both"),sumifs(Sales_Data!L$2:L$193,Sales_Data!$H$2:$H$193,$A66,Sales_Data!$O$2:$O$193,"East"),if(and($C$58="East",$C$59&lt;&gt;"Both"),sumifs(Sales_Data!L$2:L$193,Sales_Data!$H$2:$H$193,$A66,Sales_Data!$O$2:$O$193,"East",Sales_Data!$J$2:$J$193,$C$59),IF($C$59&lt;&gt;"Both",if($C$58&lt;&gt;"Overall",sumifs(Sales_Data!L$2:L$193,Sales_Data!$H$2:$H$193,$A66,Sales_Data!$I$2:$I$193,$C$58,Sales_Data!$J$2:$J$193,$C$59),sumifs(Sales_Data!L$2:L$193,Sales_Data!$H$2:$H$193,$A66,Sales_Data!$J$2:$J$193,$C$59)),if($C$58&lt;&gt;"Overall",sumifs(Sales_Data!L$2:L$193,Sales_Data!$H$2:$H$193,$A66,Sales_Data!$I$2:$I$193,$C$58),sumifs(Sales_Data!L$2:L$193,Sales_Data!$H$2:$H$193,$A66)))))))))))</f>
        <v>144895</v>
      </c>
      <c r="D66" s="15"/>
      <c r="E66" s="51"/>
      <c r="F66" s="50"/>
      <c r="G66" s="68"/>
      <c r="H66" s="68"/>
      <c r="I66" s="51"/>
      <c r="J66" s="125"/>
      <c r="K66" s="68"/>
      <c r="L66" s="68"/>
      <c r="M66" s="51"/>
      <c r="N66" s="51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51"/>
      <c r="F67" s="125"/>
      <c r="G67" s="68"/>
      <c r="H67" s="68"/>
      <c r="I67" s="51"/>
      <c r="J67" s="125"/>
      <c r="K67" s="68"/>
      <c r="L67" s="68"/>
      <c r="M67" s="51"/>
      <c r="N67" s="51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26" t="s">
        <v>341</v>
      </c>
      <c r="B68" s="24"/>
      <c r="C68" s="15"/>
      <c r="D68" s="15"/>
      <c r="E68" s="51"/>
      <c r="F68" s="125"/>
      <c r="G68" s="68"/>
      <c r="H68" s="68"/>
      <c r="I68" s="51"/>
      <c r="J68" s="125"/>
      <c r="K68" s="68"/>
      <c r="L68" s="68"/>
      <c r="M68" s="51"/>
      <c r="N68" s="51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27" t="s">
        <v>342</v>
      </c>
      <c r="B69" s="127" t="s">
        <v>343</v>
      </c>
      <c r="C69" s="15"/>
      <c r="D69" s="15"/>
      <c r="E69" s="51"/>
      <c r="F69" s="51"/>
      <c r="G69" s="68"/>
      <c r="H69" s="84"/>
      <c r="I69" s="51"/>
      <c r="J69" s="116"/>
      <c r="K69" s="116"/>
      <c r="L69" s="116"/>
      <c r="M69" s="51"/>
      <c r="N69" s="51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6" t="s">
        <v>258</v>
      </c>
      <c r="B70" s="18">
        <f>if(and($C$58="West",$C$59="Both"),sumifs(Sales_Data!$R$2:$R$193,Sales_Data!$O$2:$O$193,"West"),if(and($C$58="West",$C$59&lt;&gt;"Both"),sumifs(Sales_Data!$R$2:$R$193,Sales_Data!$O$2:$O$193,"West",Sales_Data!$J$2:$J$193,$C$59),if(and($C$58="East",$C$59="Both"),sumifs(Sales_Data!$R$2:$R$193,Sales_Data!$O$2:$O$193,"East"),if(and($C$58="East",$C$59&lt;&gt;"Both"),sumifs(Sales_Data!$R$2:$R$193,Sales_Data!$O$2:$O$193,"East",Sales_Data!$J$2:$J$193,$C$59),if(and($C$58="South",$C$59="Both"),sumifs(Sales_Data!$R$2:$R$193,Sales_Data!$O$2:$O$193,"South"),if(and($C$58="South",$C$59&lt;&gt;"Both"),sumifs(Sales_Data!$R$2:$R$193,Sales_Data!$O$2:$O$193,"South",Sales_Data!$J$2:$J$193,$C$59),if(and($C$58="North",$C$59="Both"),sumifs(Sales_Data!$R$2:$R$193,Sales_Data!$O$2:$O$193,"North"),if(and($C$58="North",$C$59&lt;&gt;"Both"),sumifs(Sales_Data!$R$2:$R$193,Sales_Data!$O$2:$O$193,"North",Sales_Data!$J$2:$J$193,$C$59),if($C$59&lt;&gt;"Both",if($C$58="Overall",sumifs(Sales_Data!$R$2:$R$193,Sales_Data!$J$2:$J$193,$C$59),sumifs(Sales_Data!$R$2:$R$193,Sales_Data!$I$2:$I$193,$C$58,Sales_Data!$J$2:$J$193,$C$59)),if($C$58="Overall",sum(Sales_Data!$R$2:$R$193),sumifs(Sales_Data!$R$2:$R$193,Sales_Data!$I$2:$I$193,$C$58)))))))))))</f>
        <v>30727206</v>
      </c>
      <c r="C70" s="15"/>
      <c r="D70" s="15"/>
      <c r="E70" s="51"/>
      <c r="F70" s="128"/>
      <c r="G70" s="128"/>
      <c r="H70" s="128"/>
      <c r="I70" s="51"/>
      <c r="J70" s="116"/>
      <c r="K70" s="116"/>
      <c r="L70" s="116"/>
      <c r="M70" s="51"/>
      <c r="N70" s="51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1" t="s">
        <v>259</v>
      </c>
      <c r="B71" s="18">
        <f>if(and($C$58="West",$C$59="Both"),sumifs(Sales_Data!$S$2:$S$193,Sales_Data!$O$2:$O$193,"West"),if(and($C$58="West",$C$59&lt;&gt;"Both"),sumifs(Sales_Data!$S$2:$S$193,Sales_Data!$O$2:$O$193,"West",Sales_Data!$J$2:$J$193,$C$59),if(and($C$58="East",$C$59="Both"),sumifs(Sales_Data!$S$2:$S$193,Sales_Data!$O$2:$O$193,"East"),if(and($C$58="East",$C$59&lt;&gt;"Both"),sumifs(Sales_Data!$S$2:$S$193,Sales_Data!$O$2:$O$193,"East",Sales_Data!$J$2:$J$193,$C$59),if(and($C$58="South",$C$59="Both"),sumifs(Sales_Data!$S$2:$S$193,Sales_Data!$O$2:$O$193,"South"),if(and($C$58="South",$C$59&lt;&gt;"Both"),sumifs(Sales_Data!$S$2:$S$193,Sales_Data!$O$2:$O$193,"South",Sales_Data!$J$2:$J$193,$C$59),if(and($C$58="North",$C$59="Both"),sumifs(Sales_Data!$S$2:$S$193,Sales_Data!$O$2:$O$193,"North"),if(and($C$58="North",$C$59&lt;&gt;"Both"),sumifs(Sales_Data!$S$2:$S$193,Sales_Data!$O$2:$O$193,"North",Sales_Data!$J$2:$J$193,$C$59),if($C$59&lt;&gt;"Both",if($C$58="Overall",sumifs(Sales_Data!$S$2:$S$193,Sales_Data!$J$2:$J$193,$C$59),sumifs(Sales_Data!$S$2:$S$193,Sales_Data!$I$2:$I$193,$C$58,Sales_Data!$J$2:$J$193,$C$59)),if($C$58="Overall",sum(Sales_Data!$S$2:$S$193),sumifs(Sales_Data!$S$2:$S$193,Sales_Data!$I$2:$I$193,$C$58)))))))))))</f>
        <v>35822040</v>
      </c>
      <c r="C71" s="15"/>
      <c r="D71" s="15"/>
      <c r="E71" s="51"/>
      <c r="F71" s="129"/>
      <c r="H71" s="109"/>
      <c r="I71" s="51"/>
      <c r="J71" s="129"/>
      <c r="L71" s="116"/>
      <c r="M71" s="51"/>
      <c r="N71" s="51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43"/>
      <c r="B72" s="59"/>
      <c r="C72" s="15"/>
      <c r="D72" s="15"/>
      <c r="E72" s="51"/>
      <c r="F72" s="130"/>
      <c r="G72" s="84"/>
      <c r="H72" s="84"/>
      <c r="I72" s="51"/>
      <c r="J72" s="130"/>
      <c r="K72" s="84"/>
      <c r="L72" s="116"/>
      <c r="M72" s="51"/>
      <c r="N72" s="51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31" t="s">
        <v>344</v>
      </c>
      <c r="B73" s="23"/>
      <c r="C73" s="24"/>
      <c r="D73" s="93"/>
      <c r="E73" s="51"/>
      <c r="F73" s="130"/>
      <c r="G73" s="84"/>
      <c r="H73" s="84"/>
      <c r="I73" s="51"/>
      <c r="J73" s="130"/>
      <c r="K73" s="84"/>
      <c r="L73" s="116"/>
      <c r="M73" s="51"/>
      <c r="N73" s="51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17" t="s">
        <v>33</v>
      </c>
      <c r="B74" s="118" t="s">
        <v>258</v>
      </c>
      <c r="C74" s="117" t="s">
        <v>259</v>
      </c>
      <c r="D74" s="15"/>
      <c r="E74" s="51"/>
      <c r="F74" s="130"/>
      <c r="G74" s="84"/>
      <c r="H74" s="84"/>
      <c r="I74" s="51"/>
      <c r="J74" s="116"/>
      <c r="K74" s="116"/>
      <c r="L74" s="116"/>
      <c r="M74" s="51"/>
      <c r="N74" s="51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20" t="s">
        <v>308</v>
      </c>
      <c r="B75" s="132">
        <f>if(and($C$58="North",$C$59="Both"),sumifs(Sales_Data!$W$2:$W$193,Sales_Data!$H$2:$H$193,$A75,Sales_Data!$O$2:$O$193,"North"),if(and($C$58="North",$C$59&lt;&gt;"Both"),sumifs(Sales_Data!$W$2:$W$193,Sales_Data!$H$2:$H$193,$A75,Sales_Data!$O$2:$O$193,"North",Sales_Data!$J$2:$J$193,$C$59),if(and($C$58="South",$C$59="Both"),sumifs(Sales_Data!$W$2:$W$193,Sales_Data!$H$2:$H$193,$A75,Sales_Data!$O$2:$O$193,"South"),if(and($C$58="South",$C$59&lt;&gt;"Both"),sumifs(Sales_Data!$W$2:$W$193,Sales_Data!$H$2:$H$193,$A75,Sales_Data!$O$2:$O$193,"South",Sales_Data!$J$2:$J$193,$C$59),if(and($C$58="East",$C$59="Both"),sumifs(Sales_Data!$W$2:$W$193,Sales_Data!$H$2:$H$193,$A75,Sales_Data!$O$2:$O$193,"East"),if(and($C$58="East",$C$59&lt;&gt;"Both"),sumifs(Sales_Data!$W$2:$W$193,Sales_Data!$H$2:$H$193,$A75,Sales_Data!$O$2:$O$193,"South",Sales_Data!$J$2:$J$193,$C$59),if(and($C$58="West",$C$59="Both"),sumifs(Sales_Data!$W$2:$W$193,Sales_Data!$H$2:$H$193,$A75,Sales_Data!$O$2:$O$193,"West"),if(and($C$58="West",$C$59&lt;&gt;"Both"),sumifs(Sales_Data!$W$2:$W$193,Sales_Data!$H$2:$H$193,$A75,Sales_Data!$O$2:$O$193,"West",Sales_Data!$J$2:$J$193,$C$59),if($C$58="Overall",sum(Contribution_Old!$B$31,Contribution_Old!$B$62),sumifs(Sales_Data!$W$2:$W$193,Sales_Data!$I$2:$I$193,$C$58,Sales_Data!$H$2:$H$193,$A75))))))))))</f>
        <v>1985571.108</v>
      </c>
      <c r="C75" s="133">
        <f>if(and($C$58="North",$C$59="Both"),sumifs(Sales_Data!$X$2:$X$193,Sales_Data!$H$2:$H$193,$A75,Sales_Data!$O$2:$O$193,"North"),if(and($C$58="North",$C$59&lt;&gt;"Both"),sumifs(Sales_Data!$X$2:$X$193,Sales_Data!$H$2:$H$193,$A75,Sales_Data!$O$2:$O$193,"North",Sales_Data!$J$2:$J$193,$C$59),if(and($C$58="South",$C$59="Both"),sumifs(Sales_Data!$X$2:$X$193,Sales_Data!$H$2:$H$193,$A75,Sales_Data!$O$2:$O$193,"South"),if(and($C$58="South",$C$59&lt;&gt;"Both"),sumifs(Sales_Data!$X$2:$X$193,Sales_Data!$H$2:$H$193,$A75,Sales_Data!$O$2:$O$193,"South",Sales_Data!$J$2:$J$193,$C$59),if(and($C$58="East",$C$59="Both"),sumifs(Sales_Data!$X$2:$X$193,Sales_Data!$H$2:$H$193,$A75,Sales_Data!$O$2:$O$193,"East"),if(and($C$58="East",$C$59&lt;&gt;"Both"),sumifs(Sales_Data!$X$2:$X$193,Sales_Data!$H$2:$H$193,$A75,Sales_Data!$O$2:$O$193,"East",Sales_Data!$J$2:$J$193,$C$59),if(and($C$58="West",$C$59="Both"),sumifs(Sales_Data!$X$2:$X$193,Sales_Data!$H$2:$H$193,$A75,Sales_Data!$O$2:$O$193,"West"),if(and($C$58="West",$C$59&lt;&gt;"Both"),sumifs(Sales_Data!$X$2:$X$193,Sales_Data!$H$2:$H$193,$A75,Sales_Data!$O$2:$O$193,"West",Sales_Data!$J$2:$J$193,$C$59),if($C$58="Overall",sum(Contribution_New!$B$31,Contribution_New!$B$62),sumifs(Sales_Data!$X$2:$X$193,Sales_Data!$I$2:$I$193,$C$58,Sales_Data!$H$2:$H$193,$A75))))))))))</f>
        <v>1972632.864</v>
      </c>
      <c r="D75" s="15"/>
      <c r="E75" s="116"/>
      <c r="F75" s="129"/>
      <c r="G75" s="129"/>
      <c r="H75" s="129"/>
      <c r="I75" s="51"/>
      <c r="J75" s="116"/>
      <c r="K75" s="116"/>
      <c r="L75" s="116"/>
      <c r="M75" s="51"/>
      <c r="N75" s="51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20" t="s">
        <v>267</v>
      </c>
      <c r="B76" s="132">
        <f>if(and($C$58="North",$C$59="Both"),sumifs(Sales_Data!$W$2:$W$193,Sales_Data!$H$2:$H$193,$A76,Sales_Data!$O$2:$O$193,"North"),if(and($C$58="North",$C$59&lt;&gt;"Both"),sumifs(Sales_Data!$W$2:$W$193,Sales_Data!$H$2:$H$193,$A76,Sales_Data!$O$2:$O$193,"North",Sales_Data!$J$2:$J$193,$C$59),if(and($C$58="South",$C$59="Both"),sumifs(Sales_Data!$W$2:$W$193,Sales_Data!$H$2:$H$193,$A76,Sales_Data!$O$2:$O$193,"South"),if(and($C$58="South",$C$59&lt;&gt;"Both"),sumifs(Sales_Data!$W$2:$W$193,Sales_Data!$H$2:$H$193,$A76,Sales_Data!$O$2:$O$193,"South",Sales_Data!$J$2:$J$193,$C$59),if(and($C$58="East",$C$59="Both"),sumifs(Sales_Data!$W$2:$W$193,Sales_Data!$H$2:$H$193,$A76,Sales_Data!$O$2:$O$193,"East"),if(and($C$58="East",$C$59&lt;&gt;"Both"),sumifs(Sales_Data!$W$2:$W$193,Sales_Data!$H$2:$H$193,$A76,Sales_Data!$O$2:$O$193,"South",Sales_Data!$J$2:$J$193,$C$59),if(and($C$58="West",$C$59="Both"),sumifs(Sales_Data!$W$2:$W$193,Sales_Data!$H$2:$H$193,$A76,Sales_Data!$O$2:$O$193,"West"),if(and($C$58="West",$C$59&lt;&gt;"Both"),sumifs(Sales_Data!$W$2:$W$193,Sales_Data!$H$2:$H$193,$A76,Sales_Data!$O$2:$O$193,"West",Sales_Data!$J$2:$J$193,$C$59),if($C$58="Overall",sum(Contribution_Old!$B$31,Contribution_Old!$B$62),sumifs(Sales_Data!$W$2:$W$193,Sales_Data!$I$2:$I$193,$C$58,Sales_Data!$H$2:$H$193,$A76))))))))))</f>
        <v>2315157.744</v>
      </c>
      <c r="C76" s="133">
        <f>if(and($C$58="North",$C$59="Both"),sumifs(Sales_Data!$X$2:$X$193,Sales_Data!$H$2:$H$193,$A76,Sales_Data!$O$2:$O$193,"North"),if(and($C$58="North",$C$59&lt;&gt;"Both"),sumifs(Sales_Data!$X$2:$X$193,Sales_Data!$H$2:$H$193,$A76,Sales_Data!$O$2:$O$193,"North",Sales_Data!$J$2:$J$193,$C$59),if(and($C$58="South",$C$59="Both"),sumifs(Sales_Data!$X$2:$X$193,Sales_Data!$H$2:$H$193,$A76,Sales_Data!$O$2:$O$193,"South"),if(and($C$58="South",$C$59&lt;&gt;"Both"),sumifs(Sales_Data!$X$2:$X$193,Sales_Data!$H$2:$H$193,$A76,Sales_Data!$O$2:$O$193,"South",Sales_Data!$J$2:$J$193,$C$59),if(and($C$58="East",$C$59="Both"),sumifs(Sales_Data!$X$2:$X$193,Sales_Data!$H$2:$H$193,$A76,Sales_Data!$O$2:$O$193,"East"),if(and($C$58="East",$C$59&lt;&gt;"Both"),sumifs(Sales_Data!$X$2:$X$193,Sales_Data!$H$2:$H$193,$A76,Sales_Data!$O$2:$O$193,"East",Sales_Data!$J$2:$J$193,$C$59),if(and($C$58="West",$C$59="Both"),sumifs(Sales_Data!$X$2:$X$193,Sales_Data!$H$2:$H$193,$A76,Sales_Data!$O$2:$O$193,"West"),if(and($C$58="West",$C$59&lt;&gt;"Both"),sumifs(Sales_Data!$X$2:$X$193,Sales_Data!$H$2:$H$193,$A76,Sales_Data!$O$2:$O$193,"West",Sales_Data!$J$2:$J$193,$C$59),if($C$58="Overall",sum(Contribution_New!$C$31,Contribution_New!$C$62),sumifs(Sales_Data!$X$2:$X$193,Sales_Data!$I$2:$I$193,$C$58,Sales_Data!$H$2:$H$193,$A76))))))))))</f>
        <v>2287216.272</v>
      </c>
      <c r="D76" s="15"/>
      <c r="E76" s="51"/>
      <c r="F76" s="109"/>
      <c r="G76" s="134"/>
      <c r="H76" s="134"/>
      <c r="I76" s="51"/>
      <c r="J76" s="129"/>
      <c r="M76" s="51"/>
      <c r="N76" s="51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0" t="s">
        <v>268</v>
      </c>
      <c r="B77" s="132">
        <f>if(and($C$58="North",$C$59="Both"),sumifs(Sales_Data!$W$2:$W$193,Sales_Data!$H$2:$H$193,$A77,Sales_Data!$O$2:$O$193,"North"),if(and($C$58="North",$C$59&lt;&gt;"Both"),sumifs(Sales_Data!$W$2:$W$193,Sales_Data!$H$2:$H$193,$A77,Sales_Data!$O$2:$O$193,"North",Sales_Data!$J$2:$J$193,$C$59),if(and($C$58="South",$C$59="Both"),sumifs(Sales_Data!$W$2:$W$193,Sales_Data!$H$2:$H$193,$A77,Sales_Data!$O$2:$O$193,"South"),if(and($C$58="South",$C$59&lt;&gt;"Both"),sumifs(Sales_Data!$W$2:$W$193,Sales_Data!$H$2:$H$193,$A77,Sales_Data!$O$2:$O$193,"South",Sales_Data!$J$2:$J$193,$C$59),if(and($C$58="East",$C$59="Both"),sumifs(Sales_Data!$W$2:$W$193,Sales_Data!$H$2:$H$193,$A77,Sales_Data!$O$2:$O$193,"East"),if(and($C$58="East",$C$59&lt;&gt;"Both"),sumifs(Sales_Data!$W$2:$W$193,Sales_Data!$H$2:$H$193,$A77,Sales_Data!$O$2:$O$193,"South",Sales_Data!$J$2:$J$193,$C$59),if(and($C$58="West",$C$59="Both"),sumifs(Sales_Data!$W$2:$W$193,Sales_Data!$H$2:$H$193,$A77,Sales_Data!$O$2:$O$193,"West"),if(and($C$58="West",$C$59&lt;&gt;"Both"),sumifs(Sales_Data!$W$2:$W$193,Sales_Data!$H$2:$H$193,$A77,Sales_Data!$O$2:$O$193,"West",Sales_Data!$J$2:$J$193,$C$59),if($C$58="Overall",sum(Contribution_Old!$B$31,Contribution_Old!$B$62),sumifs(Sales_Data!$W$2:$W$193,Sales_Data!$I$2:$I$193,$C$58,Sales_Data!$H$2:$H$193,$A77))))))))))</f>
        <v>2705318.916</v>
      </c>
      <c r="C77" s="133">
        <f>if(and($C$58="North",$C$59="Both"),sumifs(Sales_Data!$X$2:$X$193,Sales_Data!$H$2:$H$193,$A77,Sales_Data!$O$2:$O$193,"North"),if(and($C$58="North",$C$59&lt;&gt;"Both"),sumifs(Sales_Data!$X$2:$X$193,Sales_Data!$H$2:$H$193,$A77,Sales_Data!$O$2:$O$193,"North",Sales_Data!$J$2:$J$193,$C$59),if(and($C$58="South",$C$59="Both"),sumifs(Sales_Data!$X$2:$X$193,Sales_Data!$H$2:$H$193,$A77,Sales_Data!$O$2:$O$193,"South"),if(and($C$58="South",$C$59&lt;&gt;"Both"),sumifs(Sales_Data!$X$2:$X$193,Sales_Data!$H$2:$H$193,$A77,Sales_Data!$O$2:$O$193,"South",Sales_Data!$J$2:$J$193,$C$59),if(and($C$58="East",$C$59="Both"),sumifs(Sales_Data!$X$2:$X$193,Sales_Data!$H$2:$H$193,$A77,Sales_Data!$O$2:$O$193,"East"),if(and($C$58="East",$C$59&lt;&gt;"Both"),sumifs(Sales_Data!$X$2:$X$193,Sales_Data!$H$2:$H$193,$A77,Sales_Data!$O$2:$O$193,"East",Sales_Data!$J$2:$J$193,$C$59),if(and($C$58="West",$C$59="Both"),sumifs(Sales_Data!$X$2:$X$193,Sales_Data!$H$2:$H$193,$A77,Sales_Data!$O$2:$O$193,"West"),if(and($C$58="West",$C$59&lt;&gt;"Both"),sumifs(Sales_Data!$X$2:$X$193,Sales_Data!$H$2:$H$193,$A77,Sales_Data!$O$2:$O$193,"West",Sales_Data!$J$2:$J$193,$C$59),if($C$58="Overall",sum(Contribution_New!$D$31,Contribution_New!$D$62),sumifs(Sales_Data!$X$2:$X$193,Sales_Data!$I$2:$I$193,$C$58,Sales_Data!$H$2:$H$193,$A77))))))))))</f>
        <v>2594595.708</v>
      </c>
      <c r="D77" s="15"/>
      <c r="E77" s="51"/>
      <c r="F77" s="130"/>
      <c r="G77" s="84"/>
      <c r="H77" s="84"/>
      <c r="I77" s="51"/>
      <c r="J77" s="109"/>
      <c r="K77" s="134"/>
      <c r="L77" s="134"/>
      <c r="M77" s="51"/>
      <c r="N77" s="51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0" t="s">
        <v>269</v>
      </c>
      <c r="B78" s="132">
        <f>if(and($C$58="North",$C$59="Both"),sumifs(Sales_Data!$W$2:$W$193,Sales_Data!$H$2:$H$193,$A78,Sales_Data!$O$2:$O$193,"North"),if(and($C$58="North",$C$59&lt;&gt;"Both"),sumifs(Sales_Data!$W$2:$W$193,Sales_Data!$H$2:$H$193,$A78,Sales_Data!$O$2:$O$193,"North",Sales_Data!$J$2:$J$193,$C$59),if(and($C$58="South",$C$59="Both"),sumifs(Sales_Data!$W$2:$W$193,Sales_Data!$H$2:$H$193,$A78,Sales_Data!$O$2:$O$193,"South"),if(and($C$58="South",$C$59&lt;&gt;"Both"),sumifs(Sales_Data!$W$2:$W$193,Sales_Data!$H$2:$H$193,$A78,Sales_Data!$O$2:$O$193,"South",Sales_Data!$J$2:$J$193,$C$59),if(and($C$58="East",$C$59="Both"),sumifs(Sales_Data!$W$2:$W$193,Sales_Data!$H$2:$H$193,$A78,Sales_Data!$O$2:$O$193,"East"),if(and($C$58="East",$C$59&lt;&gt;"Both"),sumifs(Sales_Data!$W$2:$W$193,Sales_Data!$H$2:$H$193,$A78,Sales_Data!$O$2:$O$193,"South",Sales_Data!$J$2:$J$193,$C$59),if(and($C$58="West",$C$59="Both"),sumifs(Sales_Data!$W$2:$W$193,Sales_Data!$H$2:$H$193,$A78,Sales_Data!$O$2:$O$193,"West"),if(and($C$58="West",$C$59&lt;&gt;"Both"),sumifs(Sales_Data!$W$2:$W$193,Sales_Data!$H$2:$H$193,$A78,Sales_Data!$O$2:$O$193,"West",Sales_Data!$J$2:$J$193,$C$59),if($C$58="Overall",sum(Contribution_Old!$B$31,Contribution_Old!$B$62),sumifs(Sales_Data!$W$2:$W$193,Sales_Data!$I$2:$I$193,$C$58,Sales_Data!$H$2:$H$193,$A78))))))))))</f>
        <v>3172639.38</v>
      </c>
      <c r="C78" s="133">
        <f>if(and($C$58="North",$C$59="Both"),sumifs(Sales_Data!$X$2:$X$193,Sales_Data!$H$2:$H$193,$A78,Sales_Data!$O$2:$O$193,"North"),if(and($C$58="North",$C$59&lt;&gt;"Both"),sumifs(Sales_Data!$X$2:$X$193,Sales_Data!$H$2:$H$193,$A78,Sales_Data!$O$2:$O$193,"North",Sales_Data!$J$2:$J$193,$C$59),if(and($C$58="South",$C$59="Both"),sumifs(Sales_Data!$X$2:$X$193,Sales_Data!$H$2:$H$193,$A78,Sales_Data!$O$2:$O$193,"South"),if(and($C$58="South",$C$59&lt;&gt;"Both"),sumifs(Sales_Data!$X$2:$X$193,Sales_Data!$H$2:$H$193,$A78,Sales_Data!$O$2:$O$193,"South",Sales_Data!$J$2:$J$193,$C$59),if(and($C$58="East",$C$59="Both"),sumifs(Sales_Data!$X$2:$X$193,Sales_Data!$H$2:$H$193,$A78,Sales_Data!$O$2:$O$193,"East"),if(and($C$58="East",$C$59&lt;&gt;"Both"),sumifs(Sales_Data!$X$2:$X$193,Sales_Data!$H$2:$H$193,$A78,Sales_Data!$O$2:$O$193,"East",Sales_Data!$J$2:$J$193,$C$59),if(and($C$58="West",$C$59="Both"),sumifs(Sales_Data!$X$2:$X$193,Sales_Data!$H$2:$H$193,$A78,Sales_Data!$O$2:$O$193,"West"),if(and($C$58="West",$C$59&lt;&gt;"Both"),sumifs(Sales_Data!$X$2:$X$193,Sales_Data!$H$2:$H$193,$A78,Sales_Data!$O$2:$O$193,"West",Sales_Data!$J$2:$J$193,$C$59),if($C$58="Overall",sum(Contribution_New!$E$31,Contribution_New!$E$62),sumifs(Sales_Data!$X$2:$X$193,Sales_Data!$I$2:$I$193,$C$58,Sales_Data!$H$2:$H$193,$A78))))))))))</f>
        <v>3031646.64</v>
      </c>
      <c r="D78" s="15"/>
      <c r="E78" s="51"/>
      <c r="F78" s="130"/>
      <c r="G78" s="51"/>
      <c r="H78" s="51"/>
      <c r="I78" s="51"/>
      <c r="J78" s="130"/>
      <c r="K78" s="84"/>
      <c r="L78" s="84"/>
      <c r="M78" s="51"/>
      <c r="N78" s="51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0" t="s">
        <v>270</v>
      </c>
      <c r="B79" s="132">
        <f>if(and($C$58="North",$C$59="Both"),sumifs(Sales_Data!$W$2:$W$193,Sales_Data!$H$2:$H$193,$A79,Sales_Data!$O$2:$O$193,"North"),if(and($C$58="North",$C$59&lt;&gt;"Both"),sumifs(Sales_Data!$W$2:$W$193,Sales_Data!$H$2:$H$193,$A79,Sales_Data!$O$2:$O$193,"North",Sales_Data!$J$2:$J$193,$C$59),if(and($C$58="South",$C$59="Both"),sumifs(Sales_Data!$W$2:$W$193,Sales_Data!$H$2:$H$193,$A79,Sales_Data!$O$2:$O$193,"South"),if(and($C$58="South",$C$59&lt;&gt;"Both"),sumifs(Sales_Data!$W$2:$W$193,Sales_Data!$H$2:$H$193,$A79,Sales_Data!$O$2:$O$193,"South",Sales_Data!$J$2:$J$193,$C$59),if(and($C$58="East",$C$59="Both"),sumifs(Sales_Data!$W$2:$W$193,Sales_Data!$H$2:$H$193,$A79,Sales_Data!$O$2:$O$193,"East"),if(and($C$58="East",$C$59&lt;&gt;"Both"),sumifs(Sales_Data!$W$2:$W$193,Sales_Data!$H$2:$H$193,$A79,Sales_Data!$O$2:$O$193,"South",Sales_Data!$J$2:$J$193,$C$59),if(and($C$58="West",$C$59="Both"),sumifs(Sales_Data!$W$2:$W$193,Sales_Data!$H$2:$H$193,$A79,Sales_Data!$O$2:$O$193,"West"),if(and($C$58="West",$C$59&lt;&gt;"Both"),sumifs(Sales_Data!$W$2:$W$193,Sales_Data!$H$2:$H$193,$A79,Sales_Data!$O$2:$O$193,"West",Sales_Data!$J$2:$J$193,$C$59),if($C$58="Overall",sum(Contribution_Old!$B$31,Contribution_Old!$B$62),sumifs(Sales_Data!$W$2:$W$193,Sales_Data!$I$2:$I$193,$C$58,Sales_Data!$H$2:$H$193,$A79))))))))))</f>
        <v>3709079.868</v>
      </c>
      <c r="C79" s="133">
        <f>if(and($C$58="North",$C$59="Both"),sumifs(Sales_Data!$X$2:$X$193,Sales_Data!$H$2:$H$193,$A79,Sales_Data!$O$2:$O$193,"North"),if(and($C$58="North",$C$59&lt;&gt;"Both"),sumifs(Sales_Data!$X$2:$X$193,Sales_Data!$H$2:$H$193,$A79,Sales_Data!$O$2:$O$193,"North",Sales_Data!$J$2:$J$193,$C$59),if(and($C$58="South",$C$59="Both"),sumifs(Sales_Data!$X$2:$X$193,Sales_Data!$H$2:$H$193,$A79,Sales_Data!$O$2:$O$193,"South"),if(and($C$58="South",$C$59&lt;&gt;"Both"),sumifs(Sales_Data!$X$2:$X$193,Sales_Data!$H$2:$H$193,$A79,Sales_Data!$O$2:$O$193,"South",Sales_Data!$J$2:$J$193,$C$59),if(and($C$58="East",$C$59="Both"),sumifs(Sales_Data!$X$2:$X$193,Sales_Data!$H$2:$H$193,$A79,Sales_Data!$O$2:$O$193,"East"),if(and($C$58="East",$C$59&lt;&gt;"Both"),sumifs(Sales_Data!$X$2:$X$193,Sales_Data!$H$2:$H$193,$A79,Sales_Data!$O$2:$O$193,"East",Sales_Data!$J$2:$J$193,$C$59),if(and($C$58="West",$C$59="Both"),sumifs(Sales_Data!$X$2:$X$193,Sales_Data!$H$2:$H$193,$A79,Sales_Data!$O$2:$O$193,"West"),if(and($C$58="West",$C$59&lt;&gt;"Both"),sumifs(Sales_Data!$X$2:$X$193,Sales_Data!$H$2:$H$193,$A79,Sales_Data!$O$2:$O$193,"West",Sales_Data!$J$2:$J$193,$C$59),if($C$58="Overall",sum(Contribution_New!$F$31,Contribution_New!$F$62),sumifs(Sales_Data!$X$2:$X$193,Sales_Data!$I$2:$I$193,$C$58,Sales_Data!$H$2:$H$193,$A79))))))))))</f>
        <v>3629247.504</v>
      </c>
      <c r="D79" s="15"/>
      <c r="E79" s="51"/>
      <c r="F79" s="130"/>
      <c r="G79" s="51"/>
      <c r="H79" s="51"/>
      <c r="I79" s="51"/>
      <c r="J79" s="130"/>
      <c r="K79" s="51"/>
      <c r="L79" s="51"/>
      <c r="M79" s="51"/>
      <c r="N79" s="51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0" t="s">
        <v>271</v>
      </c>
      <c r="B80" s="132">
        <f>if(and($C$58="North",$C$59="Both"),sumifs(Sales_Data!$W$2:$W$193,Sales_Data!$H$2:$H$193,$A80,Sales_Data!$O$2:$O$193,"North"),if(and($C$58="North",$C$59&lt;&gt;"Both"),sumifs(Sales_Data!$W$2:$W$193,Sales_Data!$H$2:$H$193,$A80,Sales_Data!$O$2:$O$193,"North",Sales_Data!$J$2:$J$193,$C$59),if(and($C$58="South",$C$59="Both"),sumifs(Sales_Data!$W$2:$W$193,Sales_Data!$H$2:$H$193,$A80,Sales_Data!$O$2:$O$193,"South"),if(and($C$58="South",$C$59&lt;&gt;"Both"),sumifs(Sales_Data!$W$2:$W$193,Sales_Data!$H$2:$H$193,$A80,Sales_Data!$O$2:$O$193,"South",Sales_Data!$J$2:$J$193,$C$59),if(and($C$58="East",$C$59="Both"),sumifs(Sales_Data!$W$2:$W$193,Sales_Data!$H$2:$H$193,$A80,Sales_Data!$O$2:$O$193,"East"),if(and($C$58="East",$C$59&lt;&gt;"Both"),sumifs(Sales_Data!$W$2:$W$193,Sales_Data!$H$2:$H$193,$A80,Sales_Data!$O$2:$O$193,"South",Sales_Data!$J$2:$J$193,$C$59),if(and($C$58="West",$C$59="Both"),sumifs(Sales_Data!$W$2:$W$193,Sales_Data!$H$2:$H$193,$A80,Sales_Data!$O$2:$O$193,"West"),if(and($C$58="West",$C$59&lt;&gt;"Both"),sumifs(Sales_Data!$W$2:$W$193,Sales_Data!$H$2:$H$193,$A80,Sales_Data!$O$2:$O$193,"West",Sales_Data!$J$2:$J$193,$C$59),if($C$58="Overall",sum(Contribution_Old!$B$31,Contribution_Old!$B$62),sumifs(Sales_Data!$W$2:$W$193,Sales_Data!$I$2:$I$193,$C$58,Sales_Data!$H$2:$H$193,$A80))))))))))</f>
        <v>4337512.344</v>
      </c>
      <c r="C80" s="133">
        <f>if(and($C$58="North",$C$59="Both"),sumifs(Sales_Data!$X$2:$X$193,Sales_Data!$H$2:$H$193,$A80,Sales_Data!$O$2:$O$193,"North"),if(and($C$58="North",$C$59&lt;&gt;"Both"),sumifs(Sales_Data!$X$2:$X$193,Sales_Data!$H$2:$H$193,$A80,Sales_Data!$O$2:$O$193,"North",Sales_Data!$J$2:$J$193,$C$59),if(and($C$58="South",$C$59="Both"),sumifs(Sales_Data!$X$2:$X$193,Sales_Data!$H$2:$H$193,$A80,Sales_Data!$O$2:$O$193,"South"),if(and($C$58="South",$C$59&lt;&gt;"Both"),sumifs(Sales_Data!$X$2:$X$193,Sales_Data!$H$2:$H$193,$A80,Sales_Data!$O$2:$O$193,"South",Sales_Data!$J$2:$J$193,$C$59),if(and($C$58="East",$C$59="Both"),sumifs(Sales_Data!$X$2:$X$193,Sales_Data!$H$2:$H$193,$A80,Sales_Data!$O$2:$O$193,"East"),if(and($C$58="East",$C$59&lt;&gt;"Both"),sumifs(Sales_Data!$X$2:$X$193,Sales_Data!$H$2:$H$193,$A80,Sales_Data!$O$2:$O$193,"East",Sales_Data!$J$2:$J$193,$C$59),if(and($C$58="West",$C$59="Both"),sumifs(Sales_Data!$X$2:$X$193,Sales_Data!$H$2:$H$193,$A80,Sales_Data!$O$2:$O$193,"West"),if(and($C$58="West",$C$59&lt;&gt;"Both"),sumifs(Sales_Data!$X$2:$X$193,Sales_Data!$H$2:$H$193,$A80,Sales_Data!$O$2:$O$193,"West",Sales_Data!$J$2:$J$193,$C$59),if($C$58="Overall",sum(Contribution_New!$G$31,Contribution_New!$G$62),sumifs(Sales_Data!$X$2:$X$193,Sales_Data!$I$2:$I$193,$C$58,Sales_Data!$H$2:$H$193,$A80))))))))))</f>
        <v>4331201.34</v>
      </c>
      <c r="D80" s="15"/>
      <c r="E80" s="51"/>
      <c r="F80" s="130"/>
      <c r="G80" s="51"/>
      <c r="H80" s="51"/>
      <c r="I80" s="51"/>
      <c r="J80" s="130"/>
      <c r="K80" s="51"/>
      <c r="L80" s="51"/>
      <c r="M80" s="51"/>
      <c r="N80" s="51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51"/>
      <c r="F81" s="130"/>
      <c r="G81" s="51"/>
      <c r="H81" s="51"/>
      <c r="I81" s="51"/>
      <c r="J81" s="130"/>
      <c r="K81" s="51"/>
      <c r="L81" s="51"/>
      <c r="M81" s="51"/>
      <c r="N81" s="51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28"/>
      <c r="B82" s="128"/>
      <c r="C82" s="128"/>
      <c r="D82" s="15"/>
      <c r="E82" s="51"/>
      <c r="F82" s="130"/>
      <c r="G82" s="51"/>
      <c r="H82" s="51"/>
      <c r="I82" s="51"/>
      <c r="J82" s="130"/>
      <c r="K82" s="51"/>
      <c r="L82" s="51"/>
      <c r="M82" s="51"/>
      <c r="N82" s="51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09"/>
      <c r="B83" s="109"/>
      <c r="C83" s="109"/>
      <c r="D83" s="15"/>
      <c r="E83" s="15"/>
      <c r="F83" s="15"/>
      <c r="G83" s="15"/>
      <c r="H83" s="15"/>
      <c r="I83" s="15"/>
      <c r="J83" s="9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51"/>
      <c r="B84" s="88"/>
      <c r="C84" s="88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51"/>
      <c r="B85" s="88"/>
      <c r="C85" s="88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51"/>
      <c r="B86" s="88"/>
      <c r="C86" s="88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51"/>
      <c r="B87" s="88"/>
      <c r="C87" s="88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51"/>
      <c r="B88" s="88"/>
      <c r="C88" s="88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51"/>
      <c r="B89" s="88"/>
      <c r="C89" s="88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1">
    <mergeCell ref="F71:G71"/>
    <mergeCell ref="J71:K71"/>
    <mergeCell ref="A73:C73"/>
    <mergeCell ref="J76:L76"/>
    <mergeCell ref="A1:L1"/>
    <mergeCell ref="A2:F2"/>
    <mergeCell ref="G2:L2"/>
    <mergeCell ref="A3:F3"/>
    <mergeCell ref="G3:L3"/>
    <mergeCell ref="A58:B59"/>
    <mergeCell ref="A68:B68"/>
  </mergeCells>
  <dataValidations>
    <dataValidation type="list" allowBlank="1" showErrorMessage="1" sqref="C58">
      <formula1>"Delhi,Kolkata,Pune,Bengaluru,Chandigarh,Bhubaneswar,Ahmedabad ,Chennai,Lucknow,Ranchi,Surat,Hyderabad,Dehradun,Kochi,Jaipur,Patna,North,South,West,East,Overall"</formula1>
    </dataValidation>
    <dataValidation type="list" allowBlank="1" showErrorMessage="1" sqref="G2">
      <formula1>"Delhi,Kolkata,Pune,Bengaluru,Chandigarh,Bhubaneswar,Ahmedabad ,Chennai,Lucknow,Ranchi,Surat,Hyderabad,Dehradun,Kochi,Jaipur,Patna,Overall,North,South,East,West"</formula1>
    </dataValidation>
    <dataValidation type="list" allowBlank="1" showErrorMessage="1" sqref="G3">
      <formula1>"ZestVita,NutriKid,Both"</formula1>
    </dataValidation>
    <dataValidation type="list" allowBlank="1" showErrorMessage="1" sqref="C59">
      <formula1>"ZestVita,NutriKid,Both"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75"/>
    <col customWidth="1" min="2" max="2" width="11.0"/>
    <col customWidth="1" min="10" max="10" width="36.38"/>
  </cols>
  <sheetData>
    <row r="1">
      <c r="A1" s="135" t="s">
        <v>345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36" t="s">
        <v>346</v>
      </c>
      <c r="B30" s="137"/>
      <c r="C30" s="137"/>
      <c r="D30" s="137"/>
      <c r="E30" s="137"/>
      <c r="F30" s="137"/>
      <c r="G30" s="137"/>
      <c r="H30" s="138"/>
      <c r="I30" s="15"/>
      <c r="J30" s="11" t="s">
        <v>347</v>
      </c>
      <c r="K30" s="139">
        <f>sum('Cost-Benefit Analysis'!$B$10:$G$11)</f>
        <v>24457643.65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40" t="s">
        <v>3</v>
      </c>
      <c r="B31" s="23"/>
      <c r="C31" s="141">
        <f>(sumifs(Sales_Data!$L$2:$L$193,Sales_Data!$O$2:$O$193,$A$31)-sumifs(Sales_Data!$K$2:$K$193,Sales_Data!$O$2:$O$193,$A$31))/sumifs(Sales_Data!$K$2:$K$193,Sales_Data!$O$2:$O$193,$A$31)</f>
        <v>0.1592129832</v>
      </c>
      <c r="D31" s="23"/>
      <c r="E31" s="23"/>
      <c r="F31" s="23"/>
      <c r="G31" s="23"/>
      <c r="H31" s="24"/>
      <c r="I31" s="15"/>
      <c r="J31" s="11" t="s">
        <v>348</v>
      </c>
      <c r="K31" s="139">
        <f>sum('Cost-Benefit Analysis'!$B$22:$G$22)</f>
        <v>5280837.467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42" t="str">
        <f>"Cities Under the "&amp;$A$31&amp;" Region"</f>
        <v>Cities Under the West Region</v>
      </c>
      <c r="H32" s="111"/>
      <c r="I32" s="15"/>
      <c r="J32" s="11" t="s">
        <v>349</v>
      </c>
      <c r="K32" s="143">
        <f>(sum('Sales Quantity'!$C$6:$H$7)-sum('Sales Quantity'!$C$2:$H$3))/sum('Sales Quantity'!$C$2:$H$3)</f>
        <v>0.1498699925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44" t="str">
        <f>IFERROR(__xludf.DUMMYFUNCTION("unique(query(filter(Sales_Data!$H$2:$S$193,Sales_Data!$O$2:$O$193=$A$31),""Select Col2""))"),"Pune")</f>
        <v>Pune</v>
      </c>
      <c r="B33" s="141">
        <f>(sumifs(Sales_Data!$L$2:$L$193,Sales_Data!$I$2:$I$193,$A33)-sumifs(Sales_Data!$K$2:$K$193,Sales_Data!$I$2:$I$193,$A33))/sumifs(Sales_Data!$K$2:$K$193,Sales_Data!$I$2:$I$193,$A33)</f>
        <v>0.1880624196</v>
      </c>
      <c r="C33" s="23"/>
      <c r="D33" s="23"/>
      <c r="E33" s="23"/>
      <c r="F33" s="23"/>
      <c r="G33" s="23"/>
      <c r="H33" s="24"/>
      <c r="I33" s="15"/>
      <c r="J33" s="43"/>
      <c r="K33" s="59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45" t="str">
        <f>IFERROR(__xludf.DUMMYFUNCTION("""COMPUTED_VALUE"""),"Ahmedabad ")</f>
        <v>Ahmedabad </v>
      </c>
      <c r="B34" s="141">
        <f>(sumifs(Sales_Data!$L$2:$L$193,Sales_Data!$I$2:$I$193,$A34)-sumifs(Sales_Data!$K$2:$K$193,Sales_Data!$I$2:$I$193,$A34))/sumifs(Sales_Data!$K$2:$K$193,Sales_Data!$I$2:$I$193,$A34)</f>
        <v>0.1924532223</v>
      </c>
      <c r="C34" s="23"/>
      <c r="D34" s="23"/>
      <c r="E34" s="23"/>
      <c r="F34" s="23"/>
      <c r="G34" s="23"/>
      <c r="H34" s="24"/>
      <c r="I34" s="15"/>
      <c r="J34" s="43"/>
      <c r="K34" s="59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45" t="str">
        <f>IFERROR(__xludf.DUMMYFUNCTION("""COMPUTED_VALUE"""),"Surat")</f>
        <v>Surat</v>
      </c>
      <c r="B35" s="141">
        <f>(sumifs(Sales_Data!$L$2:$L$193,Sales_Data!$I$2:$I$193,$A35)-sumifs(Sales_Data!$K$2:$K$193,Sales_Data!$I$2:$I$193,$A35))/sumifs(Sales_Data!$K$2:$K$193,Sales_Data!$I$2:$I$193,$A35)</f>
        <v>0.05154521964</v>
      </c>
      <c r="C35" s="23"/>
      <c r="D35" s="23"/>
      <c r="E35" s="23"/>
      <c r="F35" s="23"/>
      <c r="G35" s="23"/>
      <c r="H35" s="24"/>
      <c r="I35" s="15"/>
      <c r="J35" s="43"/>
      <c r="K35" s="59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45" t="str">
        <f>IFERROR(__xludf.DUMMYFUNCTION("""COMPUTED_VALUE"""),"Jaipur")</f>
        <v>Jaipur</v>
      </c>
      <c r="B36" s="141">
        <f>(sumifs(Sales_Data!$L$2:$L$193,Sales_Data!$I$2:$I$193,$A36)-sumifs(Sales_Data!$K$2:$K$193,Sales_Data!$I$2:$I$193,$A36))/sumifs(Sales_Data!$K$2:$K$193,Sales_Data!$I$2:$I$193,$A36)</f>
        <v>0.2031409126</v>
      </c>
      <c r="C36" s="23"/>
      <c r="D36" s="23"/>
      <c r="E36" s="23"/>
      <c r="F36" s="23"/>
      <c r="G36" s="23"/>
      <c r="H36" s="24"/>
      <c r="I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9">
    <mergeCell ref="B35:H35"/>
    <mergeCell ref="B36:H36"/>
    <mergeCell ref="A1:J1"/>
    <mergeCell ref="A30:H30"/>
    <mergeCell ref="A31:B31"/>
    <mergeCell ref="C31:H31"/>
    <mergeCell ref="A32:H32"/>
    <mergeCell ref="B33:H33"/>
    <mergeCell ref="B34:H34"/>
  </mergeCells>
  <dataValidations>
    <dataValidation type="list" allowBlank="1" showErrorMessage="1" sqref="A31">
      <formula1>"North,South,East,West"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46" t="s">
        <v>350</v>
      </c>
      <c r="B1" s="23"/>
      <c r="C1" s="23"/>
      <c r="D1" s="23"/>
      <c r="E1" s="23"/>
      <c r="F1" s="23"/>
      <c r="G1" s="23"/>
      <c r="H1" s="24"/>
    </row>
    <row r="2">
      <c r="A2" s="147">
        <v>1.0</v>
      </c>
      <c r="B2" s="148" t="s">
        <v>351</v>
      </c>
      <c r="C2" s="23"/>
      <c r="D2" s="23"/>
      <c r="E2" s="23"/>
      <c r="F2" s="23"/>
      <c r="G2" s="23"/>
      <c r="H2" s="24"/>
    </row>
    <row r="3">
      <c r="A3" s="147">
        <v>2.0</v>
      </c>
      <c r="B3" s="148" t="s">
        <v>352</v>
      </c>
      <c r="C3" s="23"/>
      <c r="D3" s="23"/>
      <c r="E3" s="23"/>
      <c r="F3" s="23"/>
      <c r="G3" s="23"/>
      <c r="H3" s="24"/>
    </row>
  </sheetData>
  <mergeCells count="3">
    <mergeCell ref="A1:H1"/>
    <mergeCell ref="B2:H2"/>
    <mergeCell ref="B3:H3"/>
  </mergeCells>
  <drawing r:id="rId1"/>
</worksheet>
</file>