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vithareddyvuddandi/Downloads/"/>
    </mc:Choice>
  </mc:AlternateContent>
  <xr:revisionPtr revIDLastSave="0" documentId="13_ncr:1_{325B6D14-1A65-DB45-ADEA-FFF208F5B688}" xr6:coauthVersionLast="47" xr6:coauthVersionMax="47" xr10:uidLastSave="{00000000-0000-0000-0000-000000000000}"/>
  <bookViews>
    <workbookView xWindow="0" yWindow="740" windowWidth="28800" windowHeight="16880" activeTab="6" xr2:uid="{F50037B6-A800-42C4-BADE-33EAABE2BC43}"/>
  </bookViews>
  <sheets>
    <sheet name="Introduction" sheetId="15" r:id="rId1"/>
    <sheet name="Seasonality Index" sheetId="7" r:id="rId2"/>
    <sheet name="Forcast x SI" sheetId="27" r:id="rId3"/>
    <sheet name="Forecasting (using regression)" sheetId="31" r:id="rId4"/>
    <sheet name="EOQ Model" sheetId="14" r:id="rId5"/>
    <sheet name="Sheet1_STS" sheetId="2" state="veryHidden" r:id="rId6"/>
    <sheet name="Non Linear Model" sheetId="1" r:id="rId7"/>
    <sheet name="Non Linear Model_STS" sheetId="23" state="veryHidden" r:id="rId8"/>
  </sheets>
  <definedNames>
    <definedName name="solver_adj" localSheetId="6" hidden="1">'Non Linear Model'!$G$6:$G$53</definedName>
    <definedName name="solver_cvg" localSheetId="6" hidden="1">0.0001</definedName>
    <definedName name="solver_drv" localSheetId="6" hidden="1">1</definedName>
    <definedName name="solver_eng" localSheetId="3" hidden="1">3</definedName>
    <definedName name="solver_eng" localSheetId="6" hidden="1">1</definedName>
    <definedName name="solver_itr" localSheetId="6" hidden="1">2147483647</definedName>
    <definedName name="solver_lhs1" localSheetId="6" hidden="1">'Non Linear Model'!$M$54:$M$60</definedName>
    <definedName name="solver_lhs2" localSheetId="6" hidden="1">'Non Linear Model'!$M$6:$M$53</definedName>
    <definedName name="solver_lin" localSheetId="3" hidden="1">2</definedName>
    <definedName name="solver_lin" localSheetId="6" hidden="1">2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3" hidden="1">1</definedName>
    <definedName name="solver_neg" localSheetId="6" hidden="1">1</definedName>
    <definedName name="solver_nod" localSheetId="6" hidden="1">2147483647</definedName>
    <definedName name="solver_num" localSheetId="3" hidden="1">0</definedName>
    <definedName name="solver_num" localSheetId="6" hidden="1">2</definedName>
    <definedName name="solver_opt" localSheetId="3" hidden="1">'Forecasting (using regression)'!$K$19</definedName>
    <definedName name="solver_opt" localSheetId="6" hidden="1">'Non Linear Model'!$D$2</definedName>
    <definedName name="solver_pre" localSheetId="6" hidden="1">0.000001</definedName>
    <definedName name="solver_rbv" localSheetId="6" hidden="1">2</definedName>
    <definedName name="solver_rel1" localSheetId="6" hidden="1">1</definedName>
    <definedName name="solver_rel2" localSheetId="6" hidden="1">3</definedName>
    <definedName name="solver_rhs1" localSheetId="6" hidden="1">'Non Linear Model'!$O$54:$O$60</definedName>
    <definedName name="solver_rhs2" localSheetId="6" hidden="1">'Non Linear Model'!$O$6:$O$53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3" hidden="1">1</definedName>
    <definedName name="solver_typ" localSheetId="6" hidden="1">2</definedName>
    <definedName name="solver_val" localSheetId="3" hidden="1">0</definedName>
    <definedName name="solver_val" localSheetId="6" hidden="1">0</definedName>
    <definedName name="solver_ver" localSheetId="3" hidden="1">2</definedName>
    <definedName name="solver_ver" localSheetId="6" hidden="1">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2" i="27" l="1"/>
  <c r="G2" i="14"/>
  <c r="H2" i="14"/>
  <c r="L2" i="14"/>
  <c r="D63" i="27"/>
  <c r="G3" i="14"/>
  <c r="H3" i="14"/>
  <c r="L3" i="14"/>
  <c r="D64" i="27"/>
  <c r="G4" i="14"/>
  <c r="H4" i="14"/>
  <c r="L4" i="14"/>
  <c r="D65" i="27"/>
  <c r="G5" i="14"/>
  <c r="H5" i="14"/>
  <c r="L5" i="14"/>
  <c r="D66" i="27"/>
  <c r="G6" i="14"/>
  <c r="H6" i="14"/>
  <c r="L6" i="14"/>
  <c r="D67" i="27"/>
  <c r="G7" i="14"/>
  <c r="H7" i="14"/>
  <c r="L7" i="14"/>
  <c r="D68" i="27"/>
  <c r="G8" i="14"/>
  <c r="H8" i="14"/>
  <c r="L8" i="14"/>
  <c r="D69" i="27"/>
  <c r="G9" i="14"/>
  <c r="H9" i="14"/>
  <c r="L9" i="14"/>
  <c r="D70" i="27"/>
  <c r="G10" i="14"/>
  <c r="H10" i="14"/>
  <c r="L10" i="14"/>
  <c r="D71" i="27"/>
  <c r="G11" i="14"/>
  <c r="H11" i="14"/>
  <c r="L11" i="14"/>
  <c r="D72" i="27"/>
  <c r="G12" i="14"/>
  <c r="H12" i="14"/>
  <c r="L12" i="14"/>
  <c r="D73" i="27"/>
  <c r="G13" i="14"/>
  <c r="H13" i="14"/>
  <c r="L13" i="14"/>
  <c r="L14" i="14"/>
  <c r="L30" i="14"/>
  <c r="L31" i="14"/>
  <c r="L32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I29" i="14"/>
  <c r="I30" i="14"/>
  <c r="I31" i="14"/>
  <c r="I32" i="14"/>
  <c r="J2" i="14"/>
  <c r="J3" i="14"/>
  <c r="J4" i="14"/>
  <c r="J5" i="14"/>
  <c r="J6" i="14"/>
  <c r="J7" i="14"/>
  <c r="J8" i="14"/>
  <c r="J9" i="14"/>
  <c r="J10" i="14"/>
  <c r="J11" i="14"/>
  <c r="J12" i="14"/>
  <c r="J13" i="14"/>
  <c r="J14" i="14"/>
  <c r="F30" i="14"/>
  <c r="F31" i="14"/>
  <c r="F32" i="14"/>
  <c r="F29" i="1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C30" i="14"/>
  <c r="C31" i="14"/>
  <c r="C32" i="14"/>
  <c r="C29" i="14"/>
  <c r="H21" i="31"/>
  <c r="H4" i="31"/>
  <c r="E3" i="31"/>
  <c r="E4" i="31"/>
  <c r="E5" i="31"/>
  <c r="E6" i="31"/>
  <c r="E7" i="31"/>
  <c r="E8" i="31"/>
  <c r="H3" i="31"/>
  <c r="D3" i="31"/>
  <c r="D4" i="31"/>
  <c r="D5" i="31"/>
  <c r="D6" i="31"/>
  <c r="D7" i="31"/>
  <c r="D8" i="31"/>
  <c r="H5" i="31"/>
  <c r="H6" i="31"/>
  <c r="C9" i="31"/>
  <c r="H22" i="31"/>
  <c r="B21" i="31"/>
  <c r="D21" i="31"/>
  <c r="F21" i="31"/>
  <c r="N16" i="31"/>
  <c r="O8" i="7"/>
  <c r="O7" i="7"/>
  <c r="O6" i="7"/>
  <c r="O5" i="7"/>
  <c r="O4" i="7"/>
  <c r="D2" i="7"/>
  <c r="D3" i="7"/>
  <c r="F6" i="1"/>
  <c r="H6" i="1"/>
  <c r="M6" i="1"/>
  <c r="F7" i="1"/>
  <c r="H7" i="1"/>
  <c r="M7" i="1"/>
  <c r="F8" i="1"/>
  <c r="H8" i="1"/>
  <c r="M8" i="1"/>
  <c r="F9" i="1"/>
  <c r="H9" i="1"/>
  <c r="M9" i="1"/>
  <c r="F10" i="1"/>
  <c r="H10" i="1"/>
  <c r="M10" i="1"/>
  <c r="F11" i="1"/>
  <c r="H11" i="1"/>
  <c r="M11" i="1"/>
  <c r="F12" i="1"/>
  <c r="H12" i="1"/>
  <c r="M12" i="1"/>
  <c r="F13" i="1"/>
  <c r="H13" i="1"/>
  <c r="M13" i="1"/>
  <c r="F14" i="1"/>
  <c r="H14" i="1"/>
  <c r="M14" i="1"/>
  <c r="F15" i="1"/>
  <c r="H15" i="1"/>
  <c r="M15" i="1"/>
  <c r="F16" i="1"/>
  <c r="H16" i="1"/>
  <c r="M16" i="1"/>
  <c r="F17" i="1"/>
  <c r="H17" i="1"/>
  <c r="M17" i="1"/>
  <c r="F18" i="1"/>
  <c r="H18" i="1"/>
  <c r="M18" i="1"/>
  <c r="F19" i="1"/>
  <c r="H19" i="1"/>
  <c r="M19" i="1"/>
  <c r="F20" i="1"/>
  <c r="H20" i="1"/>
  <c r="M20" i="1"/>
  <c r="F21" i="1"/>
  <c r="H21" i="1"/>
  <c r="M21" i="1"/>
  <c r="F22" i="1"/>
  <c r="H22" i="1"/>
  <c r="M22" i="1"/>
  <c r="F23" i="1"/>
  <c r="H23" i="1"/>
  <c r="M23" i="1"/>
  <c r="F24" i="1"/>
  <c r="H24" i="1"/>
  <c r="M24" i="1"/>
  <c r="F25" i="1"/>
  <c r="H25" i="1"/>
  <c r="M25" i="1"/>
  <c r="F26" i="1"/>
  <c r="H26" i="1"/>
  <c r="M26" i="1"/>
  <c r="F27" i="1"/>
  <c r="H27" i="1"/>
  <c r="M27" i="1"/>
  <c r="F28" i="1"/>
  <c r="H28" i="1"/>
  <c r="M28" i="1"/>
  <c r="F29" i="1"/>
  <c r="H29" i="1"/>
  <c r="M29" i="1"/>
  <c r="F30" i="1"/>
  <c r="H30" i="1"/>
  <c r="M30" i="1"/>
  <c r="F31" i="1"/>
  <c r="H31" i="1"/>
  <c r="M31" i="1"/>
  <c r="F32" i="1"/>
  <c r="H32" i="1"/>
  <c r="M32" i="1"/>
  <c r="F33" i="1"/>
  <c r="H33" i="1"/>
  <c r="M33" i="1"/>
  <c r="F34" i="1"/>
  <c r="H34" i="1"/>
  <c r="M34" i="1"/>
  <c r="F35" i="1"/>
  <c r="H35" i="1"/>
  <c r="M35" i="1"/>
  <c r="F36" i="1"/>
  <c r="H36" i="1"/>
  <c r="M36" i="1"/>
  <c r="F37" i="1"/>
  <c r="H37" i="1"/>
  <c r="M37" i="1"/>
  <c r="F38" i="1"/>
  <c r="H38" i="1"/>
  <c r="M38" i="1"/>
  <c r="F39" i="1"/>
  <c r="H39" i="1"/>
  <c r="M39" i="1"/>
  <c r="F40" i="1"/>
  <c r="H40" i="1"/>
  <c r="M40" i="1"/>
  <c r="F41" i="1"/>
  <c r="H41" i="1"/>
  <c r="M41" i="1"/>
  <c r="F42" i="1"/>
  <c r="H42" i="1"/>
  <c r="M42" i="1"/>
  <c r="F43" i="1"/>
  <c r="H43" i="1"/>
  <c r="M43" i="1"/>
  <c r="F44" i="1"/>
  <c r="H44" i="1"/>
  <c r="M44" i="1"/>
  <c r="F45" i="1"/>
  <c r="H45" i="1"/>
  <c r="M45" i="1"/>
  <c r="F46" i="1"/>
  <c r="H46" i="1"/>
  <c r="M46" i="1"/>
  <c r="F47" i="1"/>
  <c r="H47" i="1"/>
  <c r="M47" i="1"/>
  <c r="F48" i="1"/>
  <c r="H48" i="1"/>
  <c r="M48" i="1"/>
  <c r="F49" i="1"/>
  <c r="H49" i="1"/>
  <c r="M49" i="1"/>
  <c r="F50" i="1"/>
  <c r="H50" i="1"/>
  <c r="M50" i="1"/>
  <c r="F51" i="1"/>
  <c r="H51" i="1"/>
  <c r="M51" i="1"/>
  <c r="F52" i="1"/>
  <c r="H52" i="1"/>
  <c r="M52" i="1"/>
  <c r="F53" i="1"/>
  <c r="H53" i="1"/>
  <c r="M53" i="1"/>
  <c r="A8" i="31"/>
  <c r="C8" i="31"/>
  <c r="B22" i="31"/>
  <c r="D22" i="31"/>
  <c r="F22" i="31"/>
  <c r="F28" i="31"/>
  <c r="H28" i="31"/>
  <c r="I28" i="31"/>
  <c r="F29" i="31"/>
  <c r="H29" i="31"/>
  <c r="I29" i="31"/>
  <c r="F30" i="31"/>
  <c r="H30" i="31"/>
  <c r="I30" i="31"/>
  <c r="F31" i="31"/>
  <c r="H31" i="31"/>
  <c r="I31" i="31"/>
  <c r="F33" i="31"/>
  <c r="H33" i="31"/>
  <c r="I33" i="31"/>
  <c r="F34" i="31"/>
  <c r="H34" i="31"/>
  <c r="I34" i="31"/>
  <c r="F35" i="31"/>
  <c r="H35" i="31"/>
  <c r="I35" i="31"/>
  <c r="F36" i="31"/>
  <c r="H36" i="31"/>
  <c r="I36" i="31"/>
  <c r="F38" i="31"/>
  <c r="H38" i="31"/>
  <c r="I38" i="31"/>
  <c r="F39" i="31"/>
  <c r="H39" i="31"/>
  <c r="I39" i="31"/>
  <c r="F40" i="31"/>
  <c r="H40" i="31"/>
  <c r="I40" i="31"/>
  <c r="F41" i="31"/>
  <c r="H41" i="31"/>
  <c r="I41" i="31"/>
  <c r="F43" i="31"/>
  <c r="H43" i="31"/>
  <c r="I43" i="31"/>
  <c r="F44" i="31"/>
  <c r="H44" i="31"/>
  <c r="I44" i="31"/>
  <c r="F45" i="31"/>
  <c r="H45" i="31"/>
  <c r="I45" i="31"/>
  <c r="F46" i="31"/>
  <c r="H46" i="31"/>
  <c r="I46" i="31"/>
  <c r="O58" i="1"/>
  <c r="O57" i="1"/>
  <c r="O56" i="1"/>
  <c r="O55" i="1"/>
  <c r="O60" i="1"/>
  <c r="O59" i="1"/>
  <c r="O54" i="1"/>
  <c r="G14" i="14"/>
  <c r="D2" i="27"/>
  <c r="E2" i="27"/>
  <c r="F2" i="27"/>
  <c r="D3" i="27"/>
  <c r="E3" i="27"/>
  <c r="F3" i="27"/>
  <c r="D4" i="27"/>
  <c r="E4" i="27"/>
  <c r="F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H4" i="27"/>
  <c r="I4" i="27"/>
  <c r="E5" i="27"/>
  <c r="F5" i="27"/>
  <c r="E6" i="27"/>
  <c r="F6" i="27"/>
  <c r="E7" i="27"/>
  <c r="F7" i="27"/>
  <c r="E8" i="27"/>
  <c r="F8" i="27"/>
  <c r="E9" i="27"/>
  <c r="F9" i="27"/>
  <c r="E10" i="27"/>
  <c r="F10" i="27"/>
  <c r="E11" i="27"/>
  <c r="F11" i="27"/>
  <c r="E12" i="27"/>
  <c r="F12" i="27"/>
  <c r="E13" i="27"/>
  <c r="F13" i="27"/>
  <c r="E14" i="27"/>
  <c r="F14" i="27"/>
  <c r="E15" i="27"/>
  <c r="F15" i="27"/>
  <c r="E16" i="27"/>
  <c r="F16" i="27"/>
  <c r="E17" i="27"/>
  <c r="F17" i="27"/>
  <c r="E18" i="27"/>
  <c r="F18" i="27"/>
  <c r="E19" i="27"/>
  <c r="F19" i="27"/>
  <c r="E20" i="27"/>
  <c r="F20" i="27"/>
  <c r="E21" i="27"/>
  <c r="F21" i="27"/>
  <c r="E22" i="27"/>
  <c r="F22" i="27"/>
  <c r="E23" i="27"/>
  <c r="F23" i="27"/>
  <c r="E24" i="27"/>
  <c r="F24" i="27"/>
  <c r="E25" i="27"/>
  <c r="F25" i="27"/>
  <c r="E26" i="27"/>
  <c r="F26" i="27"/>
  <c r="E27" i="27"/>
  <c r="F27" i="27"/>
  <c r="E28" i="27"/>
  <c r="F28" i="27"/>
  <c r="E29" i="27"/>
  <c r="F29" i="27"/>
  <c r="E30" i="27"/>
  <c r="F30" i="27"/>
  <c r="E31" i="27"/>
  <c r="F31" i="27"/>
  <c r="E32" i="27"/>
  <c r="F32" i="27"/>
  <c r="E33" i="27"/>
  <c r="F33" i="27"/>
  <c r="E34" i="27"/>
  <c r="F34" i="27"/>
  <c r="E35" i="27"/>
  <c r="F35" i="27"/>
  <c r="E36" i="27"/>
  <c r="F36" i="27"/>
  <c r="E37" i="27"/>
  <c r="F37" i="27"/>
  <c r="E38" i="27"/>
  <c r="F38" i="27"/>
  <c r="E39" i="27"/>
  <c r="F39" i="27"/>
  <c r="E40" i="27"/>
  <c r="F40" i="27"/>
  <c r="E41" i="27"/>
  <c r="F41" i="27"/>
  <c r="E42" i="27"/>
  <c r="F42" i="27"/>
  <c r="E43" i="27"/>
  <c r="F43" i="27"/>
  <c r="E44" i="27"/>
  <c r="F44" i="27"/>
  <c r="E45" i="27"/>
  <c r="F45" i="27"/>
  <c r="E46" i="27"/>
  <c r="F46" i="27"/>
  <c r="E47" i="27"/>
  <c r="F47" i="27"/>
  <c r="E48" i="27"/>
  <c r="F48" i="27"/>
  <c r="E49" i="27"/>
  <c r="F49" i="27"/>
  <c r="E50" i="27"/>
  <c r="F50" i="27"/>
  <c r="E51" i="27"/>
  <c r="F51" i="27"/>
  <c r="E52" i="27"/>
  <c r="F52" i="27"/>
  <c r="E53" i="27"/>
  <c r="F53" i="27"/>
  <c r="E54" i="27"/>
  <c r="F54" i="27"/>
  <c r="E55" i="27"/>
  <c r="F55" i="27"/>
  <c r="E56" i="27"/>
  <c r="F56" i="27"/>
  <c r="E57" i="27"/>
  <c r="F57" i="27"/>
  <c r="E58" i="27"/>
  <c r="F58" i="27"/>
  <c r="E59" i="27"/>
  <c r="F59" i="27"/>
  <c r="E60" i="27"/>
  <c r="F60" i="27"/>
  <c r="E61" i="27"/>
  <c r="F61" i="27"/>
  <c r="E62" i="27"/>
  <c r="F62" i="27"/>
  <c r="E63" i="27"/>
  <c r="F63" i="27"/>
  <c r="E64" i="27"/>
  <c r="F64" i="27"/>
  <c r="E65" i="27"/>
  <c r="F65" i="27"/>
  <c r="E66" i="27"/>
  <c r="F66" i="27"/>
  <c r="E67" i="27"/>
  <c r="F67" i="27"/>
  <c r="E68" i="27"/>
  <c r="F68" i="27"/>
  <c r="E69" i="27"/>
  <c r="F69" i="27"/>
  <c r="E70" i="27"/>
  <c r="F70" i="27"/>
  <c r="E71" i="27"/>
  <c r="F71" i="27"/>
  <c r="E72" i="27"/>
  <c r="F72" i="27"/>
  <c r="E73" i="27"/>
  <c r="F73" i="27"/>
  <c r="D74" i="27"/>
  <c r="E74" i="27"/>
  <c r="F74" i="27"/>
  <c r="D75" i="27"/>
  <c r="E75" i="27"/>
  <c r="F75" i="27"/>
  <c r="D76" i="27"/>
  <c r="E76" i="27"/>
  <c r="F76" i="27"/>
  <c r="D77" i="27"/>
  <c r="E77" i="27"/>
  <c r="F77" i="27"/>
  <c r="D78" i="27"/>
  <c r="E78" i="27"/>
  <c r="F78" i="27"/>
  <c r="D79" i="27"/>
  <c r="E79" i="27"/>
  <c r="F79" i="27"/>
  <c r="D80" i="27"/>
  <c r="E80" i="27"/>
  <c r="F80" i="27"/>
  <c r="D81" i="27"/>
  <c r="E81" i="27"/>
  <c r="F81" i="27"/>
  <c r="D82" i="27"/>
  <c r="E82" i="27"/>
  <c r="F82" i="27"/>
  <c r="D83" i="27"/>
  <c r="E83" i="27"/>
  <c r="F83" i="27"/>
  <c r="D84" i="27"/>
  <c r="E84" i="27"/>
  <c r="F84" i="27"/>
  <c r="D85" i="27"/>
  <c r="E85" i="27"/>
  <c r="F85" i="27"/>
  <c r="M60" i="1"/>
  <c r="M59" i="1"/>
  <c r="M58" i="1"/>
  <c r="M57" i="1"/>
  <c r="M56" i="1"/>
  <c r="M55" i="1"/>
  <c r="M54" i="1"/>
  <c r="H14" i="14"/>
  <c r="L29" i="14"/>
  <c r="D4" i="7"/>
  <c r="D5" i="7"/>
  <c r="D6" i="7"/>
  <c r="D7" i="7"/>
  <c r="D8" i="7"/>
  <c r="D9" i="7"/>
  <c r="D10" i="7"/>
  <c r="D11" i="7"/>
  <c r="D12" i="7"/>
  <c r="D13" i="7"/>
  <c r="I53" i="1" a="1"/>
  <c r="I53" i="1"/>
  <c r="I52" i="1" a="1"/>
  <c r="I52" i="1"/>
  <c r="I51" i="1" a="1"/>
  <c r="I51" i="1"/>
  <c r="I50" i="1" a="1"/>
  <c r="I50" i="1"/>
  <c r="I49" i="1" a="1"/>
  <c r="I49" i="1"/>
  <c r="I48" i="1" a="1"/>
  <c r="I48" i="1"/>
  <c r="I47" i="1" a="1"/>
  <c r="I47" i="1"/>
  <c r="I46" i="1" a="1"/>
  <c r="I46" i="1"/>
  <c r="I45" i="1" a="1"/>
  <c r="I45" i="1"/>
  <c r="I44" i="1" a="1"/>
  <c r="I44" i="1"/>
  <c r="I43" i="1" a="1"/>
  <c r="I43" i="1"/>
  <c r="I42" i="1" a="1"/>
  <c r="I42" i="1"/>
  <c r="I41" i="1" a="1"/>
  <c r="I41" i="1"/>
  <c r="I40" i="1" a="1"/>
  <c r="I40" i="1"/>
  <c r="I39" i="1" a="1"/>
  <c r="I39" i="1"/>
  <c r="I38" i="1" a="1"/>
  <c r="I38" i="1"/>
  <c r="I37" i="1" a="1"/>
  <c r="I37" i="1"/>
  <c r="I36" i="1" a="1"/>
  <c r="I36" i="1"/>
  <c r="I35" i="1" a="1"/>
  <c r="I35" i="1"/>
  <c r="I34" i="1" a="1"/>
  <c r="I34" i="1"/>
  <c r="I33" i="1" a="1"/>
  <c r="I33" i="1"/>
  <c r="I32" i="1" a="1"/>
  <c r="I32" i="1"/>
  <c r="I31" i="1" a="1"/>
  <c r="I31" i="1"/>
  <c r="I30" i="1" a="1"/>
  <c r="I30" i="1"/>
  <c r="I29" i="1" a="1"/>
  <c r="I29" i="1"/>
  <c r="I28" i="1" a="1"/>
  <c r="I28" i="1"/>
  <c r="I27" i="1" a="1"/>
  <c r="I27" i="1"/>
  <c r="I26" i="1" a="1"/>
  <c r="I26" i="1"/>
  <c r="I25" i="1" a="1"/>
  <c r="I25" i="1"/>
  <c r="I24" i="1" a="1"/>
  <c r="I24" i="1"/>
  <c r="I23" i="1" a="1"/>
  <c r="I23" i="1"/>
  <c r="I22" i="1" a="1"/>
  <c r="I22" i="1"/>
  <c r="I21" i="1" a="1"/>
  <c r="I21" i="1"/>
  <c r="I20" i="1" a="1"/>
  <c r="I20" i="1"/>
  <c r="I19" i="1" a="1"/>
  <c r="I19" i="1"/>
  <c r="I18" i="1" a="1"/>
  <c r="I18" i="1"/>
  <c r="I17" i="1" a="1"/>
  <c r="I17" i="1"/>
  <c r="I16" i="1" a="1"/>
  <c r="I16" i="1"/>
  <c r="I15" i="1" a="1"/>
  <c r="I15" i="1"/>
  <c r="I14" i="1" a="1"/>
  <c r="I14" i="1"/>
  <c r="I13" i="1" a="1"/>
  <c r="I13" i="1"/>
  <c r="I12" i="1" a="1"/>
  <c r="I12" i="1"/>
  <c r="I11" i="1" a="1"/>
  <c r="I11" i="1"/>
  <c r="I10" i="1" a="1"/>
  <c r="I10" i="1"/>
  <c r="I9" i="1" a="1"/>
  <c r="I9" i="1"/>
  <c r="I8" i="1" a="1"/>
  <c r="I8" i="1"/>
  <c r="I7" i="1" a="1"/>
  <c r="I7" i="1"/>
  <c r="I6" i="1" a="1"/>
  <c r="I6" i="1"/>
  <c r="J42" i="1"/>
  <c r="J30" i="1"/>
  <c r="J6" i="1"/>
  <c r="J18" i="1"/>
  <c r="J31" i="1"/>
  <c r="J7" i="1"/>
  <c r="J19" i="1"/>
  <c r="J43" i="1"/>
  <c r="J44" i="1"/>
  <c r="J20" i="1"/>
  <c r="J8" i="1"/>
  <c r="J32" i="1"/>
  <c r="J21" i="1"/>
  <c r="J9" i="1"/>
  <c r="J33" i="1"/>
  <c r="J45" i="1"/>
  <c r="J22" i="1"/>
  <c r="J46" i="1"/>
  <c r="J34" i="1"/>
  <c r="J10" i="1"/>
  <c r="J11" i="1"/>
  <c r="J35" i="1"/>
  <c r="J47" i="1"/>
  <c r="J23" i="1"/>
  <c r="J24" i="1"/>
  <c r="J48" i="1"/>
  <c r="J36" i="1"/>
  <c r="J12" i="1"/>
  <c r="J13" i="1"/>
  <c r="J37" i="1"/>
  <c r="J49" i="1"/>
  <c r="J25" i="1"/>
  <c r="J50" i="1"/>
  <c r="J38" i="1"/>
  <c r="J26" i="1"/>
  <c r="J14" i="1"/>
  <c r="J39" i="1"/>
  <c r="J15" i="1"/>
  <c r="J27" i="1"/>
  <c r="J51" i="1"/>
  <c r="J16" i="1"/>
  <c r="J52" i="1"/>
  <c r="J28" i="1"/>
  <c r="J40" i="1"/>
  <c r="J29" i="1"/>
  <c r="J41" i="1"/>
  <c r="J53" i="1"/>
  <c r="J17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<sst xmlns="http://schemas.openxmlformats.org/spreadsheetml/2006/main" count="486" uniqueCount="266">
  <si>
    <t>total cost</t>
  </si>
  <si>
    <t>Holding cost</t>
  </si>
  <si>
    <t>Ingredient</t>
  </si>
  <si>
    <t>Month</t>
  </si>
  <si>
    <t>Demand</t>
  </si>
  <si>
    <t>Demand Kg per month</t>
  </si>
  <si>
    <t>Order</t>
  </si>
  <si>
    <t>Inventory</t>
  </si>
  <si>
    <t>Cost per Order</t>
  </si>
  <si>
    <t>Cost of Holding</t>
  </si>
  <si>
    <t>constraints</t>
  </si>
  <si>
    <t>LHS</t>
  </si>
  <si>
    <t>RHS</t>
  </si>
  <si>
    <t>&gt;=</t>
  </si>
  <si>
    <t>1 to 1250</t>
  </si>
  <si>
    <t>1251 to 2500</t>
  </si>
  <si>
    <t>5001 to 7500</t>
  </si>
  <si>
    <t>Holding cost (% of the cost/year)</t>
  </si>
  <si>
    <t>1 to 2000</t>
  </si>
  <si>
    <t xml:space="preserve">2001 to 4000 </t>
  </si>
  <si>
    <t>4001 to 6000</t>
  </si>
  <si>
    <t>1 to 1000</t>
  </si>
  <si>
    <t>1001 to 2000</t>
  </si>
  <si>
    <t>2001 to 3000</t>
  </si>
  <si>
    <t>$B$5</t>
  </si>
  <si>
    <t>$D$2</t>
  </si>
  <si>
    <t>Input</t>
  </si>
  <si>
    <t>Sign</t>
  </si>
  <si>
    <t>May</t>
  </si>
  <si>
    <t>Seasonality Index</t>
  </si>
  <si>
    <t>Serial</t>
  </si>
  <si>
    <t>Values</t>
  </si>
  <si>
    <t>Timeline</t>
  </si>
  <si>
    <t>Holding Cost</t>
  </si>
  <si>
    <t>Ordering Cost</t>
  </si>
  <si>
    <t>Feb</t>
  </si>
  <si>
    <t>Jan</t>
  </si>
  <si>
    <t>Year</t>
  </si>
  <si>
    <t>2001 to 4000</t>
  </si>
  <si>
    <t>Q*</t>
  </si>
  <si>
    <t>Price</t>
  </si>
  <si>
    <t xml:space="preserve">Figures marked in green are within range. Hence EOQ </t>
  </si>
  <si>
    <t>1st Case</t>
  </si>
  <si>
    <t>Above 6000</t>
  </si>
  <si>
    <t>Above 3000</t>
  </si>
  <si>
    <t>Price (per kg)</t>
  </si>
  <si>
    <t>Quantity in Kg</t>
  </si>
  <si>
    <t>EOQ = 2DS/lp</t>
  </si>
  <si>
    <t>Annual Demand</t>
  </si>
  <si>
    <t>Dec</t>
  </si>
  <si>
    <t>Nov</t>
  </si>
  <si>
    <t>Oct</t>
  </si>
  <si>
    <t>Sep</t>
  </si>
  <si>
    <t>Aug</t>
  </si>
  <si>
    <t>Jul</t>
  </si>
  <si>
    <t>Jun</t>
  </si>
  <si>
    <t>Apr</t>
  </si>
  <si>
    <t>Mar</t>
  </si>
  <si>
    <t>Demand (kg)</t>
  </si>
  <si>
    <t>2011 forecast</t>
  </si>
  <si>
    <t xml:space="preserve">    </t>
  </si>
  <si>
    <t>&lt;=</t>
  </si>
  <si>
    <t>RMSE</t>
  </si>
  <si>
    <t>MSE</t>
  </si>
  <si>
    <t>MAPE</t>
  </si>
  <si>
    <t>Error</t>
  </si>
  <si>
    <t>Forecasting</t>
  </si>
  <si>
    <t>SI</t>
  </si>
  <si>
    <t>&gt;7500</t>
  </si>
  <si>
    <t>2501 to 5000</t>
  </si>
  <si>
    <t>1 to 2500</t>
  </si>
  <si>
    <t>&gt;3750</t>
  </si>
  <si>
    <t>2501 to 3750</t>
  </si>
  <si>
    <t>&gt;3000</t>
  </si>
  <si>
    <t>&gt;6000</t>
  </si>
  <si>
    <t>TC</t>
  </si>
  <si>
    <t>D</t>
  </si>
  <si>
    <t>Holding cost(H)</t>
  </si>
  <si>
    <t>Ordering cost(S)</t>
  </si>
  <si>
    <t>Price(P)</t>
  </si>
  <si>
    <t>Qty(Q)</t>
  </si>
  <si>
    <t>EOQ &amp; Qty Discount Model</t>
  </si>
  <si>
    <t>2011 Demand</t>
  </si>
  <si>
    <t>Quantity</t>
  </si>
  <si>
    <t>ordering cost</t>
  </si>
  <si>
    <t>Inputs from exhibit</t>
  </si>
  <si>
    <t xml:space="preserve">6th year </t>
  </si>
  <si>
    <t>Regression equation : Y' = a + bx'</t>
  </si>
  <si>
    <t>Total Demand (in kg)</t>
  </si>
  <si>
    <t>a</t>
  </si>
  <si>
    <t>b</t>
  </si>
  <si>
    <t>30 grams</t>
  </si>
  <si>
    <t>y'</t>
  </si>
  <si>
    <t>x'</t>
  </si>
  <si>
    <t>xy</t>
  </si>
  <si>
    <t>x2</t>
  </si>
  <si>
    <t>Sr. no</t>
  </si>
  <si>
    <t>$B$7</t>
  </si>
  <si>
    <t>Dark Chocolate cost per KG</t>
  </si>
  <si>
    <t>$M$55:$M$58</t>
  </si>
  <si>
    <t>Pigments</t>
  </si>
  <si>
    <t>Additives</t>
  </si>
  <si>
    <t>Waxes</t>
  </si>
  <si>
    <t>Fragrance</t>
  </si>
  <si>
    <t>Weight of a lipstick</t>
  </si>
  <si>
    <t>Annual Crate Demand</t>
  </si>
  <si>
    <t>1 Crate = 2000 lipsticks</t>
  </si>
  <si>
    <t>Demand for Pigments</t>
  </si>
  <si>
    <t>Demand for Additives</t>
  </si>
  <si>
    <t>WAXES</t>
  </si>
  <si>
    <t>Waxes shelflife (months)</t>
  </si>
  <si>
    <t>Additives shelflife (months)</t>
  </si>
  <si>
    <t>Pigments shelflife (months)</t>
  </si>
  <si>
    <t>FRAGRANCE</t>
  </si>
  <si>
    <t>PIGMENTS</t>
  </si>
  <si>
    <t>COST DATA AVAILABLE FOR ADDITIVES</t>
  </si>
  <si>
    <t>ADDITIVES</t>
  </si>
  <si>
    <t>WAXES month 1 is not negative</t>
  </si>
  <si>
    <t>WAXES month 2 is not negative</t>
  </si>
  <si>
    <t>WAXES month 3 is not negative</t>
  </si>
  <si>
    <t>WAXES month 4 is not negative</t>
  </si>
  <si>
    <t>WAXES month 5 is not negative</t>
  </si>
  <si>
    <t>WAXES month 6 is not negative</t>
  </si>
  <si>
    <t>WAXES month 7 is not negative</t>
  </si>
  <si>
    <t>WAXES month 8 is not negative</t>
  </si>
  <si>
    <t>WAXES month 9 is not negative</t>
  </si>
  <si>
    <t>WAXES month 10 is not negative</t>
  </si>
  <si>
    <t>WAXES month 11 is not negative</t>
  </si>
  <si>
    <t>WAXES month 12 is not negative</t>
  </si>
  <si>
    <t>Total WAXES is not more than Demand</t>
  </si>
  <si>
    <t>ADDITIVES month 1 is not negative</t>
  </si>
  <si>
    <t>ADDITIVES month 2 is not negative</t>
  </si>
  <si>
    <t>ADDITIVES month 3 is not negative</t>
  </si>
  <si>
    <t>ADDITIVES month 4 is not negative</t>
  </si>
  <si>
    <t>ADDITIVES month 5 is not negative</t>
  </si>
  <si>
    <t>ADDITIVES month 6 is not negative</t>
  </si>
  <si>
    <t>ADDITIVES month 7 is not negative</t>
  </si>
  <si>
    <t>ADDITIVES month 8 is not negative</t>
  </si>
  <si>
    <t>ADDITIVES month 9 is not negative</t>
  </si>
  <si>
    <t>ADDITIVES month 10 is not negative</t>
  </si>
  <si>
    <t>ADDITIVES month 11 is not negative</t>
  </si>
  <si>
    <t>ADDITIVES month 12 is not negative</t>
  </si>
  <si>
    <t>Total ADDITIVES is not more than Demand</t>
  </si>
  <si>
    <t>PIGMENTS month 1 is not negative</t>
  </si>
  <si>
    <t>PIGMENTS month 2 is not negative</t>
  </si>
  <si>
    <t>PIGMENTS month 3 is not negative</t>
  </si>
  <si>
    <t>PIGMENTS month 4 is not negative</t>
  </si>
  <si>
    <t>PIGMENTS month 5 is not negative</t>
  </si>
  <si>
    <t>PIGMENTS month 6 is not negative</t>
  </si>
  <si>
    <t>PIGMENTS month 7 is not negative</t>
  </si>
  <si>
    <t>PIGMENTS month 8 is not negative</t>
  </si>
  <si>
    <t>PIGMENTS month 9 is not negative</t>
  </si>
  <si>
    <t>PIGMENTS month 10 is not negative</t>
  </si>
  <si>
    <t>PIGMENTS month 11 is not negative</t>
  </si>
  <si>
    <t>PIGMENTS month 12 is not negative</t>
  </si>
  <si>
    <t>Total PIGMENTS is not more than Demand</t>
  </si>
  <si>
    <t>FRAGRANCE month 1 is not negative</t>
  </si>
  <si>
    <t>FRAGRANCE month 2 is not negative</t>
  </si>
  <si>
    <t>FRAGRANCE month 3 is not negative</t>
  </si>
  <si>
    <t>FRAGRANCE month 4 is not negative</t>
  </si>
  <si>
    <t>FRAGRANCE month 5 is not negative</t>
  </si>
  <si>
    <t>FRAGRANCE month 6 is not negative</t>
  </si>
  <si>
    <t>FRAGRANCE month 7 is not negative</t>
  </si>
  <si>
    <t>FRAGRANCE month 8 is not negative</t>
  </si>
  <si>
    <t>FRAGRANCE month 9 is not negative</t>
  </si>
  <si>
    <t>FRAGRANCE month 10 is not negative</t>
  </si>
  <si>
    <t>FRAGRANCE month 11 is not negative</t>
  </si>
  <si>
    <t>FRAGRANCE month 12 is not negative</t>
  </si>
  <si>
    <t>Total FRAGRANCE is not more than Demand Q1</t>
  </si>
  <si>
    <t>Total FRAGRANCE is not more than Demand Q2</t>
  </si>
  <si>
    <t>Total FRAGRANCE is not more than Demand Q3</t>
  </si>
  <si>
    <t>Total FRAGRANCE is not more than Demand Q4</t>
  </si>
  <si>
    <t>Lipsticks in a Crate = 2000</t>
  </si>
  <si>
    <t>Quantity in kg Price (POUND/kg)</t>
  </si>
  <si>
    <t xml:space="preserve">1251 to 2500 </t>
  </si>
  <si>
    <t>ABOVE 3750</t>
  </si>
  <si>
    <t>COST DATA AVAILABLE FOR WAXES</t>
  </si>
  <si>
    <t>Waxes kg per crate</t>
  </si>
  <si>
    <t>Ordering cost (POUND/order)</t>
  </si>
  <si>
    <t>COST DATA AVAILABLE FOR FRAGRANCES</t>
  </si>
  <si>
    <t>Fragrances kg per crate</t>
  </si>
  <si>
    <t>Fragrances shelflife (months)</t>
  </si>
  <si>
    <t>ABOVE 7500</t>
  </si>
  <si>
    <t xml:space="preserve">COST DATA AVAILABLE FOR PIGMENTS	</t>
  </si>
  <si>
    <t>Pigments kg per crate</t>
  </si>
  <si>
    <t>Ordering cost (pound/order)</t>
  </si>
  <si>
    <t xml:space="preserve">ABOVE 6000 </t>
  </si>
  <si>
    <t>Additives kg per crate</t>
  </si>
  <si>
    <t>Ordering cost (Pound/order)</t>
  </si>
  <si>
    <t xml:space="preserve">1 to 1000 </t>
  </si>
  <si>
    <t xml:space="preserve">1001 to 2000 </t>
  </si>
  <si>
    <t xml:space="preserve">ABOVE 3000 </t>
  </si>
  <si>
    <t>Demand for waxes</t>
  </si>
  <si>
    <t>Demand for Fragrances</t>
  </si>
  <si>
    <t>Above 3750</t>
  </si>
  <si>
    <t>Fragrances</t>
  </si>
  <si>
    <t>2001 to 5000</t>
  </si>
  <si>
    <t>Above 7500</t>
  </si>
  <si>
    <t>4th Case</t>
  </si>
  <si>
    <t>2nd Case</t>
  </si>
  <si>
    <t>3rd Case</t>
  </si>
  <si>
    <t xml:space="preserve">Here, Seasonality Index has been calculated </t>
  </si>
  <si>
    <t>for the respective months of each year. We</t>
  </si>
  <si>
    <t>got 12 indexes for 12 months in the given</t>
  </si>
  <si>
    <t>five years</t>
  </si>
  <si>
    <t>Explanation:</t>
  </si>
  <si>
    <t>Scatter Plot has been plotted to observe the trend</t>
  </si>
  <si>
    <t>To the left, All the given demands have been</t>
  </si>
  <si>
    <t>maintained for 12 months of five years,</t>
  </si>
  <si>
    <t>which gives  60 data points. A scatter plot</t>
  </si>
  <si>
    <t>has been plotted based on the given</t>
  </si>
  <si>
    <t>demands</t>
  </si>
  <si>
    <t>Based on the given demands monthly,</t>
  </si>
  <si>
    <t>for five years, Annual demand of each</t>
  </si>
  <si>
    <t>year was calculated. Sum of 12 months</t>
  </si>
  <si>
    <t>in a year, gives the annual demand.</t>
  </si>
  <si>
    <t xml:space="preserve">in all the months for the five years and linear regression line </t>
  </si>
  <si>
    <t>is drawn with equation y=15.04x+718.34</t>
  </si>
  <si>
    <t>Seasonal Index calculated previously, is used to forecast</t>
  </si>
  <si>
    <t>demand by combining it with moving averages</t>
  </si>
  <si>
    <t>So the demand forecast could be done, for the next</t>
  </si>
  <si>
    <t>24 months, which is 2 years from D62 TO D85 cells</t>
  </si>
  <si>
    <t>In the above graphs, two plots could be seen, which is</t>
  </si>
  <si>
    <t>forecast with seasonality and forecast without seasonality.</t>
  </si>
  <si>
    <t xml:space="preserve">We could see that the trend is similar for both and a straight </t>
  </si>
  <si>
    <t>line could be seen for future periods which are to be</t>
  </si>
  <si>
    <t>predicted.</t>
  </si>
  <si>
    <t>Here, We could see that Forecasting for the lipsticks was done</t>
  </si>
  <si>
    <t>based on the annual demand calculated in the first, without</t>
  </si>
  <si>
    <t>the seasonality index and the linear regression plot.</t>
  </si>
  <si>
    <t>Sr.No</t>
  </si>
  <si>
    <t>Based on the annual demand which was calculated from</t>
  </si>
  <si>
    <t xml:space="preserve">the given monthly demand, Demand graph has been plotted. </t>
  </si>
  <si>
    <t>It is a linear regression model from which the equation</t>
  </si>
  <si>
    <t>y=1969x+8217.6 gives the a and b values as 8217.6 and</t>
  </si>
  <si>
    <t>1969 respectively. Table with demand on the left is used to calculate</t>
  </si>
  <si>
    <t>Here, the total demand for 2021 year has been forecasted</t>
  </si>
  <si>
    <t>by using the regression method. Based on that demand</t>
  </si>
  <si>
    <t>and given raw material data(inputs) from the problem</t>
  </si>
  <si>
    <t>required amount of raw materials(all in kg) to</t>
  </si>
  <si>
    <t>meet the demand of final product(lipsticks)</t>
  </si>
  <si>
    <t>has been calculated.</t>
  </si>
  <si>
    <t>Wt per crate</t>
  </si>
  <si>
    <t>Forecasting annual demand for Lipsticks using Regression</t>
  </si>
  <si>
    <t>Here, for all the raw materials, based on the given input data</t>
  </si>
  <si>
    <t>Demand, Economic Order Quantity(Q*), Total Costs(TC), has</t>
  </si>
  <si>
    <t xml:space="preserve">been calculated. And the figures highlighted in green for EOQ(Q*) </t>
  </si>
  <si>
    <t xml:space="preserve">for each raw material are the ones which are in the range </t>
  </si>
  <si>
    <t xml:space="preserve">as per the quantity-price data. Hence all respective Total costs for </t>
  </si>
  <si>
    <t>the EOQ have also been highlighted for the raw materials, pigments</t>
  </si>
  <si>
    <t>additives, waxes, fragrances</t>
  </si>
  <si>
    <t xml:space="preserve">Here, the annual demand forecast for the year 2021 was </t>
  </si>
  <si>
    <t>done using seasonal index, which was shown in previous sheets</t>
  </si>
  <si>
    <t>for the lipsticks. Here we could see the annual demand as</t>
  </si>
  <si>
    <t xml:space="preserve">20710 crates. Based on the crates, we were able to calculate the </t>
  </si>
  <si>
    <t xml:space="preserve">number of lipsticks and the amount of raw materials required </t>
  </si>
  <si>
    <t>to calculate these lipsticks based on inventory and the supply</t>
  </si>
  <si>
    <t>and their shelf life.</t>
  </si>
  <si>
    <t>Here, the given inputs for the raw materials, Waxes, Pigments, Additives</t>
  </si>
  <si>
    <t>and Fragrances have been maintained to calculate the EOQ as per the</t>
  </si>
  <si>
    <t>on valid EOQ, calculated below.</t>
  </si>
  <si>
    <t xml:space="preserve">below table. The prices marked in orange are the ones identified based </t>
  </si>
  <si>
    <t xml:space="preserve">Here, Based on the given inputs for the raw materials, the EOQ,(Q*), has </t>
  </si>
  <si>
    <t xml:space="preserve">been calculated and the optimal price and quantity to be ordered to </t>
  </si>
  <si>
    <t>maintain the inventory has been identified.</t>
  </si>
  <si>
    <t>Figures marked in orange are price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</si>
</sst>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2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0" borderId="24" xfId="0" applyBorder="1"/>
    <xf numFmtId="0" fontId="0" fillId="0" borderId="17" xfId="0" applyBorder="1"/>
    <xf numFmtId="1" fontId="3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1" fontId="0" fillId="0" borderId="7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2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9" xfId="0" applyBorder="1"/>
    <xf numFmtId="0" fontId="0" fillId="3" borderId="29" xfId="0" applyFill="1" applyBorder="1" applyAlignment="1">
      <alignment horizontal="center"/>
    </xf>
    <xf numFmtId="0" fontId="0" fillId="3" borderId="7" xfId="0" applyFill="1" applyBorder="1"/>
    <xf numFmtId="0" fontId="0" fillId="0" borderId="21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2" fontId="0" fillId="2" borderId="1" xfId="0" applyNumberFormat="1" applyFill="1" applyBorder="1"/>
    <xf numFmtId="0" fontId="0" fillId="7" borderId="1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7" fillId="8" borderId="1" xfId="0" applyFont="1" applyFill="1" applyBorder="1"/>
    <xf numFmtId="0" fontId="0" fillId="0" borderId="26" xfId="0" applyBorder="1"/>
    <xf numFmtId="0" fontId="0" fillId="0" borderId="25" xfId="0" applyBorder="1"/>
    <xf numFmtId="0" fontId="0" fillId="0" borderId="32" xfId="0" applyBorder="1"/>
    <xf numFmtId="0" fontId="0" fillId="0" borderId="33" xfId="0" applyBorder="1"/>
    <xf numFmtId="0" fontId="0" fillId="0" borderId="31" xfId="0" applyBorder="1"/>
    <xf numFmtId="0" fontId="0" fillId="0" borderId="34" xfId="0" applyBorder="1"/>
    <xf numFmtId="0" fontId="0" fillId="9" borderId="1" xfId="0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8" fillId="9" borderId="32" xfId="0" applyFont="1" applyFill="1" applyBorder="1" applyAlignment="1">
      <alignment horizontal="center" vertical="center"/>
    </xf>
    <xf numFmtId="0" fontId="8" fillId="9" borderId="33" xfId="0" applyFont="1" applyFill="1" applyBorder="1" applyAlignment="1">
      <alignment horizontal="center" vertical="center"/>
    </xf>
    <xf numFmtId="17" fontId="0" fillId="0" borderId="32" xfId="0" applyNumberFormat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42" xfId="0" applyFont="1" applyBorder="1"/>
    <xf numFmtId="0" fontId="3" fillId="0" borderId="43" xfId="0" applyFont="1" applyBorder="1"/>
    <xf numFmtId="0" fontId="0" fillId="0" borderId="43" xfId="0" applyBorder="1"/>
    <xf numFmtId="0" fontId="3" fillId="0" borderId="44" xfId="0" applyFont="1" applyBorder="1"/>
    <xf numFmtId="0" fontId="3" fillId="0" borderId="30" xfId="0" applyFont="1" applyBorder="1"/>
    <xf numFmtId="0" fontId="3" fillId="6" borderId="13" xfId="0" applyFont="1" applyFill="1" applyBorder="1"/>
    <xf numFmtId="0" fontId="3" fillId="6" borderId="41" xfId="0" applyFont="1" applyFill="1" applyBorder="1"/>
    <xf numFmtId="0" fontId="3" fillId="6" borderId="14" xfId="0" applyFont="1" applyFill="1" applyBorder="1"/>
    <xf numFmtId="2" fontId="0" fillId="0" borderId="7" xfId="0" applyNumberFormat="1" applyBorder="1"/>
    <xf numFmtId="2" fontId="0" fillId="2" borderId="7" xfId="0" applyNumberFormat="1" applyFill="1" applyBorder="1"/>
    <xf numFmtId="2" fontId="0" fillId="0" borderId="9" xfId="0" applyNumberFormat="1" applyBorder="1"/>
    <xf numFmtId="0" fontId="0" fillId="0" borderId="3" xfId="0" applyBorder="1"/>
    <xf numFmtId="17" fontId="0" fillId="0" borderId="4" xfId="0" applyNumberFormat="1" applyBorder="1"/>
    <xf numFmtId="0" fontId="0" fillId="0" borderId="4" xfId="0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10" xfId="0" applyNumberFormat="1" applyBorder="1"/>
    <xf numFmtId="2" fontId="0" fillId="2" borderId="9" xfId="0" applyNumberFormat="1" applyFill="1" applyBorder="1"/>
    <xf numFmtId="0" fontId="0" fillId="2" borderId="10" xfId="0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0" fontId="3" fillId="6" borderId="13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0" borderId="32" xfId="0" applyFont="1" applyBorder="1"/>
    <xf numFmtId="0" fontId="3" fillId="0" borderId="26" xfId="0" applyFont="1" applyBorder="1"/>
    <xf numFmtId="0" fontId="0" fillId="12" borderId="25" xfId="0" applyFill="1" applyBorder="1"/>
    <xf numFmtId="0" fontId="6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31" xfId="0" applyFont="1" applyBorder="1"/>
    <xf numFmtId="0" fontId="3" fillId="0" borderId="25" xfId="0" applyFont="1" applyBorder="1"/>
    <xf numFmtId="0" fontId="3" fillId="0" borderId="26" xfId="0" applyFont="1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9" borderId="26" xfId="0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0" fillId="6" borderId="4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0" fontId="3" fillId="12" borderId="35" xfId="0" applyFont="1" applyFill="1" applyBorder="1" applyAlignment="1">
      <alignment horizontal="left"/>
    </xf>
    <xf numFmtId="0" fontId="3" fillId="12" borderId="36" xfId="0" applyFont="1" applyFill="1" applyBorder="1" applyAlignment="1">
      <alignment horizontal="left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11" borderId="13" xfId="0" applyFont="1" applyFill="1" applyBorder="1" applyAlignment="1">
      <alignment horizontal="left" vertical="center"/>
    </xf>
    <xf numFmtId="0" fontId="3" fillId="11" borderId="14" xfId="0" applyFont="1" applyFill="1" applyBorder="1" applyAlignment="1">
      <alignment horizontal="left" vertical="center"/>
    </xf>
    <xf numFmtId="0" fontId="3" fillId="9" borderId="18" xfId="0" applyFont="1" applyFill="1" applyBorder="1" applyAlignment="1">
      <alignment horizontal="center"/>
    </xf>
    <xf numFmtId="0" fontId="3" fillId="9" borderId="47" xfId="0" applyFont="1" applyFill="1" applyBorder="1" applyAlignment="1">
      <alignment horizontal="center"/>
    </xf>
    <xf numFmtId="0" fontId="3" fillId="9" borderId="19" xfId="0" applyFont="1" applyFill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9" borderId="1" xfId="0" applyFont="1" applyFill="1" applyBorder="1" applyAlignment="1">
      <alignment horizontal="center"/>
    </xf>
    <xf numFmtId="0" fontId="0" fillId="9" borderId="26" xfId="0" applyFill="1" applyBorder="1"/>
    <xf numFmtId="0" fontId="0" fillId="9" borderId="25" xfId="0" applyFill="1" applyBorder="1"/>
    <xf numFmtId="0" fontId="0" fillId="9" borderId="1" xfId="0" applyFill="1" applyBorder="1"/>
    <xf numFmtId="1" fontId="0" fillId="7" borderId="1" xfId="0" applyNumberFormat="1" applyFill="1" applyBorder="1" applyAlignment="1">
      <alignment horizontal="center"/>
    </xf>
    <xf numFmtId="0" fontId="0" fillId="11" borderId="30" xfId="0" applyFill="1" applyBorder="1" applyAlignment="1">
      <alignment horizontal="center" vertical="center"/>
    </xf>
  </cellXfs>
  <cellStyles count="5">
    <cellStyle name="Comma 2" xfId="1" xr:uid="{34128ACE-94F7-114C-AFA8-280A89380102}"/>
    <cellStyle name="Comma 3" xfId="4" xr:uid="{3FAA36D7-7E2D-8E4C-8395-D8AC6051B64D}"/>
    <cellStyle name="Normal" xfId="0" builtinId="0"/>
    <cellStyle name="Normal 2" xfId="2" xr:uid="{80454412-CDB2-734F-AE93-627C9DB4257F}"/>
    <cellStyle name="Percent 2" xfId="3" xr:uid="{E601724A-1D67-BC4B-A8E9-C702768E7464}"/>
  </cellStyles>
  <dxfs count="0"/>
  <tableStyles count="0" defaultTableStyle="TableStyleMedium2" defaultPivotStyle="PivotStyleLight16"/>
  <colors>
    <mruColors>
      <color rgb="FFFFA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Scatter</a:t>
            </a:r>
            <a:r>
              <a:rPr lang="en-IN" baseline="0"/>
              <a:t> Plot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692672790901138E-2"/>
                  <c:y val="-0.19877296587926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'Seasonality Index'!$A$2:$A$61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'Seasonality Index'!$B$2:$B$61</c:f>
              <c:numCache>
                <c:formatCode>General</c:formatCode>
                <c:ptCount val="60"/>
                <c:pt idx="0">
                  <c:v>453</c:v>
                </c:pt>
                <c:pt idx="1">
                  <c:v>388</c:v>
                </c:pt>
                <c:pt idx="2">
                  <c:v>467</c:v>
                </c:pt>
                <c:pt idx="3">
                  <c:v>509</c:v>
                </c:pt>
                <c:pt idx="4">
                  <c:v>721</c:v>
                </c:pt>
                <c:pt idx="5">
                  <c:v>856</c:v>
                </c:pt>
                <c:pt idx="6">
                  <c:v>898</c:v>
                </c:pt>
                <c:pt idx="7">
                  <c:v>1007</c:v>
                </c:pt>
                <c:pt idx="8">
                  <c:v>1100</c:v>
                </c:pt>
                <c:pt idx="9">
                  <c:v>1151</c:v>
                </c:pt>
                <c:pt idx="10">
                  <c:v>1165</c:v>
                </c:pt>
                <c:pt idx="11">
                  <c:v>587</c:v>
                </c:pt>
                <c:pt idx="12">
                  <c:v>639</c:v>
                </c:pt>
                <c:pt idx="13">
                  <c:v>721</c:v>
                </c:pt>
                <c:pt idx="14">
                  <c:v>773</c:v>
                </c:pt>
                <c:pt idx="15">
                  <c:v>920</c:v>
                </c:pt>
                <c:pt idx="16">
                  <c:v>1050</c:v>
                </c:pt>
                <c:pt idx="17">
                  <c:v>1134</c:v>
                </c:pt>
                <c:pt idx="18">
                  <c:v>1236</c:v>
                </c:pt>
                <c:pt idx="19">
                  <c:v>1250</c:v>
                </c:pt>
                <c:pt idx="20">
                  <c:v>1295</c:v>
                </c:pt>
                <c:pt idx="21">
                  <c:v>1298</c:v>
                </c:pt>
                <c:pt idx="22">
                  <c:v>1323</c:v>
                </c:pt>
                <c:pt idx="23">
                  <c:v>1195</c:v>
                </c:pt>
                <c:pt idx="24">
                  <c:v>1069</c:v>
                </c:pt>
                <c:pt idx="25">
                  <c:v>996</c:v>
                </c:pt>
                <c:pt idx="26">
                  <c:v>907</c:v>
                </c:pt>
                <c:pt idx="27">
                  <c:v>1049</c:v>
                </c:pt>
                <c:pt idx="28">
                  <c:v>1106</c:v>
                </c:pt>
                <c:pt idx="29">
                  <c:v>1256</c:v>
                </c:pt>
                <c:pt idx="30">
                  <c:v>1301</c:v>
                </c:pt>
                <c:pt idx="31">
                  <c:v>1398</c:v>
                </c:pt>
                <c:pt idx="32">
                  <c:v>1460</c:v>
                </c:pt>
                <c:pt idx="33">
                  <c:v>1471</c:v>
                </c:pt>
                <c:pt idx="34">
                  <c:v>1395</c:v>
                </c:pt>
                <c:pt idx="35">
                  <c:v>1380</c:v>
                </c:pt>
                <c:pt idx="36">
                  <c:v>1143</c:v>
                </c:pt>
                <c:pt idx="37">
                  <c:v>1200</c:v>
                </c:pt>
                <c:pt idx="38">
                  <c:v>1021</c:v>
                </c:pt>
                <c:pt idx="39">
                  <c:v>1231</c:v>
                </c:pt>
                <c:pt idx="40">
                  <c:v>1245</c:v>
                </c:pt>
                <c:pt idx="41">
                  <c:v>1321</c:v>
                </c:pt>
                <c:pt idx="42">
                  <c:v>1439</c:v>
                </c:pt>
                <c:pt idx="43">
                  <c:v>1503</c:v>
                </c:pt>
                <c:pt idx="44">
                  <c:v>1621</c:v>
                </c:pt>
                <c:pt idx="45">
                  <c:v>1588</c:v>
                </c:pt>
                <c:pt idx="46">
                  <c:v>1537</c:v>
                </c:pt>
                <c:pt idx="47">
                  <c:v>1421</c:v>
                </c:pt>
                <c:pt idx="48">
                  <c:v>1258</c:v>
                </c:pt>
                <c:pt idx="49">
                  <c:v>1231</c:v>
                </c:pt>
                <c:pt idx="50">
                  <c:v>1256</c:v>
                </c:pt>
                <c:pt idx="51">
                  <c:v>1385</c:v>
                </c:pt>
                <c:pt idx="52">
                  <c:v>1456</c:v>
                </c:pt>
                <c:pt idx="53">
                  <c:v>1598</c:v>
                </c:pt>
                <c:pt idx="54">
                  <c:v>1710</c:v>
                </c:pt>
                <c:pt idx="55">
                  <c:v>1599</c:v>
                </c:pt>
                <c:pt idx="56">
                  <c:v>1538</c:v>
                </c:pt>
                <c:pt idx="57">
                  <c:v>1498</c:v>
                </c:pt>
                <c:pt idx="58">
                  <c:v>1500</c:v>
                </c:pt>
                <c:pt idx="59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B8-C140-8A42-C6689712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164511"/>
        <c:axId val="565168671"/>
      </c:scatterChart>
      <c:valAx>
        <c:axId val="56516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168671"/>
        <c:crosses val="autoZero"/>
        <c:crossBetween val="midCat"/>
      </c:valAx>
      <c:valAx>
        <c:axId val="56516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164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Forcast</a:t>
            </a:r>
            <a:r>
              <a:rPr lang="en-US" baseline="0"/>
              <a:t> with seasonality Vs Forcast without Seasonality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'Forcast x SI'!$B$1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'Forcast x SI'!$A$2:$A$85</c:f>
              <c:numCache>
                <c:formatCode>General</c:formatCode>
                <c:ptCount val="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</c:numCache>
            </c:numRef>
          </c:cat>
          <c:val>
            <c:numRef>
              <c:f>'Forcast x SI'!$B$2:$B$85</c:f>
              <c:numCache>
                <c:formatCode>General</c:formatCode>
                <c:ptCount val="84"/>
                <c:pt idx="0">
                  <c:v>453</c:v>
                </c:pt>
                <c:pt idx="1">
                  <c:v>388</c:v>
                </c:pt>
                <c:pt idx="2">
                  <c:v>467</c:v>
                </c:pt>
                <c:pt idx="3">
                  <c:v>509</c:v>
                </c:pt>
                <c:pt idx="4">
                  <c:v>721</c:v>
                </c:pt>
                <c:pt idx="5">
                  <c:v>856</c:v>
                </c:pt>
                <c:pt idx="6">
                  <c:v>898</c:v>
                </c:pt>
                <c:pt idx="7">
                  <c:v>1007</c:v>
                </c:pt>
                <c:pt idx="8">
                  <c:v>1100</c:v>
                </c:pt>
                <c:pt idx="9">
                  <c:v>1151</c:v>
                </c:pt>
                <c:pt idx="10">
                  <c:v>1165</c:v>
                </c:pt>
                <c:pt idx="11">
                  <c:v>587</c:v>
                </c:pt>
                <c:pt idx="12">
                  <c:v>639</c:v>
                </c:pt>
                <c:pt idx="13">
                  <c:v>721</c:v>
                </c:pt>
                <c:pt idx="14">
                  <c:v>773</c:v>
                </c:pt>
                <c:pt idx="15">
                  <c:v>920</c:v>
                </c:pt>
                <c:pt idx="16">
                  <c:v>1050</c:v>
                </c:pt>
                <c:pt idx="17">
                  <c:v>1134</c:v>
                </c:pt>
                <c:pt idx="18">
                  <c:v>1236</c:v>
                </c:pt>
                <c:pt idx="19">
                  <c:v>1250</c:v>
                </c:pt>
                <c:pt idx="20">
                  <c:v>1295</c:v>
                </c:pt>
                <c:pt idx="21">
                  <c:v>1298</c:v>
                </c:pt>
                <c:pt idx="22">
                  <c:v>1323</c:v>
                </c:pt>
                <c:pt idx="23">
                  <c:v>1195</c:v>
                </c:pt>
                <c:pt idx="24">
                  <c:v>1069</c:v>
                </c:pt>
                <c:pt idx="25">
                  <c:v>996</c:v>
                </c:pt>
                <c:pt idx="26">
                  <c:v>907</c:v>
                </c:pt>
                <c:pt idx="27">
                  <c:v>1049</c:v>
                </c:pt>
                <c:pt idx="28">
                  <c:v>1106</c:v>
                </c:pt>
                <c:pt idx="29">
                  <c:v>1256</c:v>
                </c:pt>
                <c:pt idx="30">
                  <c:v>1301</c:v>
                </c:pt>
                <c:pt idx="31">
                  <c:v>1398</c:v>
                </c:pt>
                <c:pt idx="32">
                  <c:v>1460</c:v>
                </c:pt>
                <c:pt idx="33">
                  <c:v>1471</c:v>
                </c:pt>
                <c:pt idx="34">
                  <c:v>1395</c:v>
                </c:pt>
                <c:pt idx="35">
                  <c:v>1380</c:v>
                </c:pt>
                <c:pt idx="36">
                  <c:v>1143</c:v>
                </c:pt>
                <c:pt idx="37">
                  <c:v>1200</c:v>
                </c:pt>
                <c:pt idx="38">
                  <c:v>1021</c:v>
                </c:pt>
                <c:pt idx="39">
                  <c:v>1231</c:v>
                </c:pt>
                <c:pt idx="40">
                  <c:v>1245</c:v>
                </c:pt>
                <c:pt idx="41">
                  <c:v>1321</c:v>
                </c:pt>
                <c:pt idx="42">
                  <c:v>1439</c:v>
                </c:pt>
                <c:pt idx="43">
                  <c:v>1503</c:v>
                </c:pt>
                <c:pt idx="44">
                  <c:v>1621</c:v>
                </c:pt>
                <c:pt idx="45">
                  <c:v>1588</c:v>
                </c:pt>
                <c:pt idx="46">
                  <c:v>1537</c:v>
                </c:pt>
                <c:pt idx="47">
                  <c:v>1421</c:v>
                </c:pt>
                <c:pt idx="48">
                  <c:v>1258</c:v>
                </c:pt>
                <c:pt idx="49">
                  <c:v>1231</c:v>
                </c:pt>
                <c:pt idx="50">
                  <c:v>1256</c:v>
                </c:pt>
                <c:pt idx="51">
                  <c:v>1385</c:v>
                </c:pt>
                <c:pt idx="52">
                  <c:v>1456</c:v>
                </c:pt>
                <c:pt idx="53">
                  <c:v>1598</c:v>
                </c:pt>
                <c:pt idx="54">
                  <c:v>1710</c:v>
                </c:pt>
                <c:pt idx="55">
                  <c:v>1599</c:v>
                </c:pt>
                <c:pt idx="56">
                  <c:v>1538</c:v>
                </c:pt>
                <c:pt idx="57">
                  <c:v>1498</c:v>
                </c:pt>
                <c:pt idx="58">
                  <c:v>1500</c:v>
                </c:pt>
                <c:pt idx="59">
                  <c:v>1400</c:v>
                </c:pt>
                <c:pt idx="60">
                  <c:v>1635.7593220338999</c:v>
                </c:pt>
                <c:pt idx="61">
                  <c:v>1650.7989719366501</c:v>
                </c:pt>
                <c:pt idx="62">
                  <c:v>1665.8386218394</c:v>
                </c:pt>
                <c:pt idx="63">
                  <c:v>1680.87827174215</c:v>
                </c:pt>
                <c:pt idx="64">
                  <c:v>1695.9179216448999</c:v>
                </c:pt>
                <c:pt idx="65">
                  <c:v>1710.9575715476501</c:v>
                </c:pt>
                <c:pt idx="66">
                  <c:v>1725.9972214504</c:v>
                </c:pt>
                <c:pt idx="67">
                  <c:v>1741.03687135315</c:v>
                </c:pt>
                <c:pt idx="68">
                  <c:v>1756.0765212558999</c:v>
                </c:pt>
                <c:pt idx="69">
                  <c:v>1771.1161711586501</c:v>
                </c:pt>
                <c:pt idx="70">
                  <c:v>1786.1558210614</c:v>
                </c:pt>
                <c:pt idx="71">
                  <c:v>1801.19547096415</c:v>
                </c:pt>
                <c:pt idx="72">
                  <c:v>1816.2351208668999</c:v>
                </c:pt>
                <c:pt idx="73">
                  <c:v>1831.2747707696501</c:v>
                </c:pt>
                <c:pt idx="74">
                  <c:v>1846.3144206724101</c:v>
                </c:pt>
                <c:pt idx="75">
                  <c:v>1861.35407057516</c:v>
                </c:pt>
                <c:pt idx="76">
                  <c:v>1876.3937204779099</c:v>
                </c:pt>
                <c:pt idx="77">
                  <c:v>1891.4333703806601</c:v>
                </c:pt>
                <c:pt idx="78">
                  <c:v>1906.4730202834101</c:v>
                </c:pt>
                <c:pt idx="79">
                  <c:v>1921.51267018616</c:v>
                </c:pt>
                <c:pt idx="80">
                  <c:v>1936.5523200889099</c:v>
                </c:pt>
                <c:pt idx="81">
                  <c:v>1951.5919699916601</c:v>
                </c:pt>
                <c:pt idx="82">
                  <c:v>1966.6316198944101</c:v>
                </c:pt>
                <c:pt idx="83">
                  <c:v>1981.67126979716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EB-D745-8A17-939A932687D1}"/>
            </c:ext>
          </c:extLst>
        </c:ser>
        <c:ser>
          <c:idx val="1"/>
          <c:order val="1"/>
          <c:tx>
            <c:strRef>
              <c:f>'Forcast x SI'!$C$1</c:f>
              <c:strCache>
                <c:ptCount val="1"/>
                <c:pt idx="0">
                  <c:v>SI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'Forcast x SI'!$A$2:$A$85</c:f>
              <c:numCache>
                <c:formatCode>General</c:formatCode>
                <c:ptCount val="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</c:numCache>
            </c:numRef>
          </c:cat>
          <c:val>
            <c:numRef>
              <c:f>'Forcast x SI'!$C$2:$C$85</c:f>
              <c:numCache>
                <c:formatCode>General</c:formatCode>
                <c:ptCount val="84"/>
                <c:pt idx="0">
                  <c:v>0.77515823500000003</c:v>
                </c:pt>
                <c:pt idx="1">
                  <c:v>0.77074041000000004</c:v>
                </c:pt>
                <c:pt idx="2">
                  <c:v>0.75170978300000002</c:v>
                </c:pt>
                <c:pt idx="3">
                  <c:v>0.865553715</c:v>
                </c:pt>
                <c:pt idx="4">
                  <c:v>0.947793212</c:v>
                </c:pt>
                <c:pt idx="5">
                  <c:v>1.047534089</c:v>
                </c:pt>
                <c:pt idx="6">
                  <c:v>1.118729026</c:v>
                </c:pt>
                <c:pt idx="7">
                  <c:v>1.148124549</c:v>
                </c:pt>
                <c:pt idx="8">
                  <c:v>1.191793042</c:v>
                </c:pt>
                <c:pt idx="9">
                  <c:v>1.1904337110000001</c:v>
                </c:pt>
                <c:pt idx="10">
                  <c:v>1.1758209079999999</c:v>
                </c:pt>
                <c:pt idx="11">
                  <c:v>1.0166093199999999</c:v>
                </c:pt>
                <c:pt idx="12">
                  <c:v>0.77515823500000003</c:v>
                </c:pt>
                <c:pt idx="13">
                  <c:v>0.77074041000000004</c:v>
                </c:pt>
                <c:pt idx="14">
                  <c:v>0.75170978300000002</c:v>
                </c:pt>
                <c:pt idx="15">
                  <c:v>0.865553715</c:v>
                </c:pt>
                <c:pt idx="16">
                  <c:v>0.947793212</c:v>
                </c:pt>
                <c:pt idx="17">
                  <c:v>1.047534089</c:v>
                </c:pt>
                <c:pt idx="18">
                  <c:v>1.118729026</c:v>
                </c:pt>
                <c:pt idx="19">
                  <c:v>1.148124549</c:v>
                </c:pt>
                <c:pt idx="20">
                  <c:v>1.191793042</c:v>
                </c:pt>
                <c:pt idx="21">
                  <c:v>1.1904337110000001</c:v>
                </c:pt>
                <c:pt idx="22">
                  <c:v>1.1758209079999999</c:v>
                </c:pt>
                <c:pt idx="23">
                  <c:v>1.0166093199999999</c:v>
                </c:pt>
                <c:pt idx="24">
                  <c:v>0.77515823500000003</c:v>
                </c:pt>
                <c:pt idx="25">
                  <c:v>0.77074041000000004</c:v>
                </c:pt>
                <c:pt idx="26">
                  <c:v>0.75170978300000002</c:v>
                </c:pt>
                <c:pt idx="27">
                  <c:v>0.865553715</c:v>
                </c:pt>
                <c:pt idx="28">
                  <c:v>0.947793212</c:v>
                </c:pt>
                <c:pt idx="29">
                  <c:v>1.047534089</c:v>
                </c:pt>
                <c:pt idx="30">
                  <c:v>1.118729026</c:v>
                </c:pt>
                <c:pt idx="31">
                  <c:v>1.148124549</c:v>
                </c:pt>
                <c:pt idx="32">
                  <c:v>1.191793042</c:v>
                </c:pt>
                <c:pt idx="33">
                  <c:v>1.1904337110000001</c:v>
                </c:pt>
                <c:pt idx="34">
                  <c:v>1.1758209079999999</c:v>
                </c:pt>
                <c:pt idx="35">
                  <c:v>1.0166093199999999</c:v>
                </c:pt>
                <c:pt idx="36">
                  <c:v>0.77515823500000003</c:v>
                </c:pt>
                <c:pt idx="37">
                  <c:v>0.77074041000000004</c:v>
                </c:pt>
                <c:pt idx="38">
                  <c:v>0.75170978300000002</c:v>
                </c:pt>
                <c:pt idx="39">
                  <c:v>0.865553715</c:v>
                </c:pt>
                <c:pt idx="40">
                  <c:v>0.947793212</c:v>
                </c:pt>
                <c:pt idx="41">
                  <c:v>1.047534089</c:v>
                </c:pt>
                <c:pt idx="42">
                  <c:v>1.118729026</c:v>
                </c:pt>
                <c:pt idx="43">
                  <c:v>1.148124549</c:v>
                </c:pt>
                <c:pt idx="44">
                  <c:v>1.191793042</c:v>
                </c:pt>
                <c:pt idx="45">
                  <c:v>1.1904337110000001</c:v>
                </c:pt>
                <c:pt idx="46">
                  <c:v>1.1758209079999999</c:v>
                </c:pt>
                <c:pt idx="47">
                  <c:v>1.0166093199999999</c:v>
                </c:pt>
                <c:pt idx="48">
                  <c:v>0.77515823500000003</c:v>
                </c:pt>
                <c:pt idx="49">
                  <c:v>0.77074041000000004</c:v>
                </c:pt>
                <c:pt idx="50">
                  <c:v>0.75170978300000002</c:v>
                </c:pt>
                <c:pt idx="51">
                  <c:v>0.865553715</c:v>
                </c:pt>
                <c:pt idx="52">
                  <c:v>0.947793212</c:v>
                </c:pt>
                <c:pt idx="53">
                  <c:v>1.047534089</c:v>
                </c:pt>
                <c:pt idx="54">
                  <c:v>1.118729026</c:v>
                </c:pt>
                <c:pt idx="55">
                  <c:v>1.148124549</c:v>
                </c:pt>
                <c:pt idx="56">
                  <c:v>1.191793042</c:v>
                </c:pt>
                <c:pt idx="57">
                  <c:v>1.1904337110000001</c:v>
                </c:pt>
                <c:pt idx="58">
                  <c:v>1.1758209079999999</c:v>
                </c:pt>
                <c:pt idx="59">
                  <c:v>1.0166093199999999</c:v>
                </c:pt>
                <c:pt idx="60">
                  <c:v>0.77515823500000003</c:v>
                </c:pt>
                <c:pt idx="61">
                  <c:v>0.77074041000000004</c:v>
                </c:pt>
                <c:pt idx="62">
                  <c:v>0.75170978300000002</c:v>
                </c:pt>
                <c:pt idx="63">
                  <c:v>0.865553715</c:v>
                </c:pt>
                <c:pt idx="64">
                  <c:v>0.947793212</c:v>
                </c:pt>
                <c:pt idx="65">
                  <c:v>1.047534089</c:v>
                </c:pt>
                <c:pt idx="66">
                  <c:v>1.118729026</c:v>
                </c:pt>
                <c:pt idx="67">
                  <c:v>1.148124549</c:v>
                </c:pt>
                <c:pt idx="68">
                  <c:v>1.191793042</c:v>
                </c:pt>
                <c:pt idx="69">
                  <c:v>1.1904337110000001</c:v>
                </c:pt>
                <c:pt idx="70">
                  <c:v>1.1758209079999999</c:v>
                </c:pt>
                <c:pt idx="71">
                  <c:v>1.0166093199999999</c:v>
                </c:pt>
                <c:pt idx="72">
                  <c:v>0.77515823500000003</c:v>
                </c:pt>
                <c:pt idx="73">
                  <c:v>0.77074041000000004</c:v>
                </c:pt>
                <c:pt idx="74">
                  <c:v>0.75170978300000002</c:v>
                </c:pt>
                <c:pt idx="75">
                  <c:v>0.865553715</c:v>
                </c:pt>
                <c:pt idx="76">
                  <c:v>0.947793212</c:v>
                </c:pt>
                <c:pt idx="77">
                  <c:v>1.047534089</c:v>
                </c:pt>
                <c:pt idx="78">
                  <c:v>1.118729026</c:v>
                </c:pt>
                <c:pt idx="79">
                  <c:v>1.148124549</c:v>
                </c:pt>
                <c:pt idx="80">
                  <c:v>1.191793042</c:v>
                </c:pt>
                <c:pt idx="81">
                  <c:v>1.1904337110000001</c:v>
                </c:pt>
                <c:pt idx="82">
                  <c:v>1.1758209079999999</c:v>
                </c:pt>
                <c:pt idx="83">
                  <c:v>1.0166093199999999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EB-D745-8A17-939A932687D1}"/>
            </c:ext>
          </c:extLst>
        </c:ser>
        <c:ser>
          <c:idx val="2"/>
          <c:order val="2"/>
          <c:tx>
            <c:strRef>
              <c:f>'Forcast x SI'!$D$1</c:f>
              <c:strCache>
                <c:ptCount val="1"/>
                <c:pt idx="0">
                  <c:v>Forecasting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'Forcast x SI'!$A$2:$A$85</c:f>
              <c:numCache>
                <c:formatCode>General</c:formatCode>
                <c:ptCount val="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</c:numCache>
            </c:numRef>
          </c:cat>
          <c:val>
            <c:numRef>
              <c:f>'Forcast x SI'!$D$2:$D$85</c:f>
              <c:numCache>
                <c:formatCode>General</c:formatCode>
                <c:ptCount val="84"/>
                <c:pt idx="0">
                  <c:v>351.14668045500002</c:v>
                </c:pt>
                <c:pt idx="1">
                  <c:v>299.04727908000001</c:v>
                </c:pt>
                <c:pt idx="2">
                  <c:v>351.04846866100002</c:v>
                </c:pt>
                <c:pt idx="3">
                  <c:v>440.56684093500002</c:v>
                </c:pt>
                <c:pt idx="4">
                  <c:v>683.35890585200002</c:v>
                </c:pt>
                <c:pt idx="5">
                  <c:v>896.68918018399995</c:v>
                </c:pt>
                <c:pt idx="6">
                  <c:v>1004.618665348</c:v>
                </c:pt>
                <c:pt idx="7">
                  <c:v>1156.1614208430001</c:v>
                </c:pt>
                <c:pt idx="8">
                  <c:v>1310.9723461999999</c:v>
                </c:pt>
                <c:pt idx="9">
                  <c:v>1370.189201361</c:v>
                </c:pt>
                <c:pt idx="10">
                  <c:v>1369.83135782</c:v>
                </c:pt>
                <c:pt idx="11">
                  <c:v>596.74967083999991</c:v>
                </c:pt>
                <c:pt idx="12">
                  <c:v>495.32611216500004</c:v>
                </c:pt>
                <c:pt idx="13">
                  <c:v>555.70383561000006</c:v>
                </c:pt>
                <c:pt idx="14">
                  <c:v>581.07166225900005</c:v>
                </c:pt>
                <c:pt idx="15">
                  <c:v>796.30941780000001</c:v>
                </c:pt>
                <c:pt idx="16">
                  <c:v>995.1828726</c:v>
                </c:pt>
                <c:pt idx="17">
                  <c:v>1187.9036569259999</c:v>
                </c:pt>
                <c:pt idx="18">
                  <c:v>1382.749076136</c:v>
                </c:pt>
                <c:pt idx="19">
                  <c:v>1435.1556862500001</c:v>
                </c:pt>
                <c:pt idx="20">
                  <c:v>1543.37198939</c:v>
                </c:pt>
                <c:pt idx="21">
                  <c:v>1545.1829568780001</c:v>
                </c:pt>
                <c:pt idx="22">
                  <c:v>1555.611061284</c:v>
                </c:pt>
                <c:pt idx="23">
                  <c:v>1214.8481373999998</c:v>
                </c:pt>
                <c:pt idx="24">
                  <c:v>828.64415321500007</c:v>
                </c:pt>
                <c:pt idx="25">
                  <c:v>767.65744835999999</c:v>
                </c:pt>
                <c:pt idx="26">
                  <c:v>681.80077318100007</c:v>
                </c:pt>
                <c:pt idx="27">
                  <c:v>907.96584703500002</c:v>
                </c:pt>
                <c:pt idx="28">
                  <c:v>1048.259292472</c:v>
                </c:pt>
                <c:pt idx="29">
                  <c:v>1315.702815784</c:v>
                </c:pt>
                <c:pt idx="30">
                  <c:v>1455.466462826</c:v>
                </c:pt>
                <c:pt idx="31">
                  <c:v>1605.0781195020002</c:v>
                </c:pt>
                <c:pt idx="32">
                  <c:v>1740.0178413200001</c:v>
                </c:pt>
                <c:pt idx="33">
                  <c:v>1751.1279888810002</c:v>
                </c:pt>
                <c:pt idx="34">
                  <c:v>1640.2701666599999</c:v>
                </c:pt>
                <c:pt idx="35">
                  <c:v>1402.9208615999999</c:v>
                </c:pt>
                <c:pt idx="36">
                  <c:v>886.00586260500006</c:v>
                </c:pt>
                <c:pt idx="37">
                  <c:v>924.88849200000004</c:v>
                </c:pt>
                <c:pt idx="38">
                  <c:v>767.49568844300006</c:v>
                </c:pt>
                <c:pt idx="39">
                  <c:v>1065.4966231650001</c:v>
                </c:pt>
                <c:pt idx="40">
                  <c:v>1180.00254894</c:v>
                </c:pt>
                <c:pt idx="41">
                  <c:v>1383.7925315689999</c:v>
                </c:pt>
                <c:pt idx="42">
                  <c:v>1609.8510684140001</c:v>
                </c:pt>
                <c:pt idx="43">
                  <c:v>1725.631197147</c:v>
                </c:pt>
                <c:pt idx="44">
                  <c:v>1931.8965210819999</c:v>
                </c:pt>
                <c:pt idx="45">
                  <c:v>1890.4087330680002</c:v>
                </c:pt>
                <c:pt idx="46">
                  <c:v>1807.236735596</c:v>
                </c:pt>
                <c:pt idx="47">
                  <c:v>1444.6018437199998</c:v>
                </c:pt>
                <c:pt idx="48">
                  <c:v>975.14905963000001</c:v>
                </c:pt>
                <c:pt idx="49">
                  <c:v>948.78144471000007</c:v>
                </c:pt>
                <c:pt idx="50">
                  <c:v>944.14748744799999</c:v>
                </c:pt>
                <c:pt idx="51">
                  <c:v>1198.7918952750001</c:v>
                </c:pt>
                <c:pt idx="52">
                  <c:v>1379.986916672</c:v>
                </c:pt>
                <c:pt idx="53">
                  <c:v>1673.9594742219999</c:v>
                </c:pt>
                <c:pt idx="54">
                  <c:v>1913.02663446</c:v>
                </c:pt>
                <c:pt idx="55">
                  <c:v>1835.8511538510002</c:v>
                </c:pt>
                <c:pt idx="56">
                  <c:v>1832.977698596</c:v>
                </c:pt>
                <c:pt idx="57">
                  <c:v>1783.269699078</c:v>
                </c:pt>
                <c:pt idx="58">
                  <c:v>1763.731362</c:v>
                </c:pt>
                <c:pt idx="59">
                  <c:v>1423.2530479999998</c:v>
                </c:pt>
                <c:pt idx="60">
                  <c:v>1267.9723089525946</c:v>
                </c:pt>
                <c:pt idx="61">
                  <c:v>1272.3374764580324</c:v>
                </c:pt>
                <c:pt idx="62">
                  <c:v>1252.2271889359145</c:v>
                </c:pt>
                <c:pt idx="63">
                  <c:v>1454.8904325691974</c:v>
                </c:pt>
                <c:pt idx="64">
                  <c:v>1607.3794942441841</c:v>
                </c:pt>
                <c:pt idx="65">
                  <c:v>1792.28638102882</c:v>
                </c:pt>
                <c:pt idx="66">
                  <c:v>1930.9231904319124</c:v>
                </c:pt>
                <c:pt idx="67">
                  <c:v>1998.9271727147063</c:v>
                </c:pt>
                <c:pt idx="68">
                  <c:v>2092.8797792523469</c:v>
                </c:pt>
                <c:pt idx="69">
                  <c:v>2108.3963962445032</c:v>
                </c:pt>
                <c:pt idx="70">
                  <c:v>2100.199359349901</c:v>
                </c:pt>
                <c:pt idx="71">
                  <c:v>1831.1121029239441</c:v>
                </c:pt>
                <c:pt idx="72">
                  <c:v>1407.8696106361979</c:v>
                </c:pt>
                <c:pt idx="73">
                  <c:v>1411.4374676456562</c:v>
                </c:pt>
                <c:pt idx="74">
                  <c:v>1387.892612513428</c:v>
                </c:pt>
                <c:pt idx="75">
                  <c:v>1611.1019307167019</c:v>
                </c:pt>
                <c:pt idx="76">
                  <c:v>1778.4332313083885</c:v>
                </c:pt>
                <c:pt idx="77">
                  <c:v>1981.3409325459045</c:v>
                </c:pt>
                <c:pt idx="78">
                  <c:v>2132.8267050769377</c:v>
                </c:pt>
                <c:pt idx="79">
                  <c:v>2206.1358678552706</c:v>
                </c:pt>
                <c:pt idx="80">
                  <c:v>2307.9695805509195</c:v>
                </c:pt>
                <c:pt idx="81">
                  <c:v>2323.2408711949729</c:v>
                </c:pt>
                <c:pt idx="82">
                  <c:v>2312.4065770057559</c:v>
                </c:pt>
                <c:pt idx="83">
                  <c:v>2014.5854820520271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EB-D745-8A17-939A93268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601344"/>
        <c:axId val="1866944432"/>
      </c:lineChart>
      <c:catAx>
        <c:axId val="186660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944432"/>
        <c:crosses val="autoZero"/>
        <c:auto val="1"/>
        <c:lblAlgn val="ctr"/>
        <c:lblOffset val="100"/>
        <c:noMultiLvlLbl val="0"/>
      </c:catAx>
      <c:valAx>
        <c:axId val="186694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60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'Forecasting (using regression)'!$V$2</c:f>
              <c:strCache>
                <c:ptCount val="1"/>
                <c:pt idx="0">
                  <c:v>Demand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6140310339311504E-2"/>
                  <c:y val="-0.137510162312743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'Forecasting (using regression)'!$U$3:$U$7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'Forecasting (using regression)'!$V$3:$V$7</c:f>
              <c:numCache>
                <c:formatCode>General</c:formatCode>
                <c:ptCount val="5"/>
                <c:pt idx="0">
                  <c:v>9302</c:v>
                </c:pt>
                <c:pt idx="1">
                  <c:v>12834</c:v>
                </c:pt>
                <c:pt idx="2">
                  <c:v>14788</c:v>
                </c:pt>
                <c:pt idx="3">
                  <c:v>16270</c:v>
                </c:pt>
                <c:pt idx="4">
                  <c:v>17429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9-B24A-9F06-C7EF0ED2E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410000"/>
        <c:axId val="569767392"/>
      </c:scatterChart>
      <c:valAx>
        <c:axId val="56941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767392"/>
        <c:crosses val="autoZero"/>
        <c:crossBetween val="midCat"/>
      </c:valAx>
      <c:valAx>
        <c:axId val="56976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1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88900</xdr:colOff>
      <xdr:row>50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F0E1CB-9520-9822-4F3C-1D42653CE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381000"/>
          <a:ext cx="7518400" cy="932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197909</xdr:colOff>
      <xdr:row>13</xdr:row>
      <xdr:rowOff>63499</xdr:rowOff>
    </xdr:from>
    <xdr:to>
      <xdr:col>14</xdr:col>
      <xdr:colOff>528108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6029B6-FB27-1D4D-A1CF-E6A0DE1451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488950</xdr:colOff>
      <xdr:row>1</xdr:row>
      <xdr:rowOff>133350</xdr:rowOff>
    </xdr:from>
    <xdr:to>
      <xdr:col>22</xdr:col>
      <xdr:colOff>330200</xdr:colOff>
      <xdr:row>19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47ABA6-E96E-3845-A808-4BE7162737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635000</xdr:colOff>
      <xdr:row>0</xdr:row>
      <xdr:rowOff>165100</xdr:rowOff>
    </xdr:from>
    <xdr:to>
      <xdr:col>30</xdr:col>
      <xdr:colOff>622300</xdr:colOff>
      <xdr:row>17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C521FC-D4D5-51E3-BAE3-CEDCA2EC1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0938-899B-0C46-A22B-198EC09F20F2}">
  <dimension ref="A1:M52"/>
  <sheetViews>
    <sheetView zoomScaleNormal="100" workbookViewId="0">
      <selection activeCell="N15" sqref="N15"/>
    </sheetView>
  </sheetViews>
  <sheetFormatPr baseColWidth="10" defaultRowHeight="15" x14ac:dyDescent="0.2"/>
  <sheetData>
    <row r="1" spans="1:13" ht="15" customHeight="1" x14ac:dyDescent="0.2">
      <c r="A1" s="21"/>
      <c r="B1" s="21"/>
      <c r="C1" s="21"/>
      <c r="D1" s="21"/>
      <c r="E1" s="21"/>
      <c r="F1" s="21"/>
      <c r="G1" s="21"/>
      <c r="H1" s="21"/>
      <c r="I1" s="20"/>
      <c r="J1" s="20"/>
      <c r="K1" s="20"/>
      <c r="L1" s="20"/>
      <c r="M1" s="20"/>
    </row>
    <row r="2" spans="1:13" ht="15" customHeight="1" x14ac:dyDescent="0.2">
      <c r="A2" s="21"/>
      <c r="B2" s="21"/>
      <c r="C2" s="21"/>
      <c r="D2" s="21"/>
      <c r="E2" s="21"/>
      <c r="F2" s="21"/>
      <c r="G2" s="21"/>
      <c r="H2" s="21"/>
      <c r="I2" s="20"/>
      <c r="J2" s="20"/>
      <c r="K2" s="20"/>
      <c r="L2" s="20"/>
      <c r="M2" s="20"/>
    </row>
    <row r="3" spans="1:13" ht="15" customHeight="1" x14ac:dyDescent="0.2">
      <c r="A3" s="21"/>
      <c r="B3" s="53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</row>
    <row r="4" spans="1:13" ht="15" customHeight="1" x14ac:dyDescent="0.2">
      <c r="A4" s="21"/>
      <c r="B4" s="21"/>
      <c r="C4" s="21"/>
      <c r="D4" s="21"/>
      <c r="E4" s="21"/>
      <c r="F4" s="21"/>
      <c r="G4" s="21"/>
      <c r="H4" s="21"/>
      <c r="I4" s="20"/>
      <c r="J4" s="20"/>
      <c r="K4" s="20"/>
      <c r="L4" s="20"/>
      <c r="M4" s="20"/>
    </row>
    <row r="5" spans="1:13" ht="15" customHeight="1" x14ac:dyDescent="0.2">
      <c r="A5" s="21"/>
      <c r="B5" s="21"/>
      <c r="C5" s="21"/>
      <c r="D5" s="21"/>
      <c r="E5" s="21"/>
      <c r="F5" s="21"/>
      <c r="G5" s="21"/>
      <c r="H5" s="21"/>
      <c r="I5" s="20"/>
      <c r="J5" s="20"/>
      <c r="K5" s="20"/>
      <c r="L5" s="20"/>
      <c r="M5" s="20"/>
    </row>
    <row r="6" spans="1:13" ht="15" customHeight="1" x14ac:dyDescent="0.2">
      <c r="A6" s="21"/>
      <c r="B6" s="21"/>
      <c r="C6" s="21"/>
      <c r="D6" s="21"/>
      <c r="E6" s="21"/>
      <c r="F6" s="21"/>
      <c r="G6" s="21"/>
      <c r="H6" s="21"/>
      <c r="I6" s="20"/>
      <c r="J6" s="20"/>
      <c r="K6" s="20"/>
      <c r="L6" s="20"/>
      <c r="M6" s="20"/>
    </row>
    <row r="7" spans="1:13" ht="15" customHeight="1" x14ac:dyDescent="0.2">
      <c r="A7" s="21"/>
      <c r="B7" s="21"/>
      <c r="C7" s="21"/>
      <c r="D7" s="21"/>
      <c r="E7" s="21"/>
      <c r="F7" s="21"/>
      <c r="G7" s="21"/>
      <c r="H7" s="21"/>
      <c r="I7" s="20"/>
      <c r="J7" s="20"/>
      <c r="K7" s="20"/>
      <c r="L7" s="20"/>
      <c r="M7" s="20"/>
    </row>
    <row r="8" spans="1:13" ht="15" customHeight="1" x14ac:dyDescent="0.2">
      <c r="A8" s="21"/>
      <c r="B8" s="21"/>
      <c r="C8" s="21"/>
      <c r="D8" s="21"/>
      <c r="E8" s="21"/>
      <c r="F8" s="21"/>
      <c r="G8" s="21"/>
      <c r="H8" s="21"/>
      <c r="I8" s="20"/>
      <c r="J8" s="20"/>
      <c r="K8" s="20"/>
      <c r="L8" s="20"/>
      <c r="M8" s="20"/>
    </row>
    <row r="9" spans="1:13" ht="15" customHeight="1" x14ac:dyDescent="0.2">
      <c r="A9" s="21"/>
      <c r="B9" s="21"/>
      <c r="C9" s="21"/>
      <c r="D9" s="21"/>
      <c r="E9" s="21"/>
      <c r="F9" s="21"/>
      <c r="G9" s="21"/>
      <c r="H9" s="21"/>
      <c r="I9" s="20"/>
      <c r="J9" s="20"/>
      <c r="K9" s="20"/>
      <c r="L9" s="20"/>
      <c r="M9" s="20"/>
    </row>
    <row r="10" spans="1:13" ht="15" customHeight="1" x14ac:dyDescent="0.2">
      <c r="A10" s="21"/>
      <c r="B10" s="21"/>
      <c r="C10" s="21"/>
      <c r="D10" s="21"/>
      <c r="E10" s="21"/>
      <c r="F10" s="21"/>
      <c r="G10" s="21"/>
      <c r="H10" s="21"/>
      <c r="I10" s="20"/>
      <c r="J10" s="20"/>
      <c r="K10" s="20"/>
      <c r="L10" s="20"/>
      <c r="M10" s="20"/>
    </row>
    <row r="11" spans="1:13" ht="15" customHeight="1" x14ac:dyDescent="0.2">
      <c r="A11" s="21"/>
      <c r="B11" s="21"/>
      <c r="C11" s="21"/>
      <c r="D11" s="21"/>
      <c r="E11" s="21"/>
      <c r="F11" s="21"/>
      <c r="G11" s="21"/>
      <c r="H11" s="21"/>
      <c r="I11" s="20"/>
      <c r="J11" s="20"/>
      <c r="K11" s="20"/>
      <c r="L11" s="20"/>
      <c r="M11" s="20"/>
    </row>
    <row r="12" spans="1:13" ht="15" customHeight="1" x14ac:dyDescent="0.2">
      <c r="A12" s="21"/>
      <c r="B12" s="21"/>
      <c r="C12" s="21"/>
      <c r="D12" s="21"/>
      <c r="E12" s="21"/>
      <c r="F12" s="21"/>
      <c r="G12" s="21"/>
      <c r="H12" s="21"/>
      <c r="I12" s="20"/>
      <c r="J12" s="20"/>
      <c r="K12" s="20"/>
      <c r="L12" s="20"/>
      <c r="M12" s="20"/>
    </row>
    <row r="13" spans="1:13" ht="15" customHeight="1" x14ac:dyDescent="0.2">
      <c r="A13" s="21"/>
      <c r="B13" s="21"/>
      <c r="C13" s="21"/>
      <c r="D13" s="21"/>
      <c r="E13" s="21"/>
      <c r="F13" s="21"/>
      <c r="G13" s="21"/>
      <c r="H13" s="21"/>
      <c r="I13" s="20"/>
      <c r="J13" s="20"/>
      <c r="K13" s="20"/>
      <c r="L13" s="20"/>
      <c r="M13" s="20"/>
    </row>
    <row r="14" spans="1:13" ht="15" customHeight="1" x14ac:dyDescent="0.2">
      <c r="A14" s="21"/>
      <c r="B14" s="21"/>
      <c r="C14" s="21"/>
      <c r="D14" s="21"/>
      <c r="E14" s="21"/>
      <c r="F14" s="21"/>
      <c r="G14" s="21"/>
      <c r="H14" s="21"/>
      <c r="I14" s="20"/>
      <c r="J14" s="20"/>
      <c r="K14" s="20"/>
      <c r="L14" s="20"/>
      <c r="M14" s="20"/>
    </row>
    <row r="15" spans="1:13" ht="15" customHeight="1" x14ac:dyDescent="0.2">
      <c r="A15" s="21"/>
      <c r="B15" s="21"/>
      <c r="C15" s="21"/>
      <c r="D15" s="21"/>
      <c r="E15" s="21"/>
      <c r="F15" s="21"/>
      <c r="G15" s="21"/>
      <c r="H15" s="21"/>
      <c r="I15" s="20"/>
      <c r="J15" s="20"/>
      <c r="K15" s="20"/>
      <c r="L15" s="20"/>
      <c r="M15" s="20"/>
    </row>
    <row r="16" spans="1:13" ht="15" customHeight="1" x14ac:dyDescent="0.2">
      <c r="A16" s="21"/>
      <c r="B16" s="21"/>
      <c r="C16" s="21"/>
      <c r="D16" s="21"/>
      <c r="E16" s="21"/>
      <c r="F16" s="21"/>
      <c r="G16" s="21"/>
      <c r="H16" s="21"/>
      <c r="I16" s="20"/>
      <c r="J16" s="20"/>
      <c r="K16" s="20"/>
      <c r="L16" s="20"/>
      <c r="M16" s="20"/>
    </row>
    <row r="17" spans="1:13" ht="15" customHeight="1" x14ac:dyDescent="0.2">
      <c r="A17" s="21"/>
      <c r="B17" s="21"/>
      <c r="C17" s="21"/>
      <c r="D17" s="21"/>
      <c r="E17" s="21"/>
      <c r="F17" s="21"/>
      <c r="G17" s="21"/>
      <c r="H17" s="21"/>
      <c r="I17" s="20"/>
      <c r="J17" s="20"/>
      <c r="K17" s="20"/>
      <c r="L17" s="20"/>
      <c r="M17" s="20"/>
    </row>
    <row r="18" spans="1:13" ht="15" customHeight="1" x14ac:dyDescent="0.2">
      <c r="A18" s="21"/>
      <c r="B18" s="21"/>
      <c r="C18" s="21"/>
      <c r="D18" s="21"/>
      <c r="E18" s="21"/>
      <c r="F18" s="21"/>
      <c r="G18" s="21"/>
      <c r="H18" s="21"/>
      <c r="I18" s="20"/>
      <c r="J18" s="20"/>
      <c r="K18" s="20"/>
      <c r="L18" s="20"/>
      <c r="M18" s="20"/>
    </row>
    <row r="19" spans="1:13" ht="15" customHeight="1" x14ac:dyDescent="0.2">
      <c r="A19" s="21"/>
      <c r="B19" s="21"/>
      <c r="C19" s="21"/>
      <c r="D19" s="21"/>
      <c r="E19" s="21"/>
      <c r="F19" s="21"/>
      <c r="G19" s="21"/>
      <c r="H19" s="21"/>
      <c r="I19" s="20"/>
      <c r="J19" s="20"/>
      <c r="K19" s="20"/>
      <c r="L19" s="20"/>
      <c r="M19" s="20"/>
    </row>
    <row r="20" spans="1:13" ht="15" customHeight="1" x14ac:dyDescent="0.2">
      <c r="A20" s="21"/>
      <c r="B20" s="21"/>
      <c r="C20" s="21"/>
      <c r="D20" s="21"/>
      <c r="E20" s="21"/>
      <c r="F20" s="21"/>
      <c r="G20" s="21"/>
      <c r="H20" s="21"/>
      <c r="I20" s="20"/>
      <c r="J20" s="20"/>
      <c r="K20" s="20"/>
      <c r="L20" s="20"/>
      <c r="M20" s="20"/>
    </row>
    <row r="21" spans="1:13" ht="15" customHeight="1" x14ac:dyDescent="0.2">
      <c r="A21" s="21"/>
      <c r="B21" s="21"/>
      <c r="C21" s="21"/>
      <c r="D21" s="21"/>
      <c r="E21" s="21"/>
      <c r="F21" s="21"/>
      <c r="G21" s="21"/>
      <c r="H21" s="21"/>
      <c r="I21" s="20"/>
      <c r="J21" s="20"/>
      <c r="K21" s="20"/>
      <c r="L21" s="20"/>
      <c r="M21" s="20"/>
    </row>
    <row r="22" spans="1:13" ht="15" customHeight="1" x14ac:dyDescent="0.2">
      <c r="A22" s="21"/>
      <c r="B22" s="21"/>
      <c r="C22" s="21"/>
      <c r="D22" s="21"/>
      <c r="E22" s="21"/>
      <c r="F22" s="21"/>
      <c r="G22" s="21"/>
      <c r="H22" s="21"/>
      <c r="I22" s="20"/>
      <c r="J22" s="20"/>
      <c r="K22" s="20"/>
      <c r="L22" s="20"/>
      <c r="M22" s="20"/>
    </row>
    <row r="23" spans="1:13" ht="15" customHeight="1" x14ac:dyDescent="0.2">
      <c r="A23" s="21"/>
      <c r="B23" s="21"/>
      <c r="C23" s="21"/>
      <c r="D23" s="21"/>
      <c r="E23" s="21"/>
      <c r="F23" s="21"/>
      <c r="G23" s="21"/>
      <c r="H23" s="21"/>
      <c r="I23" s="20"/>
      <c r="J23" s="20"/>
      <c r="K23" s="20"/>
      <c r="L23" s="20"/>
      <c r="M23" s="20"/>
    </row>
    <row r="24" spans="1:13" ht="15" customHeight="1" x14ac:dyDescent="0.2">
      <c r="A24" s="21"/>
      <c r="B24" s="21"/>
      <c r="C24" s="21"/>
      <c r="D24" s="21"/>
      <c r="E24" s="21"/>
      <c r="F24" s="21"/>
      <c r="G24" s="21"/>
      <c r="H24" s="21"/>
      <c r="I24" s="20"/>
      <c r="J24" s="20"/>
      <c r="K24" s="20"/>
      <c r="L24" s="20"/>
      <c r="M24" s="20"/>
    </row>
    <row r="25" spans="1:13" ht="15" customHeight="1" x14ac:dyDescent="0.2">
      <c r="A25" s="21"/>
      <c r="B25" s="21"/>
      <c r="C25" s="21"/>
      <c r="D25" s="21"/>
      <c r="E25" s="21"/>
      <c r="F25" s="21"/>
      <c r="G25" s="21"/>
      <c r="H25" s="21"/>
      <c r="I25" s="20"/>
      <c r="J25" s="20"/>
      <c r="K25" s="20"/>
      <c r="L25" s="20"/>
      <c r="M25" s="20"/>
    </row>
    <row r="26" spans="1:13" ht="15" customHeight="1" x14ac:dyDescent="0.2">
      <c r="A26" s="21"/>
      <c r="B26" s="21"/>
      <c r="C26" s="21"/>
      <c r="D26" s="21"/>
      <c r="E26" s="21"/>
      <c r="F26" s="21"/>
      <c r="G26" s="21"/>
      <c r="H26" s="21"/>
      <c r="I26" s="20"/>
      <c r="J26" s="20"/>
      <c r="K26" s="20"/>
      <c r="L26" s="20"/>
      <c r="M26" s="20"/>
    </row>
    <row r="27" spans="1:13" ht="15" customHeight="1" x14ac:dyDescent="0.2">
      <c r="A27" s="21"/>
      <c r="B27" s="21"/>
      <c r="C27" s="21"/>
      <c r="D27" s="21"/>
      <c r="E27" s="21"/>
      <c r="F27" s="21"/>
      <c r="G27" s="21"/>
      <c r="H27" s="21"/>
      <c r="I27" s="20"/>
      <c r="J27" s="20"/>
      <c r="K27" s="20"/>
      <c r="L27" s="20"/>
      <c r="M27" s="20"/>
    </row>
    <row r="28" spans="1:13" ht="1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3" ht="1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3" ht="1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52" spans="2:13" ht="20" customHeight="1" x14ac:dyDescent="0.2"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</row>
  </sheetData>
  <mergeCells count="1">
    <mergeCell ref="B52:M5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1B79-AFF4-CB43-ADF9-30E0DD770014}">
  <dimension ref="A1:S85"/>
  <sheetViews>
    <sheetView showGridLines="0" zoomScale="120" zoomScaleNormal="120" workbookViewId="0">
      <selection activeCell="D1" sqref="D1"/>
    </sheetView>
  </sheetViews>
  <sheetFormatPr baseColWidth="10" defaultColWidth="8.83203125" defaultRowHeight="15" x14ac:dyDescent="0.2"/>
  <cols>
    <col min="4" max="4" width="15.1640625" bestFit="1" customWidth="1"/>
    <col min="13" max="13" width="9.5" customWidth="1"/>
    <col min="16" max="16" width="7.1640625" customWidth="1"/>
    <col min="19" max="19" width="11.5" customWidth="1"/>
  </cols>
  <sheetData>
    <row r="1" spans="1:19" x14ac:dyDescent="0.2">
      <c r="A1" s="166" t="s">
        <v>30</v>
      </c>
      <c r="B1" s="166" t="s">
        <v>4</v>
      </c>
      <c r="D1" s="166" t="s">
        <v>29</v>
      </c>
    </row>
    <row r="2" spans="1:19" ht="16" thickBot="1" x14ac:dyDescent="0.25">
      <c r="A2" s="16">
        <v>1</v>
      </c>
      <c r="B2" s="17">
        <v>453</v>
      </c>
      <c r="D2" s="16">
        <f>(B2+B14+B26+B38+B50)/5/AVERAGE($B$2:$B$62)</f>
        <v>0.77515823456947452</v>
      </c>
    </row>
    <row r="3" spans="1:19" x14ac:dyDescent="0.2">
      <c r="A3" s="16">
        <v>2</v>
      </c>
      <c r="B3" s="17">
        <v>388</v>
      </c>
      <c r="D3" s="16">
        <f t="shared" ref="D3:D13" si="0">(B3+B15+B27+B39+B51)/5/AVERAGE($B$2:$B$62)</f>
        <v>0.77074041034790375</v>
      </c>
      <c r="F3" s="107" t="s">
        <v>205</v>
      </c>
      <c r="G3" s="58"/>
      <c r="H3" s="58"/>
      <c r="I3" s="55"/>
      <c r="N3" t="s">
        <v>37</v>
      </c>
      <c r="O3" t="s">
        <v>4</v>
      </c>
      <c r="Q3" s="107" t="s">
        <v>205</v>
      </c>
      <c r="R3" s="58"/>
      <c r="S3" s="55"/>
    </row>
    <row r="4" spans="1:19" x14ac:dyDescent="0.2">
      <c r="A4" s="16">
        <v>3</v>
      </c>
      <c r="B4" s="17">
        <v>467</v>
      </c>
      <c r="D4" s="16">
        <f t="shared" si="0"/>
        <v>0.75170978293190605</v>
      </c>
      <c r="F4" s="56" t="s">
        <v>201</v>
      </c>
      <c r="I4" s="57"/>
      <c r="N4">
        <v>2016</v>
      </c>
      <c r="O4">
        <f>SUM(B2:B13)</f>
        <v>9302</v>
      </c>
      <c r="Q4" s="56" t="s">
        <v>212</v>
      </c>
      <c r="S4" s="57"/>
    </row>
    <row r="5" spans="1:19" x14ac:dyDescent="0.2">
      <c r="A5" s="16">
        <v>4</v>
      </c>
      <c r="B5" s="17">
        <v>509</v>
      </c>
      <c r="D5" s="16">
        <f t="shared" si="0"/>
        <v>0.86555371479546328</v>
      </c>
      <c r="F5" s="56" t="s">
        <v>202</v>
      </c>
      <c r="I5" s="57"/>
      <c r="N5">
        <v>2017</v>
      </c>
      <c r="O5">
        <f>SUM(B14:B25)</f>
        <v>12834</v>
      </c>
      <c r="Q5" s="56" t="s">
        <v>213</v>
      </c>
      <c r="S5" s="57"/>
    </row>
    <row r="6" spans="1:19" x14ac:dyDescent="0.2">
      <c r="A6" s="16">
        <v>5</v>
      </c>
      <c r="B6" s="17">
        <v>721</v>
      </c>
      <c r="D6" s="16">
        <f t="shared" si="0"/>
        <v>0.94779321184316723</v>
      </c>
      <c r="F6" s="56" t="s">
        <v>203</v>
      </c>
      <c r="I6" s="57"/>
      <c r="N6">
        <v>2018</v>
      </c>
      <c r="O6">
        <f>SUM(B26:B37)</f>
        <v>14788</v>
      </c>
      <c r="Q6" s="56" t="s">
        <v>214</v>
      </c>
      <c r="S6" s="57"/>
    </row>
    <row r="7" spans="1:19" ht="12" customHeight="1" x14ac:dyDescent="0.2">
      <c r="A7" s="16">
        <v>6</v>
      </c>
      <c r="B7" s="17">
        <v>856</v>
      </c>
      <c r="D7" s="16">
        <f t="shared" si="0"/>
        <v>1.0475340894609406</v>
      </c>
      <c r="F7" s="56" t="s">
        <v>204</v>
      </c>
      <c r="I7" s="57"/>
      <c r="N7">
        <v>2019</v>
      </c>
      <c r="O7">
        <f>SUM(B38:B49)</f>
        <v>16270</v>
      </c>
      <c r="Q7" s="56" t="s">
        <v>215</v>
      </c>
      <c r="S7" s="57"/>
    </row>
    <row r="8" spans="1:19" ht="16" thickBot="1" x14ac:dyDescent="0.25">
      <c r="A8" s="16">
        <v>7</v>
      </c>
      <c r="B8" s="17">
        <v>898</v>
      </c>
      <c r="D8" s="16">
        <f t="shared" si="0"/>
        <v>1.1187290259547173</v>
      </c>
      <c r="F8" s="25"/>
      <c r="G8" s="59"/>
      <c r="H8" s="59"/>
      <c r="I8" s="24"/>
      <c r="N8">
        <v>2020</v>
      </c>
      <c r="O8">
        <f>SUM(B50:B61)</f>
        <v>17429</v>
      </c>
      <c r="Q8" s="25"/>
      <c r="R8" s="59"/>
      <c r="S8" s="24"/>
    </row>
    <row r="9" spans="1:19" x14ac:dyDescent="0.2">
      <c r="A9" s="16">
        <v>8</v>
      </c>
      <c r="B9" s="17">
        <v>1007</v>
      </c>
      <c r="D9" s="16">
        <f t="shared" si="0"/>
        <v>1.1481245486597851</v>
      </c>
    </row>
    <row r="10" spans="1:19" x14ac:dyDescent="0.2">
      <c r="A10" s="16">
        <v>9</v>
      </c>
      <c r="B10" s="17">
        <v>1100</v>
      </c>
      <c r="D10" s="16">
        <f t="shared" si="0"/>
        <v>1.191793041926851</v>
      </c>
    </row>
    <row r="11" spans="1:19" x14ac:dyDescent="0.2">
      <c r="A11" s="16">
        <v>10</v>
      </c>
      <c r="B11" s="17">
        <v>1151</v>
      </c>
      <c r="D11" s="16">
        <f t="shared" si="0"/>
        <v>1.1904337113971371</v>
      </c>
    </row>
    <row r="12" spans="1:19" x14ac:dyDescent="0.2">
      <c r="A12" s="16">
        <v>11</v>
      </c>
      <c r="B12" s="17">
        <v>1165</v>
      </c>
      <c r="D12" s="16">
        <f t="shared" si="0"/>
        <v>1.1758209082027102</v>
      </c>
    </row>
    <row r="13" spans="1:19" x14ac:dyDescent="0.2">
      <c r="A13" s="16">
        <v>12</v>
      </c>
      <c r="B13" s="17">
        <v>587</v>
      </c>
      <c r="D13" s="16">
        <f t="shared" si="0"/>
        <v>1.0166093199099444</v>
      </c>
    </row>
    <row r="14" spans="1:19" x14ac:dyDescent="0.2">
      <c r="A14" s="16">
        <v>13</v>
      </c>
      <c r="B14" s="17">
        <v>639</v>
      </c>
    </row>
    <row r="15" spans="1:19" x14ac:dyDescent="0.2">
      <c r="A15" s="16">
        <v>14</v>
      </c>
      <c r="B15" s="17">
        <v>721</v>
      </c>
    </row>
    <row r="16" spans="1:19" x14ac:dyDescent="0.2">
      <c r="A16" s="16">
        <v>15</v>
      </c>
      <c r="B16" s="17">
        <v>773</v>
      </c>
    </row>
    <row r="17" spans="1:13" x14ac:dyDescent="0.2">
      <c r="A17" s="16">
        <v>16</v>
      </c>
      <c r="B17" s="17">
        <v>920</v>
      </c>
    </row>
    <row r="18" spans="1:13" x14ac:dyDescent="0.2">
      <c r="A18" s="16">
        <v>17</v>
      </c>
      <c r="B18" s="17">
        <v>1050</v>
      </c>
    </row>
    <row r="19" spans="1:13" x14ac:dyDescent="0.2">
      <c r="A19" s="16">
        <v>18</v>
      </c>
      <c r="B19" s="17">
        <v>1134</v>
      </c>
    </row>
    <row r="20" spans="1:13" x14ac:dyDescent="0.2">
      <c r="A20" s="16">
        <v>19</v>
      </c>
      <c r="B20" s="17">
        <v>1236</v>
      </c>
    </row>
    <row r="21" spans="1:13" ht="16" thickBot="1" x14ac:dyDescent="0.25">
      <c r="A21" s="16">
        <v>20</v>
      </c>
      <c r="B21" s="17">
        <v>1250</v>
      </c>
    </row>
    <row r="22" spans="1:13" x14ac:dyDescent="0.2">
      <c r="A22" s="16">
        <v>21</v>
      </c>
      <c r="B22" s="17">
        <v>1295</v>
      </c>
      <c r="D22" s="107" t="s">
        <v>205</v>
      </c>
      <c r="E22" s="58"/>
      <c r="F22" s="55"/>
    </row>
    <row r="23" spans="1:13" x14ac:dyDescent="0.2">
      <c r="A23" s="16">
        <v>22</v>
      </c>
      <c r="B23" s="17">
        <v>1298</v>
      </c>
      <c r="D23" s="56" t="s">
        <v>207</v>
      </c>
      <c r="F23" s="57"/>
    </row>
    <row r="24" spans="1:13" x14ac:dyDescent="0.2">
      <c r="A24" s="16">
        <v>23</v>
      </c>
      <c r="B24" s="17">
        <v>1323</v>
      </c>
      <c r="D24" s="56" t="s">
        <v>208</v>
      </c>
      <c r="F24" s="57"/>
    </row>
    <row r="25" spans="1:13" x14ac:dyDescent="0.2">
      <c r="A25" s="16">
        <v>24</v>
      </c>
      <c r="B25" s="17">
        <v>1195</v>
      </c>
      <c r="D25" s="56" t="s">
        <v>209</v>
      </c>
      <c r="F25" s="57"/>
    </row>
    <row r="26" spans="1:13" x14ac:dyDescent="0.2">
      <c r="A26" s="16">
        <v>25</v>
      </c>
      <c r="B26" s="17">
        <v>1069</v>
      </c>
      <c r="D26" s="56" t="s">
        <v>210</v>
      </c>
      <c r="F26" s="57"/>
    </row>
    <row r="27" spans="1:13" ht="16" thickBot="1" x14ac:dyDescent="0.25">
      <c r="A27" s="16">
        <v>26</v>
      </c>
      <c r="B27" s="17">
        <v>996</v>
      </c>
      <c r="D27" s="25" t="s">
        <v>211</v>
      </c>
      <c r="E27" s="59"/>
      <c r="F27" s="24"/>
    </row>
    <row r="28" spans="1:13" x14ac:dyDescent="0.2">
      <c r="A28" s="16">
        <v>27</v>
      </c>
      <c r="B28" s="17">
        <v>907</v>
      </c>
    </row>
    <row r="29" spans="1:13" x14ac:dyDescent="0.2">
      <c r="A29" s="16">
        <v>28</v>
      </c>
      <c r="B29" s="17">
        <v>1049</v>
      </c>
    </row>
    <row r="30" spans="1:13" x14ac:dyDescent="0.2">
      <c r="A30" s="16">
        <v>29</v>
      </c>
      <c r="B30" s="17">
        <v>1106</v>
      </c>
    </row>
    <row r="31" spans="1:13" ht="16" thickBot="1" x14ac:dyDescent="0.25">
      <c r="A31" s="16">
        <v>30</v>
      </c>
      <c r="B31" s="17">
        <v>1256</v>
      </c>
    </row>
    <row r="32" spans="1:13" x14ac:dyDescent="0.2">
      <c r="A32" s="16">
        <v>31</v>
      </c>
      <c r="B32" s="17">
        <v>1301</v>
      </c>
      <c r="I32" s="107" t="s">
        <v>205</v>
      </c>
      <c r="J32" s="58"/>
      <c r="K32" s="58"/>
      <c r="L32" s="58"/>
      <c r="M32" s="55"/>
    </row>
    <row r="33" spans="1:13" x14ac:dyDescent="0.2">
      <c r="A33" s="16">
        <v>32</v>
      </c>
      <c r="B33" s="17">
        <v>1398</v>
      </c>
      <c r="I33" s="56" t="s">
        <v>206</v>
      </c>
      <c r="M33" s="57"/>
    </row>
    <row r="34" spans="1:13" x14ac:dyDescent="0.2">
      <c r="A34" s="16">
        <v>33</v>
      </c>
      <c r="B34" s="17">
        <v>1460</v>
      </c>
      <c r="I34" s="56" t="s">
        <v>216</v>
      </c>
      <c r="M34" s="57"/>
    </row>
    <row r="35" spans="1:13" x14ac:dyDescent="0.2">
      <c r="A35" s="16">
        <v>34</v>
      </c>
      <c r="B35" s="17">
        <v>1471</v>
      </c>
      <c r="I35" s="56" t="s">
        <v>217</v>
      </c>
      <c r="M35" s="57"/>
    </row>
    <row r="36" spans="1:13" ht="16" thickBot="1" x14ac:dyDescent="0.25">
      <c r="A36" s="16">
        <v>35</v>
      </c>
      <c r="B36" s="17">
        <v>1395</v>
      </c>
      <c r="I36" s="25"/>
      <c r="J36" s="59"/>
      <c r="K36" s="59"/>
      <c r="L36" s="59"/>
      <c r="M36" s="24"/>
    </row>
    <row r="37" spans="1:13" x14ac:dyDescent="0.2">
      <c r="A37" s="16">
        <v>36</v>
      </c>
      <c r="B37" s="17">
        <v>1380</v>
      </c>
    </row>
    <row r="38" spans="1:13" x14ac:dyDescent="0.2">
      <c r="A38" s="16">
        <v>37</v>
      </c>
      <c r="B38" s="17">
        <v>1143</v>
      </c>
    </row>
    <row r="39" spans="1:13" x14ac:dyDescent="0.2">
      <c r="A39" s="16">
        <v>38</v>
      </c>
      <c r="B39" s="17">
        <v>1200</v>
      </c>
    </row>
    <row r="40" spans="1:13" x14ac:dyDescent="0.2">
      <c r="A40" s="16">
        <v>39</v>
      </c>
      <c r="B40" s="17">
        <v>1021</v>
      </c>
    </row>
    <row r="41" spans="1:13" x14ac:dyDescent="0.2">
      <c r="A41" s="16">
        <v>40</v>
      </c>
      <c r="B41" s="17">
        <v>1231</v>
      </c>
    </row>
    <row r="42" spans="1:13" x14ac:dyDescent="0.2">
      <c r="A42" s="16">
        <v>41</v>
      </c>
      <c r="B42" s="17">
        <v>1245</v>
      </c>
    </row>
    <row r="43" spans="1:13" x14ac:dyDescent="0.2">
      <c r="A43" s="16">
        <v>42</v>
      </c>
      <c r="B43" s="17">
        <v>1321</v>
      </c>
    </row>
    <row r="44" spans="1:13" x14ac:dyDescent="0.2">
      <c r="A44" s="16">
        <v>43</v>
      </c>
      <c r="B44" s="17">
        <v>1439</v>
      </c>
    </row>
    <row r="45" spans="1:13" x14ac:dyDescent="0.2">
      <c r="A45" s="16">
        <v>44</v>
      </c>
      <c r="B45" s="17">
        <v>1503</v>
      </c>
    </row>
    <row r="46" spans="1:13" x14ac:dyDescent="0.2">
      <c r="A46" s="16">
        <v>45</v>
      </c>
      <c r="B46" s="17">
        <v>1621</v>
      </c>
    </row>
    <row r="47" spans="1:13" x14ac:dyDescent="0.2">
      <c r="A47" s="16">
        <v>46</v>
      </c>
      <c r="B47" s="17">
        <v>1588</v>
      </c>
    </row>
    <row r="48" spans="1:13" x14ac:dyDescent="0.2">
      <c r="A48" s="16">
        <v>47</v>
      </c>
      <c r="B48" s="17">
        <v>1537</v>
      </c>
    </row>
    <row r="49" spans="1:2" x14ac:dyDescent="0.2">
      <c r="A49" s="16">
        <v>48</v>
      </c>
      <c r="B49" s="17">
        <v>1421</v>
      </c>
    </row>
    <row r="50" spans="1:2" x14ac:dyDescent="0.2">
      <c r="A50" s="16">
        <v>49</v>
      </c>
      <c r="B50" s="17">
        <v>1258</v>
      </c>
    </row>
    <row r="51" spans="1:2" x14ac:dyDescent="0.2">
      <c r="A51" s="16">
        <v>50</v>
      </c>
      <c r="B51" s="17">
        <v>1231</v>
      </c>
    </row>
    <row r="52" spans="1:2" x14ac:dyDescent="0.2">
      <c r="A52" s="16">
        <v>51</v>
      </c>
      <c r="B52" s="17">
        <v>1256</v>
      </c>
    </row>
    <row r="53" spans="1:2" x14ac:dyDescent="0.2">
      <c r="A53" s="16">
        <v>52</v>
      </c>
      <c r="B53" s="17">
        <v>1385</v>
      </c>
    </row>
    <row r="54" spans="1:2" x14ac:dyDescent="0.2">
      <c r="A54" s="16">
        <v>53</v>
      </c>
      <c r="B54" s="17">
        <v>1456</v>
      </c>
    </row>
    <row r="55" spans="1:2" x14ac:dyDescent="0.2">
      <c r="A55" s="16">
        <v>54</v>
      </c>
      <c r="B55" s="17">
        <v>1598</v>
      </c>
    </row>
    <row r="56" spans="1:2" x14ac:dyDescent="0.2">
      <c r="A56" s="16">
        <v>55</v>
      </c>
      <c r="B56" s="17">
        <v>1710</v>
      </c>
    </row>
    <row r="57" spans="1:2" x14ac:dyDescent="0.2">
      <c r="A57" s="16">
        <v>56</v>
      </c>
      <c r="B57" s="17">
        <v>1599</v>
      </c>
    </row>
    <row r="58" spans="1:2" x14ac:dyDescent="0.2">
      <c r="A58" s="16">
        <v>57</v>
      </c>
      <c r="B58" s="17">
        <v>1538</v>
      </c>
    </row>
    <row r="59" spans="1:2" x14ac:dyDescent="0.2">
      <c r="A59" s="16">
        <v>58</v>
      </c>
      <c r="B59" s="17">
        <v>1498</v>
      </c>
    </row>
    <row r="60" spans="1:2" x14ac:dyDescent="0.2">
      <c r="A60" s="16">
        <v>59</v>
      </c>
      <c r="B60" s="17">
        <v>1500</v>
      </c>
    </row>
    <row r="61" spans="1:2" x14ac:dyDescent="0.2">
      <c r="A61" s="16">
        <v>60</v>
      </c>
      <c r="B61" s="17">
        <v>1400</v>
      </c>
    </row>
    <row r="62" spans="1:2" x14ac:dyDescent="0.2">
      <c r="A62" s="16">
        <v>61</v>
      </c>
      <c r="B62" s="3"/>
    </row>
    <row r="63" spans="1:2" x14ac:dyDescent="0.2">
      <c r="A63" s="16">
        <v>62</v>
      </c>
      <c r="B63" s="3"/>
    </row>
    <row r="64" spans="1:2" x14ac:dyDescent="0.2">
      <c r="A64" s="16">
        <v>63</v>
      </c>
      <c r="B64" s="3"/>
    </row>
    <row r="65" spans="1:2" x14ac:dyDescent="0.2">
      <c r="A65" s="16">
        <v>64</v>
      </c>
      <c r="B65" s="3"/>
    </row>
    <row r="66" spans="1:2" x14ac:dyDescent="0.2">
      <c r="A66" s="16">
        <v>65</v>
      </c>
      <c r="B66" s="3"/>
    </row>
    <row r="67" spans="1:2" x14ac:dyDescent="0.2">
      <c r="A67" s="16">
        <v>66</v>
      </c>
      <c r="B67" s="3"/>
    </row>
    <row r="68" spans="1:2" x14ac:dyDescent="0.2">
      <c r="A68" s="16">
        <v>67</v>
      </c>
      <c r="B68" s="3"/>
    </row>
    <row r="69" spans="1:2" x14ac:dyDescent="0.2">
      <c r="A69" s="16">
        <v>68</v>
      </c>
      <c r="B69" s="3"/>
    </row>
    <row r="70" spans="1:2" x14ac:dyDescent="0.2">
      <c r="A70" s="16">
        <v>69</v>
      </c>
      <c r="B70" s="3"/>
    </row>
    <row r="71" spans="1:2" x14ac:dyDescent="0.2">
      <c r="A71" s="16">
        <v>70</v>
      </c>
      <c r="B71" s="3"/>
    </row>
    <row r="72" spans="1:2" x14ac:dyDescent="0.2">
      <c r="A72" s="16">
        <v>71</v>
      </c>
      <c r="B72" s="3"/>
    </row>
    <row r="73" spans="1:2" x14ac:dyDescent="0.2">
      <c r="A73" s="16">
        <v>72</v>
      </c>
      <c r="B73" s="3"/>
    </row>
    <row r="74" spans="1:2" x14ac:dyDescent="0.2">
      <c r="A74" s="16">
        <v>73</v>
      </c>
      <c r="B74" s="3"/>
    </row>
    <row r="75" spans="1:2" x14ac:dyDescent="0.2">
      <c r="A75" s="16">
        <v>74</v>
      </c>
      <c r="B75" s="3"/>
    </row>
    <row r="76" spans="1:2" x14ac:dyDescent="0.2">
      <c r="A76" s="16">
        <v>75</v>
      </c>
      <c r="B76" s="3"/>
    </row>
    <row r="77" spans="1:2" x14ac:dyDescent="0.2">
      <c r="A77" s="16">
        <v>76</v>
      </c>
      <c r="B77" s="3"/>
    </row>
    <row r="78" spans="1:2" x14ac:dyDescent="0.2">
      <c r="A78" s="16">
        <v>77</v>
      </c>
      <c r="B78" s="3"/>
    </row>
    <row r="79" spans="1:2" x14ac:dyDescent="0.2">
      <c r="A79" s="16">
        <v>78</v>
      </c>
      <c r="B79" s="3"/>
    </row>
    <row r="80" spans="1:2" x14ac:dyDescent="0.2">
      <c r="A80" s="16">
        <v>79</v>
      </c>
      <c r="B80" s="3"/>
    </row>
    <row r="81" spans="1:2" x14ac:dyDescent="0.2">
      <c r="A81" s="16">
        <v>80</v>
      </c>
      <c r="B81" s="3"/>
    </row>
    <row r="82" spans="1:2" x14ac:dyDescent="0.2">
      <c r="A82" s="16">
        <v>81</v>
      </c>
      <c r="B82" s="3"/>
    </row>
    <row r="83" spans="1:2" x14ac:dyDescent="0.2">
      <c r="A83" s="16">
        <v>82</v>
      </c>
      <c r="B83" s="3"/>
    </row>
    <row r="84" spans="1:2" x14ac:dyDescent="0.2">
      <c r="A84" s="16">
        <v>83</v>
      </c>
      <c r="B84" s="3"/>
    </row>
    <row r="85" spans="1:2" x14ac:dyDescent="0.2">
      <c r="A85" s="16">
        <v>84</v>
      </c>
      <c r="B85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3ED0-418B-A540-8114-A65B11846DA7}">
  <dimension ref="A1:T85"/>
  <sheetViews>
    <sheetView showGridLines="0" workbookViewId="0">
      <selection activeCell="H24" sqref="H24"/>
    </sheetView>
  </sheetViews>
  <sheetFormatPr baseColWidth="10" defaultColWidth="8.83203125" defaultRowHeight="15" x14ac:dyDescent="0.2"/>
  <cols>
    <col min="4" max="4" width="10.33203125" bestFit="1" customWidth="1"/>
  </cols>
  <sheetData>
    <row r="1" spans="1:12" x14ac:dyDescent="0.2">
      <c r="A1" s="166" t="s">
        <v>32</v>
      </c>
      <c r="B1" s="166" t="s">
        <v>31</v>
      </c>
      <c r="C1" s="166" t="s">
        <v>67</v>
      </c>
      <c r="D1" s="166" t="s">
        <v>66</v>
      </c>
      <c r="E1" s="166" t="s">
        <v>65</v>
      </c>
      <c r="F1" s="166" t="s">
        <v>64</v>
      </c>
    </row>
    <row r="2" spans="1:12" ht="16" thickBot="1" x14ac:dyDescent="0.25">
      <c r="A2" s="16">
        <v>1</v>
      </c>
      <c r="B2" s="16">
        <v>453</v>
      </c>
      <c r="C2" s="16">
        <v>0.77515823500000003</v>
      </c>
      <c r="D2" s="16">
        <f t="shared" ref="D2:D33" si="0">C2*B2</f>
        <v>351.14668045500002</v>
      </c>
      <c r="E2" s="4">
        <f t="shared" ref="E2:E33" si="1">ABS(B2-D2)</f>
        <v>101.85331954499998</v>
      </c>
      <c r="F2" s="4">
        <f t="shared" ref="F2:F33" si="2">ABS(B2-D2)/B2*100</f>
        <v>22.484176499999993</v>
      </c>
    </row>
    <row r="3" spans="1:12" x14ac:dyDescent="0.2">
      <c r="A3" s="16">
        <v>2</v>
      </c>
      <c r="B3" s="16">
        <v>388</v>
      </c>
      <c r="C3" s="16">
        <v>0.77074041000000004</v>
      </c>
      <c r="D3" s="16">
        <f t="shared" si="0"/>
        <v>299.04727908000001</v>
      </c>
      <c r="E3" s="4">
        <f t="shared" si="1"/>
        <v>88.95272091999999</v>
      </c>
      <c r="F3" s="4">
        <f t="shared" si="2"/>
        <v>22.925958999999999</v>
      </c>
      <c r="H3" s="167" t="s">
        <v>63</v>
      </c>
      <c r="I3" s="168" t="s">
        <v>62</v>
      </c>
    </row>
    <row r="4" spans="1:12" ht="16" thickBot="1" x14ac:dyDescent="0.25">
      <c r="A4" s="16">
        <v>3</v>
      </c>
      <c r="B4" s="16">
        <v>467</v>
      </c>
      <c r="C4" s="16">
        <v>0.75170978300000002</v>
      </c>
      <c r="D4" s="16">
        <f t="shared" si="0"/>
        <v>351.04846866100002</v>
      </c>
      <c r="E4" s="4">
        <f t="shared" si="1"/>
        <v>115.95153133899998</v>
      </c>
      <c r="F4" s="4">
        <f t="shared" si="2"/>
        <v>24.829021699999998</v>
      </c>
      <c r="H4" s="25">
        <f>SUMXMY2(D2:D61,B2:B61)/COUNT(B2:B61)</f>
        <v>37324.666134593055</v>
      </c>
      <c r="I4" s="24">
        <f>SQRT(H4)</f>
        <v>193.19592680642378</v>
      </c>
    </row>
    <row r="5" spans="1:12" x14ac:dyDescent="0.2">
      <c r="A5" s="16">
        <v>4</v>
      </c>
      <c r="B5" s="16">
        <v>509</v>
      </c>
      <c r="C5" s="16">
        <v>0.865553715</v>
      </c>
      <c r="D5" s="16">
        <f t="shared" si="0"/>
        <v>440.56684093500002</v>
      </c>
      <c r="E5" s="4">
        <f t="shared" si="1"/>
        <v>68.433159064999984</v>
      </c>
      <c r="F5" s="4">
        <f t="shared" si="2"/>
        <v>13.444628499999997</v>
      </c>
    </row>
    <row r="6" spans="1:12" ht="16" thickBot="1" x14ac:dyDescent="0.25">
      <c r="A6" s="16">
        <v>5</v>
      </c>
      <c r="B6" s="16">
        <v>721</v>
      </c>
      <c r="C6" s="16">
        <v>0.947793212</v>
      </c>
      <c r="D6" s="16">
        <f t="shared" si="0"/>
        <v>683.35890585200002</v>
      </c>
      <c r="E6" s="4">
        <f t="shared" si="1"/>
        <v>37.641094147999979</v>
      </c>
      <c r="F6" s="4">
        <f t="shared" si="2"/>
        <v>5.2206787999999973</v>
      </c>
    </row>
    <row r="7" spans="1:12" x14ac:dyDescent="0.2">
      <c r="A7" s="16">
        <v>6</v>
      </c>
      <c r="B7" s="16">
        <v>856</v>
      </c>
      <c r="C7" s="16">
        <v>1.047534089</v>
      </c>
      <c r="D7" s="16">
        <f t="shared" si="0"/>
        <v>896.68918018399995</v>
      </c>
      <c r="E7" s="4">
        <f t="shared" si="1"/>
        <v>40.689180183999952</v>
      </c>
      <c r="F7" s="4">
        <f t="shared" si="2"/>
        <v>4.7534088999999948</v>
      </c>
      <c r="H7" s="54"/>
      <c r="I7" s="58"/>
      <c r="J7" s="58"/>
      <c r="K7" s="58"/>
      <c r="L7" s="55"/>
    </row>
    <row r="8" spans="1:12" x14ac:dyDescent="0.2">
      <c r="A8" s="16">
        <v>7</v>
      </c>
      <c r="B8" s="16">
        <v>898</v>
      </c>
      <c r="C8" s="16">
        <v>1.118729026</v>
      </c>
      <c r="D8" s="16">
        <f t="shared" si="0"/>
        <v>1004.618665348</v>
      </c>
      <c r="E8" s="4">
        <f t="shared" si="1"/>
        <v>106.61866534800004</v>
      </c>
      <c r="F8" s="4">
        <f t="shared" si="2"/>
        <v>11.872902600000005</v>
      </c>
      <c r="H8" s="106" t="s">
        <v>205</v>
      </c>
      <c r="L8" s="57"/>
    </row>
    <row r="9" spans="1:12" x14ac:dyDescent="0.2">
      <c r="A9" s="16">
        <v>8</v>
      </c>
      <c r="B9" s="16">
        <v>1007</v>
      </c>
      <c r="C9" s="16">
        <v>1.148124549</v>
      </c>
      <c r="D9" s="16">
        <f t="shared" si="0"/>
        <v>1156.1614208430001</v>
      </c>
      <c r="E9" s="4">
        <f t="shared" si="1"/>
        <v>149.16142084300009</v>
      </c>
      <c r="F9" s="4">
        <f t="shared" si="2"/>
        <v>14.812454900000008</v>
      </c>
      <c r="H9" s="56" t="s">
        <v>218</v>
      </c>
      <c r="L9" s="57"/>
    </row>
    <row r="10" spans="1:12" x14ac:dyDescent="0.2">
      <c r="A10" s="16">
        <v>9</v>
      </c>
      <c r="B10" s="16">
        <v>1100</v>
      </c>
      <c r="C10" s="16">
        <v>1.191793042</v>
      </c>
      <c r="D10" s="16">
        <f t="shared" si="0"/>
        <v>1310.9723461999999</v>
      </c>
      <c r="E10" s="4">
        <f t="shared" si="1"/>
        <v>210.97234619999995</v>
      </c>
      <c r="F10" s="4">
        <f t="shared" si="2"/>
        <v>19.179304199999994</v>
      </c>
      <c r="H10" s="56" t="s">
        <v>219</v>
      </c>
      <c r="L10" s="57"/>
    </row>
    <row r="11" spans="1:12" x14ac:dyDescent="0.2">
      <c r="A11" s="16">
        <v>10</v>
      </c>
      <c r="B11" s="16">
        <v>1151</v>
      </c>
      <c r="C11" s="16">
        <v>1.1904337110000001</v>
      </c>
      <c r="D11" s="16">
        <f t="shared" si="0"/>
        <v>1370.189201361</v>
      </c>
      <c r="E11" s="4">
        <f t="shared" si="1"/>
        <v>219.18920136099996</v>
      </c>
      <c r="F11" s="4">
        <f t="shared" si="2"/>
        <v>19.043371099999998</v>
      </c>
      <c r="H11" s="56" t="s">
        <v>220</v>
      </c>
      <c r="L11" s="57"/>
    </row>
    <row r="12" spans="1:12" x14ac:dyDescent="0.2">
      <c r="A12" s="16">
        <v>11</v>
      </c>
      <c r="B12" s="16">
        <v>1165</v>
      </c>
      <c r="C12" s="16">
        <v>1.1758209079999999</v>
      </c>
      <c r="D12" s="16">
        <f t="shared" si="0"/>
        <v>1369.83135782</v>
      </c>
      <c r="E12" s="4">
        <f t="shared" si="1"/>
        <v>204.83135781999999</v>
      </c>
      <c r="F12" s="4">
        <f t="shared" si="2"/>
        <v>17.5820908</v>
      </c>
      <c r="H12" s="56" t="s">
        <v>221</v>
      </c>
      <c r="L12" s="57"/>
    </row>
    <row r="13" spans="1:12" ht="16" thickBot="1" x14ac:dyDescent="0.25">
      <c r="A13" s="16">
        <v>12</v>
      </c>
      <c r="B13" s="16">
        <v>587</v>
      </c>
      <c r="C13" s="16">
        <v>1.0166093199999999</v>
      </c>
      <c r="D13" s="16">
        <f t="shared" si="0"/>
        <v>596.74967083999991</v>
      </c>
      <c r="E13" s="4">
        <f t="shared" si="1"/>
        <v>9.7496708399999079</v>
      </c>
      <c r="F13" s="4">
        <f t="shared" si="2"/>
        <v>1.6609319999999843</v>
      </c>
      <c r="H13" s="25"/>
      <c r="I13" s="59"/>
      <c r="J13" s="59"/>
      <c r="K13" s="59"/>
      <c r="L13" s="24"/>
    </row>
    <row r="14" spans="1:12" x14ac:dyDescent="0.2">
      <c r="A14" s="16">
        <v>13</v>
      </c>
      <c r="B14" s="16">
        <v>639</v>
      </c>
      <c r="C14" s="16">
        <v>0.77515823500000003</v>
      </c>
      <c r="D14" s="16">
        <f t="shared" si="0"/>
        <v>495.32611216500004</v>
      </c>
      <c r="E14" s="4">
        <f t="shared" si="1"/>
        <v>143.67388783499996</v>
      </c>
      <c r="F14" s="4">
        <f t="shared" si="2"/>
        <v>22.484176499999993</v>
      </c>
    </row>
    <row r="15" spans="1:12" x14ac:dyDescent="0.2">
      <c r="A15" s="16">
        <v>14</v>
      </c>
      <c r="B15" s="16">
        <v>721</v>
      </c>
      <c r="C15" s="16">
        <v>0.77074041000000004</v>
      </c>
      <c r="D15" s="16">
        <f t="shared" si="0"/>
        <v>555.70383561000006</v>
      </c>
      <c r="E15" s="4">
        <f t="shared" si="1"/>
        <v>165.29616438999994</v>
      </c>
      <c r="F15" s="4">
        <f t="shared" si="2"/>
        <v>22.925958999999992</v>
      </c>
    </row>
    <row r="16" spans="1:12" x14ac:dyDescent="0.2">
      <c r="A16" s="16">
        <v>15</v>
      </c>
      <c r="B16" s="16">
        <v>773</v>
      </c>
      <c r="C16" s="16">
        <v>0.75170978300000002</v>
      </c>
      <c r="D16" s="16">
        <f t="shared" si="0"/>
        <v>581.07166225900005</v>
      </c>
      <c r="E16" s="4">
        <f t="shared" si="1"/>
        <v>191.92833774099995</v>
      </c>
      <c r="F16" s="4">
        <f t="shared" si="2"/>
        <v>24.829021699999991</v>
      </c>
    </row>
    <row r="17" spans="1:20" x14ac:dyDescent="0.2">
      <c r="A17" s="16">
        <v>16</v>
      </c>
      <c r="B17" s="16">
        <v>920</v>
      </c>
      <c r="C17" s="16">
        <v>0.865553715</v>
      </c>
      <c r="D17" s="16">
        <f t="shared" si="0"/>
        <v>796.30941780000001</v>
      </c>
      <c r="E17" s="4">
        <f t="shared" si="1"/>
        <v>123.69058219999999</v>
      </c>
      <c r="F17" s="4">
        <f t="shared" si="2"/>
        <v>13.4446285</v>
      </c>
    </row>
    <row r="18" spans="1:20" x14ac:dyDescent="0.2">
      <c r="A18" s="16">
        <v>17</v>
      </c>
      <c r="B18" s="16">
        <v>1050</v>
      </c>
      <c r="C18" s="16">
        <v>0.947793212</v>
      </c>
      <c r="D18" s="16">
        <f t="shared" si="0"/>
        <v>995.1828726</v>
      </c>
      <c r="E18" s="4">
        <f t="shared" si="1"/>
        <v>54.817127400000004</v>
      </c>
      <c r="F18" s="4">
        <f t="shared" si="2"/>
        <v>5.2206788</v>
      </c>
    </row>
    <row r="19" spans="1:20" x14ac:dyDescent="0.2">
      <c r="A19" s="16">
        <v>18</v>
      </c>
      <c r="B19" s="16">
        <v>1134</v>
      </c>
      <c r="C19" s="16">
        <v>1.047534089</v>
      </c>
      <c r="D19" s="16">
        <f t="shared" si="0"/>
        <v>1187.9036569259999</v>
      </c>
      <c r="E19" s="4">
        <f t="shared" si="1"/>
        <v>53.90365692599994</v>
      </c>
      <c r="F19" s="4">
        <f t="shared" si="2"/>
        <v>4.7534088999999948</v>
      </c>
    </row>
    <row r="20" spans="1:20" x14ac:dyDescent="0.2">
      <c r="A20" s="16">
        <v>19</v>
      </c>
      <c r="B20" s="16">
        <v>1236</v>
      </c>
      <c r="C20" s="16">
        <v>1.118729026</v>
      </c>
      <c r="D20" s="16">
        <f t="shared" si="0"/>
        <v>1382.749076136</v>
      </c>
      <c r="E20" s="4">
        <f t="shared" si="1"/>
        <v>146.74907613599999</v>
      </c>
      <c r="F20" s="4">
        <f t="shared" si="2"/>
        <v>11.872902599999998</v>
      </c>
    </row>
    <row r="21" spans="1:20" ht="16" thickBot="1" x14ac:dyDescent="0.25">
      <c r="A21" s="16">
        <v>20</v>
      </c>
      <c r="B21" s="16">
        <v>1250</v>
      </c>
      <c r="C21" s="16">
        <v>1.148124549</v>
      </c>
      <c r="D21" s="16">
        <f t="shared" si="0"/>
        <v>1435.1556862500001</v>
      </c>
      <c r="E21" s="4">
        <f t="shared" si="1"/>
        <v>185.15568625000014</v>
      </c>
      <c r="F21" s="4">
        <f t="shared" si="2"/>
        <v>14.812454900000011</v>
      </c>
    </row>
    <row r="22" spans="1:20" x14ac:dyDescent="0.2">
      <c r="A22" s="16">
        <v>21</v>
      </c>
      <c r="B22" s="16">
        <v>1295</v>
      </c>
      <c r="C22" s="16">
        <v>1.191793042</v>
      </c>
      <c r="D22" s="16">
        <f t="shared" si="0"/>
        <v>1543.37198939</v>
      </c>
      <c r="E22" s="4">
        <f t="shared" si="1"/>
        <v>248.37198938999995</v>
      </c>
      <c r="F22" s="4">
        <f t="shared" si="2"/>
        <v>19.179304199999997</v>
      </c>
      <c r="O22" s="54"/>
      <c r="P22" s="58"/>
      <c r="Q22" s="58"/>
      <c r="R22" s="58"/>
      <c r="S22" s="58"/>
      <c r="T22" s="55"/>
    </row>
    <row r="23" spans="1:20" x14ac:dyDescent="0.2">
      <c r="A23" s="16">
        <v>22</v>
      </c>
      <c r="B23" s="16">
        <v>1298</v>
      </c>
      <c r="C23" s="16">
        <v>1.1904337110000001</v>
      </c>
      <c r="D23" s="16">
        <f t="shared" si="0"/>
        <v>1545.1829568780001</v>
      </c>
      <c r="E23" s="4">
        <f t="shared" si="1"/>
        <v>247.18295687800014</v>
      </c>
      <c r="F23" s="4">
        <f t="shared" si="2"/>
        <v>19.043371100000012</v>
      </c>
      <c r="O23" s="106" t="s">
        <v>205</v>
      </c>
      <c r="T23" s="57"/>
    </row>
    <row r="24" spans="1:20" x14ac:dyDescent="0.2">
      <c r="A24" s="16">
        <v>23</v>
      </c>
      <c r="B24" s="16">
        <v>1323</v>
      </c>
      <c r="C24" s="16">
        <v>1.1758209079999999</v>
      </c>
      <c r="D24" s="16">
        <f t="shared" si="0"/>
        <v>1555.611061284</v>
      </c>
      <c r="E24" s="4">
        <f t="shared" si="1"/>
        <v>232.61106128400002</v>
      </c>
      <c r="F24" s="4">
        <f t="shared" si="2"/>
        <v>17.582090800000003</v>
      </c>
      <c r="O24" s="56" t="s">
        <v>222</v>
      </c>
      <c r="T24" s="57"/>
    </row>
    <row r="25" spans="1:20" x14ac:dyDescent="0.2">
      <c r="A25" s="16">
        <v>24</v>
      </c>
      <c r="B25" s="16">
        <v>1195</v>
      </c>
      <c r="C25" s="16">
        <v>1.0166093199999999</v>
      </c>
      <c r="D25" s="16">
        <f t="shared" si="0"/>
        <v>1214.8481373999998</v>
      </c>
      <c r="E25" s="4">
        <f t="shared" si="1"/>
        <v>19.848137399999814</v>
      </c>
      <c r="F25" s="4">
        <f t="shared" si="2"/>
        <v>1.6609319999999843</v>
      </c>
      <c r="O25" s="56" t="s">
        <v>223</v>
      </c>
      <c r="T25" s="57"/>
    </row>
    <row r="26" spans="1:20" x14ac:dyDescent="0.2">
      <c r="A26" s="16">
        <v>25</v>
      </c>
      <c r="B26" s="16">
        <v>1069</v>
      </c>
      <c r="C26" s="16">
        <v>0.77515823500000003</v>
      </c>
      <c r="D26" s="16">
        <f t="shared" si="0"/>
        <v>828.64415321500007</v>
      </c>
      <c r="E26" s="4">
        <f t="shared" si="1"/>
        <v>240.35584678499993</v>
      </c>
      <c r="F26" s="4">
        <f t="shared" si="2"/>
        <v>22.484176499999993</v>
      </c>
      <c r="O26" s="56" t="s">
        <v>224</v>
      </c>
      <c r="T26" s="57"/>
    </row>
    <row r="27" spans="1:20" x14ac:dyDescent="0.2">
      <c r="A27" s="16">
        <v>26</v>
      </c>
      <c r="B27" s="16">
        <v>996</v>
      </c>
      <c r="C27" s="16">
        <v>0.77074041000000004</v>
      </c>
      <c r="D27" s="16">
        <f t="shared" si="0"/>
        <v>767.65744835999999</v>
      </c>
      <c r="E27" s="4">
        <f t="shared" si="1"/>
        <v>228.34255164000001</v>
      </c>
      <c r="F27" s="4">
        <f t="shared" si="2"/>
        <v>22.925959000000002</v>
      </c>
      <c r="O27" s="56" t="s">
        <v>225</v>
      </c>
      <c r="T27" s="57"/>
    </row>
    <row r="28" spans="1:20" ht="16" thickBot="1" x14ac:dyDescent="0.25">
      <c r="A28" s="16">
        <v>27</v>
      </c>
      <c r="B28" s="16">
        <v>907</v>
      </c>
      <c r="C28" s="16">
        <v>0.75170978300000002</v>
      </c>
      <c r="D28" s="16">
        <f t="shared" si="0"/>
        <v>681.80077318100007</v>
      </c>
      <c r="E28" s="4">
        <f t="shared" si="1"/>
        <v>225.19922681899993</v>
      </c>
      <c r="F28" s="4">
        <f t="shared" si="2"/>
        <v>24.829021699999991</v>
      </c>
      <c r="O28" s="25" t="s">
        <v>226</v>
      </c>
      <c r="P28" s="59"/>
      <c r="Q28" s="59"/>
      <c r="R28" s="59"/>
      <c r="S28" s="59"/>
      <c r="T28" s="24"/>
    </row>
    <row r="29" spans="1:20" x14ac:dyDescent="0.2">
      <c r="A29" s="16">
        <v>28</v>
      </c>
      <c r="B29" s="16">
        <v>1049</v>
      </c>
      <c r="C29" s="16">
        <v>0.865553715</v>
      </c>
      <c r="D29" s="16">
        <f t="shared" si="0"/>
        <v>907.96584703500002</v>
      </c>
      <c r="E29" s="4">
        <f t="shared" si="1"/>
        <v>141.03415296499998</v>
      </c>
      <c r="F29" s="4">
        <f t="shared" si="2"/>
        <v>13.444628499999997</v>
      </c>
    </row>
    <row r="30" spans="1:20" x14ac:dyDescent="0.2">
      <c r="A30" s="16">
        <v>29</v>
      </c>
      <c r="B30" s="16">
        <v>1106</v>
      </c>
      <c r="C30" s="16">
        <v>0.947793212</v>
      </c>
      <c r="D30" s="16">
        <f t="shared" si="0"/>
        <v>1048.259292472</v>
      </c>
      <c r="E30" s="4">
        <f t="shared" si="1"/>
        <v>57.74070752800003</v>
      </c>
      <c r="F30" s="4">
        <f t="shared" si="2"/>
        <v>5.2206788000000026</v>
      </c>
    </row>
    <row r="31" spans="1:20" x14ac:dyDescent="0.2">
      <c r="A31" s="16">
        <v>30</v>
      </c>
      <c r="B31" s="16">
        <v>1256</v>
      </c>
      <c r="C31" s="16">
        <v>1.047534089</v>
      </c>
      <c r="D31" s="16">
        <f t="shared" si="0"/>
        <v>1315.702815784</v>
      </c>
      <c r="E31" s="4">
        <f t="shared" si="1"/>
        <v>59.702815783999995</v>
      </c>
      <c r="F31" s="4">
        <f t="shared" si="2"/>
        <v>4.7534088999999993</v>
      </c>
    </row>
    <row r="32" spans="1:20" x14ac:dyDescent="0.2">
      <c r="A32" s="16">
        <v>31</v>
      </c>
      <c r="B32" s="16">
        <v>1301</v>
      </c>
      <c r="C32" s="16">
        <v>1.118729026</v>
      </c>
      <c r="D32" s="16">
        <f t="shared" si="0"/>
        <v>1455.466462826</v>
      </c>
      <c r="E32" s="4">
        <f t="shared" si="1"/>
        <v>154.466462826</v>
      </c>
      <c r="F32" s="4">
        <f t="shared" si="2"/>
        <v>11.8729026</v>
      </c>
    </row>
    <row r="33" spans="1:6" x14ac:dyDescent="0.2">
      <c r="A33" s="16">
        <v>32</v>
      </c>
      <c r="B33" s="16">
        <v>1398</v>
      </c>
      <c r="C33" s="16">
        <v>1.148124549</v>
      </c>
      <c r="D33" s="16">
        <f t="shared" si="0"/>
        <v>1605.0781195020002</v>
      </c>
      <c r="E33" s="4">
        <f t="shared" si="1"/>
        <v>207.07811950200016</v>
      </c>
      <c r="F33" s="4">
        <f t="shared" si="2"/>
        <v>14.812454900000011</v>
      </c>
    </row>
    <row r="34" spans="1:6" x14ac:dyDescent="0.2">
      <c r="A34" s="16">
        <v>33</v>
      </c>
      <c r="B34" s="16">
        <v>1460</v>
      </c>
      <c r="C34" s="16">
        <v>1.191793042</v>
      </c>
      <c r="D34" s="16">
        <f t="shared" ref="D34:D65" si="3">C34*B34</f>
        <v>1740.0178413200001</v>
      </c>
      <c r="E34" s="4">
        <f t="shared" ref="E34:E65" si="4">ABS(B34-D34)</f>
        <v>280.01784132000012</v>
      </c>
      <c r="F34" s="4">
        <f t="shared" ref="F34:F65" si="5">ABS(B34-D34)/B34*100</f>
        <v>19.179304200000008</v>
      </c>
    </row>
    <row r="35" spans="1:6" x14ac:dyDescent="0.2">
      <c r="A35" s="16">
        <v>34</v>
      </c>
      <c r="B35" s="16">
        <v>1471</v>
      </c>
      <c r="C35" s="16">
        <v>1.1904337110000001</v>
      </c>
      <c r="D35" s="16">
        <f t="shared" si="3"/>
        <v>1751.1279888810002</v>
      </c>
      <c r="E35" s="4">
        <f t="shared" si="4"/>
        <v>280.12798888100019</v>
      </c>
      <c r="F35" s="4">
        <f t="shared" si="5"/>
        <v>19.043371100000016</v>
      </c>
    </row>
    <row r="36" spans="1:6" x14ac:dyDescent="0.2">
      <c r="A36" s="16">
        <v>35</v>
      </c>
      <c r="B36" s="16">
        <v>1395</v>
      </c>
      <c r="C36" s="16">
        <v>1.1758209079999999</v>
      </c>
      <c r="D36" s="16">
        <f t="shared" si="3"/>
        <v>1640.2701666599999</v>
      </c>
      <c r="E36" s="4">
        <f t="shared" si="4"/>
        <v>245.27016665999986</v>
      </c>
      <c r="F36" s="4">
        <f t="shared" si="5"/>
        <v>17.582090799999989</v>
      </c>
    </row>
    <row r="37" spans="1:6" x14ac:dyDescent="0.2">
      <c r="A37" s="16">
        <v>36</v>
      </c>
      <c r="B37" s="16">
        <v>1380</v>
      </c>
      <c r="C37" s="16">
        <v>1.0166093199999999</v>
      </c>
      <c r="D37" s="16">
        <f t="shared" si="3"/>
        <v>1402.9208615999999</v>
      </c>
      <c r="E37" s="4">
        <f t="shared" si="4"/>
        <v>22.920861599999853</v>
      </c>
      <c r="F37" s="4">
        <f t="shared" si="5"/>
        <v>1.6609319999999892</v>
      </c>
    </row>
    <row r="38" spans="1:6" x14ac:dyDescent="0.2">
      <c r="A38" s="16">
        <v>37</v>
      </c>
      <c r="B38" s="16">
        <v>1143</v>
      </c>
      <c r="C38" s="16">
        <v>0.77515823500000003</v>
      </c>
      <c r="D38" s="16">
        <f t="shared" si="3"/>
        <v>886.00586260500006</v>
      </c>
      <c r="E38" s="4">
        <f t="shared" si="4"/>
        <v>256.99413739499994</v>
      </c>
      <c r="F38" s="4">
        <f t="shared" si="5"/>
        <v>22.484176499999993</v>
      </c>
    </row>
    <row r="39" spans="1:6" x14ac:dyDescent="0.2">
      <c r="A39" s="16">
        <v>38</v>
      </c>
      <c r="B39" s="16">
        <v>1200</v>
      </c>
      <c r="C39" s="16">
        <v>0.77074041000000004</v>
      </c>
      <c r="D39" s="16">
        <f t="shared" si="3"/>
        <v>924.88849200000004</v>
      </c>
      <c r="E39" s="4">
        <f t="shared" si="4"/>
        <v>275.11150799999996</v>
      </c>
      <c r="F39" s="4">
        <f t="shared" si="5"/>
        <v>22.925958999999995</v>
      </c>
    </row>
    <row r="40" spans="1:6" x14ac:dyDescent="0.2">
      <c r="A40" s="16">
        <v>39</v>
      </c>
      <c r="B40" s="16">
        <v>1021</v>
      </c>
      <c r="C40" s="16">
        <v>0.75170978300000002</v>
      </c>
      <c r="D40" s="16">
        <f t="shared" si="3"/>
        <v>767.49568844300006</v>
      </c>
      <c r="E40" s="4">
        <f t="shared" si="4"/>
        <v>253.50431155699994</v>
      </c>
      <c r="F40" s="4">
        <f t="shared" si="5"/>
        <v>24.829021699999995</v>
      </c>
    </row>
    <row r="41" spans="1:6" x14ac:dyDescent="0.2">
      <c r="A41" s="16">
        <v>40</v>
      </c>
      <c r="B41" s="16">
        <v>1231</v>
      </c>
      <c r="C41" s="16">
        <v>0.865553715</v>
      </c>
      <c r="D41" s="16">
        <f t="shared" si="3"/>
        <v>1065.4966231650001</v>
      </c>
      <c r="E41" s="4">
        <f t="shared" si="4"/>
        <v>165.50337683499993</v>
      </c>
      <c r="F41" s="4">
        <f t="shared" si="5"/>
        <v>13.444628499999995</v>
      </c>
    </row>
    <row r="42" spans="1:6" x14ac:dyDescent="0.2">
      <c r="A42" s="16">
        <v>41</v>
      </c>
      <c r="B42" s="16">
        <v>1245</v>
      </c>
      <c r="C42" s="16">
        <v>0.947793212</v>
      </c>
      <c r="D42" s="16">
        <f t="shared" si="3"/>
        <v>1180.00254894</v>
      </c>
      <c r="E42" s="4">
        <f t="shared" si="4"/>
        <v>64.997451060000003</v>
      </c>
      <c r="F42" s="4">
        <f t="shared" si="5"/>
        <v>5.2206788</v>
      </c>
    </row>
    <row r="43" spans="1:6" x14ac:dyDescent="0.2">
      <c r="A43" s="16">
        <v>42</v>
      </c>
      <c r="B43" s="16">
        <v>1321</v>
      </c>
      <c r="C43" s="16">
        <v>1.047534089</v>
      </c>
      <c r="D43" s="16">
        <f t="shared" si="3"/>
        <v>1383.7925315689999</v>
      </c>
      <c r="E43" s="4">
        <f t="shared" si="4"/>
        <v>62.792531568999948</v>
      </c>
      <c r="F43" s="4">
        <f t="shared" si="5"/>
        <v>4.7534088999999957</v>
      </c>
    </row>
    <row r="44" spans="1:6" x14ac:dyDescent="0.2">
      <c r="A44" s="16">
        <v>43</v>
      </c>
      <c r="B44" s="16">
        <v>1439</v>
      </c>
      <c r="C44" s="16">
        <v>1.118729026</v>
      </c>
      <c r="D44" s="16">
        <f t="shared" si="3"/>
        <v>1609.8510684140001</v>
      </c>
      <c r="E44" s="4">
        <f t="shared" si="4"/>
        <v>170.85106841400011</v>
      </c>
      <c r="F44" s="4">
        <f t="shared" si="5"/>
        <v>11.872902600000007</v>
      </c>
    </row>
    <row r="45" spans="1:6" x14ac:dyDescent="0.2">
      <c r="A45" s="16">
        <v>44</v>
      </c>
      <c r="B45" s="16">
        <v>1503</v>
      </c>
      <c r="C45" s="16">
        <v>1.148124549</v>
      </c>
      <c r="D45" s="16">
        <f t="shared" si="3"/>
        <v>1725.631197147</v>
      </c>
      <c r="E45" s="4">
        <f t="shared" si="4"/>
        <v>222.63119714699997</v>
      </c>
      <c r="F45" s="4">
        <f t="shared" si="5"/>
        <v>14.812454899999997</v>
      </c>
    </row>
    <row r="46" spans="1:6" x14ac:dyDescent="0.2">
      <c r="A46" s="16">
        <v>45</v>
      </c>
      <c r="B46" s="16">
        <v>1621</v>
      </c>
      <c r="C46" s="16">
        <v>1.191793042</v>
      </c>
      <c r="D46" s="16">
        <f t="shared" si="3"/>
        <v>1931.8965210819999</v>
      </c>
      <c r="E46" s="4">
        <f t="shared" si="4"/>
        <v>310.89652108199994</v>
      </c>
      <c r="F46" s="4">
        <f t="shared" si="5"/>
        <v>19.179304199999997</v>
      </c>
    </row>
    <row r="47" spans="1:6" x14ac:dyDescent="0.2">
      <c r="A47" s="16">
        <v>46</v>
      </c>
      <c r="B47" s="16">
        <v>1588</v>
      </c>
      <c r="C47" s="16">
        <v>1.1904337110000001</v>
      </c>
      <c r="D47" s="16">
        <f t="shared" si="3"/>
        <v>1890.4087330680002</v>
      </c>
      <c r="E47" s="4">
        <f t="shared" si="4"/>
        <v>302.40873306800017</v>
      </c>
      <c r="F47" s="4">
        <f t="shared" si="5"/>
        <v>19.043371100000012</v>
      </c>
    </row>
    <row r="48" spans="1:6" x14ac:dyDescent="0.2">
      <c r="A48" s="16">
        <v>47</v>
      </c>
      <c r="B48" s="16">
        <v>1537</v>
      </c>
      <c r="C48" s="16">
        <v>1.1758209079999999</v>
      </c>
      <c r="D48" s="16">
        <f t="shared" si="3"/>
        <v>1807.236735596</v>
      </c>
      <c r="E48" s="4">
        <f t="shared" si="4"/>
        <v>270.23673559600002</v>
      </c>
      <c r="F48" s="4">
        <f t="shared" si="5"/>
        <v>17.5820908</v>
      </c>
    </row>
    <row r="49" spans="1:6" x14ac:dyDescent="0.2">
      <c r="A49" s="16">
        <v>48</v>
      </c>
      <c r="B49" s="16">
        <v>1421</v>
      </c>
      <c r="C49" s="16">
        <v>1.0166093199999999</v>
      </c>
      <c r="D49" s="16">
        <f t="shared" si="3"/>
        <v>1444.6018437199998</v>
      </c>
      <c r="E49" s="4">
        <f t="shared" si="4"/>
        <v>23.601843719999806</v>
      </c>
      <c r="F49" s="4">
        <f t="shared" si="5"/>
        <v>1.6609319999999865</v>
      </c>
    </row>
    <row r="50" spans="1:6" x14ac:dyDescent="0.2">
      <c r="A50" s="16">
        <v>49</v>
      </c>
      <c r="B50" s="16">
        <v>1258</v>
      </c>
      <c r="C50" s="16">
        <v>0.77515823500000003</v>
      </c>
      <c r="D50" s="16">
        <f t="shared" si="3"/>
        <v>975.14905963000001</v>
      </c>
      <c r="E50" s="4">
        <f t="shared" si="4"/>
        <v>282.85094036999999</v>
      </c>
      <c r="F50" s="4">
        <f t="shared" si="5"/>
        <v>22.4841765</v>
      </c>
    </row>
    <row r="51" spans="1:6" x14ac:dyDescent="0.2">
      <c r="A51" s="16">
        <v>50</v>
      </c>
      <c r="B51" s="16">
        <v>1231</v>
      </c>
      <c r="C51" s="16">
        <v>0.77074041000000004</v>
      </c>
      <c r="D51" s="16">
        <f t="shared" si="3"/>
        <v>948.78144471000007</v>
      </c>
      <c r="E51" s="4">
        <f t="shared" si="4"/>
        <v>282.21855528999993</v>
      </c>
      <c r="F51" s="4">
        <f t="shared" si="5"/>
        <v>22.925958999999992</v>
      </c>
    </row>
    <row r="52" spans="1:6" x14ac:dyDescent="0.2">
      <c r="A52" s="16">
        <v>51</v>
      </c>
      <c r="B52" s="16">
        <v>1256</v>
      </c>
      <c r="C52" s="16">
        <v>0.75170978300000002</v>
      </c>
      <c r="D52" s="16">
        <f t="shared" si="3"/>
        <v>944.14748744799999</v>
      </c>
      <c r="E52" s="4">
        <f t="shared" si="4"/>
        <v>311.85251255200001</v>
      </c>
      <c r="F52" s="4">
        <f t="shared" si="5"/>
        <v>24.829021700000002</v>
      </c>
    </row>
    <row r="53" spans="1:6" x14ac:dyDescent="0.2">
      <c r="A53" s="16">
        <v>52</v>
      </c>
      <c r="B53" s="16">
        <v>1385</v>
      </c>
      <c r="C53" s="16">
        <v>0.865553715</v>
      </c>
      <c r="D53" s="16">
        <f t="shared" si="3"/>
        <v>1198.7918952750001</v>
      </c>
      <c r="E53" s="4">
        <f t="shared" si="4"/>
        <v>186.20810472499988</v>
      </c>
      <c r="F53" s="4">
        <f t="shared" si="5"/>
        <v>13.444628499999991</v>
      </c>
    </row>
    <row r="54" spans="1:6" x14ac:dyDescent="0.2">
      <c r="A54" s="16">
        <v>53</v>
      </c>
      <c r="B54" s="16">
        <v>1456</v>
      </c>
      <c r="C54" s="16">
        <v>0.947793212</v>
      </c>
      <c r="D54" s="16">
        <f t="shared" si="3"/>
        <v>1379.986916672</v>
      </c>
      <c r="E54" s="4">
        <f t="shared" si="4"/>
        <v>76.013083327999993</v>
      </c>
      <c r="F54" s="4">
        <f t="shared" si="5"/>
        <v>5.2206788</v>
      </c>
    </row>
    <row r="55" spans="1:6" x14ac:dyDescent="0.2">
      <c r="A55" s="16">
        <v>54</v>
      </c>
      <c r="B55" s="16">
        <v>1598</v>
      </c>
      <c r="C55" s="16">
        <v>1.047534089</v>
      </c>
      <c r="D55" s="16">
        <f t="shared" si="3"/>
        <v>1673.9594742219999</v>
      </c>
      <c r="E55" s="4">
        <f t="shared" si="4"/>
        <v>75.959474221999926</v>
      </c>
      <c r="F55" s="4">
        <f t="shared" si="5"/>
        <v>4.7534088999999957</v>
      </c>
    </row>
    <row r="56" spans="1:6" x14ac:dyDescent="0.2">
      <c r="A56" s="16">
        <v>55</v>
      </c>
      <c r="B56" s="16">
        <v>1710</v>
      </c>
      <c r="C56" s="16">
        <v>1.118729026</v>
      </c>
      <c r="D56" s="16">
        <f t="shared" si="3"/>
        <v>1913.02663446</v>
      </c>
      <c r="E56" s="4">
        <f t="shared" si="4"/>
        <v>203.02663445999997</v>
      </c>
      <c r="F56" s="4">
        <f t="shared" si="5"/>
        <v>11.872902599999998</v>
      </c>
    </row>
    <row r="57" spans="1:6" x14ac:dyDescent="0.2">
      <c r="A57" s="16">
        <v>56</v>
      </c>
      <c r="B57" s="16">
        <v>1599</v>
      </c>
      <c r="C57" s="16">
        <v>1.148124549</v>
      </c>
      <c r="D57" s="16">
        <f t="shared" si="3"/>
        <v>1835.8511538510002</v>
      </c>
      <c r="E57" s="4">
        <f t="shared" si="4"/>
        <v>236.85115385100016</v>
      </c>
      <c r="F57" s="4">
        <f t="shared" si="5"/>
        <v>14.812454900000011</v>
      </c>
    </row>
    <row r="58" spans="1:6" x14ac:dyDescent="0.2">
      <c r="A58" s="16">
        <v>57</v>
      </c>
      <c r="B58" s="16">
        <v>1538</v>
      </c>
      <c r="C58" s="16">
        <v>1.191793042</v>
      </c>
      <c r="D58" s="16">
        <f t="shared" si="3"/>
        <v>1832.977698596</v>
      </c>
      <c r="E58" s="4">
        <f t="shared" si="4"/>
        <v>294.97769859599998</v>
      </c>
      <c r="F58" s="4">
        <f t="shared" si="5"/>
        <v>19.179304200000001</v>
      </c>
    </row>
    <row r="59" spans="1:6" x14ac:dyDescent="0.2">
      <c r="A59" s="16">
        <v>58</v>
      </c>
      <c r="B59" s="16">
        <v>1498</v>
      </c>
      <c r="C59" s="16">
        <v>1.1904337110000001</v>
      </c>
      <c r="D59" s="16">
        <f t="shared" si="3"/>
        <v>1783.269699078</v>
      </c>
      <c r="E59" s="4">
        <f t="shared" si="4"/>
        <v>285.26969907800003</v>
      </c>
      <c r="F59" s="4">
        <f t="shared" si="5"/>
        <v>19.043371100000002</v>
      </c>
    </row>
    <row r="60" spans="1:6" x14ac:dyDescent="0.2">
      <c r="A60" s="16">
        <v>59</v>
      </c>
      <c r="B60" s="16">
        <v>1500</v>
      </c>
      <c r="C60" s="16">
        <v>1.1758209079999999</v>
      </c>
      <c r="D60" s="16">
        <f t="shared" si="3"/>
        <v>1763.731362</v>
      </c>
      <c r="E60" s="4">
        <f t="shared" si="4"/>
        <v>263.73136199999999</v>
      </c>
      <c r="F60" s="4">
        <f t="shared" si="5"/>
        <v>17.5820908</v>
      </c>
    </row>
    <row r="61" spans="1:6" x14ac:dyDescent="0.2">
      <c r="A61" s="16">
        <v>60</v>
      </c>
      <c r="B61" s="16">
        <v>1400</v>
      </c>
      <c r="C61" s="16">
        <v>1.0166093199999999</v>
      </c>
      <c r="D61" s="16">
        <f t="shared" si="3"/>
        <v>1423.2530479999998</v>
      </c>
      <c r="E61" s="4">
        <f t="shared" si="4"/>
        <v>23.253047999999808</v>
      </c>
      <c r="F61" s="4">
        <f t="shared" si="5"/>
        <v>1.6609319999999861</v>
      </c>
    </row>
    <row r="62" spans="1:6" x14ac:dyDescent="0.2">
      <c r="A62" s="23">
        <v>61</v>
      </c>
      <c r="B62" s="23">
        <v>1635.7593220338999</v>
      </c>
      <c r="C62" s="23">
        <v>0.77515823500000003</v>
      </c>
      <c r="D62" s="60">
        <f t="shared" si="3"/>
        <v>1267.9723089525946</v>
      </c>
      <c r="E62" s="4">
        <f t="shared" si="4"/>
        <v>367.7870130813053</v>
      </c>
      <c r="F62" s="4">
        <f t="shared" si="5"/>
        <v>22.484176499999993</v>
      </c>
    </row>
    <row r="63" spans="1:6" x14ac:dyDescent="0.2">
      <c r="A63" s="23">
        <v>62</v>
      </c>
      <c r="B63" s="23">
        <v>1650.7989719366501</v>
      </c>
      <c r="C63" s="23">
        <v>0.77074041000000004</v>
      </c>
      <c r="D63" s="60">
        <f t="shared" si="3"/>
        <v>1272.3374764580324</v>
      </c>
      <c r="E63" s="4">
        <f t="shared" si="4"/>
        <v>378.46149547861773</v>
      </c>
      <c r="F63" s="4">
        <f t="shared" si="5"/>
        <v>22.925958999999992</v>
      </c>
    </row>
    <row r="64" spans="1:6" x14ac:dyDescent="0.2">
      <c r="A64" s="23">
        <v>63</v>
      </c>
      <c r="B64" s="23">
        <v>1665.8386218394</v>
      </c>
      <c r="C64" s="23">
        <v>0.75170978300000002</v>
      </c>
      <c r="D64" s="60">
        <f t="shared" si="3"/>
        <v>1252.2271889359145</v>
      </c>
      <c r="E64" s="4">
        <f t="shared" si="4"/>
        <v>413.61143290348559</v>
      </c>
      <c r="F64" s="4">
        <f t="shared" si="5"/>
        <v>24.829021700000002</v>
      </c>
    </row>
    <row r="65" spans="1:6" x14ac:dyDescent="0.2">
      <c r="A65" s="23">
        <v>64</v>
      </c>
      <c r="B65" s="23">
        <v>1680.87827174215</v>
      </c>
      <c r="C65" s="23">
        <v>0.865553715</v>
      </c>
      <c r="D65" s="60">
        <f t="shared" si="3"/>
        <v>1454.8904325691974</v>
      </c>
      <c r="E65" s="4">
        <f t="shared" si="4"/>
        <v>225.98783917295259</v>
      </c>
      <c r="F65" s="4">
        <f t="shared" si="5"/>
        <v>13.444628500000002</v>
      </c>
    </row>
    <row r="66" spans="1:6" x14ac:dyDescent="0.2">
      <c r="A66" s="23">
        <v>65</v>
      </c>
      <c r="B66" s="23">
        <v>1695.9179216448999</v>
      </c>
      <c r="C66" s="23">
        <v>0.947793212</v>
      </c>
      <c r="D66" s="60">
        <f t="shared" ref="D66:D85" si="6">C66*B66</f>
        <v>1607.3794942441841</v>
      </c>
      <c r="E66" s="4">
        <f t="shared" ref="E66:E85" si="7">ABS(B66-D66)</f>
        <v>88.538427400715818</v>
      </c>
      <c r="F66" s="4">
        <f t="shared" ref="F66:F85" si="8">ABS(B66-D66)/B66*100</f>
        <v>5.2206787999999946</v>
      </c>
    </row>
    <row r="67" spans="1:6" x14ac:dyDescent="0.2">
      <c r="A67" s="23">
        <v>66</v>
      </c>
      <c r="B67" s="23">
        <v>1710.9575715476501</v>
      </c>
      <c r="C67" s="23">
        <v>1.047534089</v>
      </c>
      <c r="D67" s="60">
        <f t="shared" si="6"/>
        <v>1792.28638102882</v>
      </c>
      <c r="E67" s="4">
        <f t="shared" si="7"/>
        <v>81.328809481169856</v>
      </c>
      <c r="F67" s="4">
        <f t="shared" si="8"/>
        <v>4.7534088999999993</v>
      </c>
    </row>
    <row r="68" spans="1:6" x14ac:dyDescent="0.2">
      <c r="A68" s="23">
        <v>67</v>
      </c>
      <c r="B68" s="23">
        <v>1725.9972214504</v>
      </c>
      <c r="C68" s="23">
        <v>1.118729026</v>
      </c>
      <c r="D68" s="60">
        <f t="shared" si="6"/>
        <v>1930.9231904319124</v>
      </c>
      <c r="E68" s="4">
        <f t="shared" si="7"/>
        <v>204.92596898151237</v>
      </c>
      <c r="F68" s="4">
        <f t="shared" si="8"/>
        <v>11.872902600000005</v>
      </c>
    </row>
    <row r="69" spans="1:6" x14ac:dyDescent="0.2">
      <c r="A69" s="23">
        <v>68</v>
      </c>
      <c r="B69" s="23">
        <v>1741.03687135315</v>
      </c>
      <c r="C69" s="23">
        <v>1.148124549</v>
      </c>
      <c r="D69" s="60">
        <f t="shared" si="6"/>
        <v>1998.9271727147063</v>
      </c>
      <c r="E69" s="4">
        <f t="shared" si="7"/>
        <v>257.89030136155634</v>
      </c>
      <c r="F69" s="4">
        <f t="shared" si="8"/>
        <v>14.812454899999999</v>
      </c>
    </row>
    <row r="70" spans="1:6" x14ac:dyDescent="0.2">
      <c r="A70" s="23">
        <v>69</v>
      </c>
      <c r="B70" s="23">
        <v>1756.0765212558999</v>
      </c>
      <c r="C70" s="23">
        <v>1.191793042</v>
      </c>
      <c r="D70" s="60">
        <f t="shared" si="6"/>
        <v>2092.8797792523469</v>
      </c>
      <c r="E70" s="4">
        <f t="shared" si="7"/>
        <v>336.80325799644697</v>
      </c>
      <c r="F70" s="4">
        <f t="shared" si="8"/>
        <v>19.179304200000015</v>
      </c>
    </row>
    <row r="71" spans="1:6" x14ac:dyDescent="0.2">
      <c r="A71" s="23">
        <v>70</v>
      </c>
      <c r="B71" s="23">
        <v>1771.1161711586501</v>
      </c>
      <c r="C71" s="23">
        <v>1.1904337110000001</v>
      </c>
      <c r="D71" s="60">
        <f t="shared" si="6"/>
        <v>2108.3963962445032</v>
      </c>
      <c r="E71" s="4">
        <f t="shared" si="7"/>
        <v>337.28022508585309</v>
      </c>
      <c r="F71" s="4">
        <f t="shared" si="8"/>
        <v>19.043371100000009</v>
      </c>
    </row>
    <row r="72" spans="1:6" x14ac:dyDescent="0.2">
      <c r="A72" s="23">
        <v>71</v>
      </c>
      <c r="B72" s="23">
        <v>1786.1558210614</v>
      </c>
      <c r="C72" s="23">
        <v>1.1758209079999999</v>
      </c>
      <c r="D72" s="60">
        <f t="shared" si="6"/>
        <v>2100.199359349901</v>
      </c>
      <c r="E72" s="4">
        <f t="shared" si="7"/>
        <v>314.04353828850094</v>
      </c>
      <c r="F72" s="4">
        <f t="shared" si="8"/>
        <v>17.582090800000003</v>
      </c>
    </row>
    <row r="73" spans="1:6" x14ac:dyDescent="0.2">
      <c r="A73" s="23">
        <v>72</v>
      </c>
      <c r="B73" s="23">
        <v>1801.19547096415</v>
      </c>
      <c r="C73" s="23">
        <v>1.0166093199999999</v>
      </c>
      <c r="D73" s="60">
        <f t="shared" si="6"/>
        <v>1831.1121029239441</v>
      </c>
      <c r="E73" s="4">
        <f t="shared" si="7"/>
        <v>29.916631959794131</v>
      </c>
      <c r="F73" s="4">
        <f t="shared" si="8"/>
        <v>1.6609319999999921</v>
      </c>
    </row>
    <row r="74" spans="1:6" x14ac:dyDescent="0.2">
      <c r="A74" s="23">
        <v>73</v>
      </c>
      <c r="B74" s="23">
        <v>1816.2351208668999</v>
      </c>
      <c r="C74" s="23">
        <v>0.77515823500000003</v>
      </c>
      <c r="D74" s="60">
        <f t="shared" si="6"/>
        <v>1407.8696106361979</v>
      </c>
      <c r="E74" s="4">
        <f t="shared" si="7"/>
        <v>408.36551023070206</v>
      </c>
      <c r="F74" s="4">
        <f t="shared" si="8"/>
        <v>22.484176499999997</v>
      </c>
    </row>
    <row r="75" spans="1:6" x14ac:dyDescent="0.2">
      <c r="A75" s="23">
        <v>74</v>
      </c>
      <c r="B75" s="23">
        <v>1831.2747707696501</v>
      </c>
      <c r="C75" s="23">
        <v>0.77074041000000004</v>
      </c>
      <c r="D75" s="60">
        <f t="shared" si="6"/>
        <v>1411.4374676456562</v>
      </c>
      <c r="E75" s="4">
        <f t="shared" si="7"/>
        <v>419.83730312399393</v>
      </c>
      <c r="F75" s="4">
        <f t="shared" si="8"/>
        <v>22.925958999999999</v>
      </c>
    </row>
    <row r="76" spans="1:6" x14ac:dyDescent="0.2">
      <c r="A76" s="23">
        <v>75</v>
      </c>
      <c r="B76" s="23">
        <v>1846.3144206724101</v>
      </c>
      <c r="C76" s="23">
        <v>0.75170978300000002</v>
      </c>
      <c r="D76" s="60">
        <f t="shared" si="6"/>
        <v>1387.892612513428</v>
      </c>
      <c r="E76" s="4">
        <f t="shared" si="7"/>
        <v>458.421808158982</v>
      </c>
      <c r="F76" s="4">
        <f t="shared" si="8"/>
        <v>24.829021700000002</v>
      </c>
    </row>
    <row r="77" spans="1:6" x14ac:dyDescent="0.2">
      <c r="A77" s="23">
        <v>76</v>
      </c>
      <c r="B77" s="23">
        <v>1861.35407057516</v>
      </c>
      <c r="C77" s="23">
        <v>0.865553715</v>
      </c>
      <c r="D77" s="60">
        <f t="shared" si="6"/>
        <v>1611.1019307167019</v>
      </c>
      <c r="E77" s="4">
        <f t="shared" si="7"/>
        <v>250.25213985845812</v>
      </c>
      <c r="F77" s="4">
        <f t="shared" si="8"/>
        <v>13.444628500000002</v>
      </c>
    </row>
    <row r="78" spans="1:6" x14ac:dyDescent="0.2">
      <c r="A78" s="23">
        <v>77</v>
      </c>
      <c r="B78" s="23">
        <v>1876.3937204779099</v>
      </c>
      <c r="C78" s="23">
        <v>0.947793212</v>
      </c>
      <c r="D78" s="60">
        <f t="shared" si="6"/>
        <v>1778.4332313083885</v>
      </c>
      <c r="E78" s="4">
        <f t="shared" si="7"/>
        <v>97.960489169521452</v>
      </c>
      <c r="F78" s="4">
        <f t="shared" si="8"/>
        <v>5.2206787999999973</v>
      </c>
    </row>
    <row r="79" spans="1:6" x14ac:dyDescent="0.2">
      <c r="A79" s="23">
        <v>78</v>
      </c>
      <c r="B79" s="23">
        <v>1891.4333703806601</v>
      </c>
      <c r="C79" s="23">
        <v>1.047534089</v>
      </c>
      <c r="D79" s="60">
        <f t="shared" si="6"/>
        <v>1981.3409325459045</v>
      </c>
      <c r="E79" s="4">
        <f t="shared" si="7"/>
        <v>89.907562165244371</v>
      </c>
      <c r="F79" s="4">
        <f t="shared" si="8"/>
        <v>4.7534089000000055</v>
      </c>
    </row>
    <row r="80" spans="1:6" x14ac:dyDescent="0.2">
      <c r="A80" s="23">
        <v>79</v>
      </c>
      <c r="B80" s="23">
        <v>1906.4730202834101</v>
      </c>
      <c r="C80" s="23">
        <v>1.118729026</v>
      </c>
      <c r="D80" s="60">
        <f t="shared" si="6"/>
        <v>2132.8267050769377</v>
      </c>
      <c r="E80" s="4">
        <f t="shared" si="7"/>
        <v>226.35368479352769</v>
      </c>
      <c r="F80" s="4">
        <f t="shared" si="8"/>
        <v>11.872902600000009</v>
      </c>
    </row>
    <row r="81" spans="1:6" x14ac:dyDescent="0.2">
      <c r="A81" s="23">
        <v>80</v>
      </c>
      <c r="B81" s="23">
        <v>1921.51267018616</v>
      </c>
      <c r="C81" s="23">
        <v>1.148124549</v>
      </c>
      <c r="D81" s="60">
        <f t="shared" si="6"/>
        <v>2206.1358678552706</v>
      </c>
      <c r="E81" s="4">
        <f t="shared" si="7"/>
        <v>284.6231976691106</v>
      </c>
      <c r="F81" s="4">
        <f t="shared" si="8"/>
        <v>14.812454899999993</v>
      </c>
    </row>
    <row r="82" spans="1:6" x14ac:dyDescent="0.2">
      <c r="A82" s="23">
        <v>81</v>
      </c>
      <c r="B82" s="23">
        <v>1936.5523200889099</v>
      </c>
      <c r="C82" s="23">
        <v>1.191793042</v>
      </c>
      <c r="D82" s="60">
        <f t="shared" si="6"/>
        <v>2307.9695805509195</v>
      </c>
      <c r="E82" s="4">
        <f t="shared" si="7"/>
        <v>371.41726046200961</v>
      </c>
      <c r="F82" s="4">
        <f t="shared" si="8"/>
        <v>19.179304199999994</v>
      </c>
    </row>
    <row r="83" spans="1:6" x14ac:dyDescent="0.2">
      <c r="A83" s="23">
        <v>82</v>
      </c>
      <c r="B83" s="23">
        <v>1951.5919699916601</v>
      </c>
      <c r="C83" s="23">
        <v>1.1904337110000001</v>
      </c>
      <c r="D83" s="60">
        <f t="shared" si="6"/>
        <v>2323.2408711949729</v>
      </c>
      <c r="E83" s="4">
        <f t="shared" si="7"/>
        <v>371.64890120331279</v>
      </c>
      <c r="F83" s="4">
        <f t="shared" si="8"/>
        <v>19.043371100000016</v>
      </c>
    </row>
    <row r="84" spans="1:6" x14ac:dyDescent="0.2">
      <c r="A84" s="23">
        <v>83</v>
      </c>
      <c r="B84" s="23">
        <v>1966.6316198944101</v>
      </c>
      <c r="C84" s="23">
        <v>1.1758209079999999</v>
      </c>
      <c r="D84" s="60">
        <f t="shared" si="6"/>
        <v>2312.4065770057559</v>
      </c>
      <c r="E84" s="4">
        <f t="shared" si="7"/>
        <v>345.77495711134588</v>
      </c>
      <c r="F84" s="4">
        <f t="shared" si="8"/>
        <v>17.582090799999992</v>
      </c>
    </row>
    <row r="85" spans="1:6" x14ac:dyDescent="0.2">
      <c r="A85" s="23">
        <v>84</v>
      </c>
      <c r="B85" s="23">
        <v>1981.67126979716</v>
      </c>
      <c r="C85" s="23">
        <v>1.0166093199999999</v>
      </c>
      <c r="D85" s="60">
        <f t="shared" si="6"/>
        <v>2014.5854820520271</v>
      </c>
      <c r="E85" s="4">
        <f t="shared" si="7"/>
        <v>32.914212254867152</v>
      </c>
      <c r="F85" s="4">
        <f t="shared" si="8"/>
        <v>1.6609319999999892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ED0D-020E-3B44-9792-FFC1532D8262}">
  <dimension ref="A1:AB49"/>
  <sheetViews>
    <sheetView workbookViewId="0">
      <selection activeCell="S28" sqref="S28"/>
    </sheetView>
  </sheetViews>
  <sheetFormatPr baseColWidth="10" defaultColWidth="8.83203125" defaultRowHeight="15" x14ac:dyDescent="0.2"/>
  <cols>
    <col min="1" max="1" width="12.5" bestFit="1" customWidth="1"/>
    <col min="2" max="2" width="12.6640625" bestFit="1" customWidth="1"/>
    <col min="3" max="3" width="12.6640625" customWidth="1"/>
    <col min="4" max="4" width="11.5" bestFit="1" customWidth="1"/>
    <col min="5" max="5" width="14.33203125" bestFit="1" customWidth="1"/>
    <col min="6" max="6" width="13.6640625" bestFit="1" customWidth="1"/>
    <col min="7" max="7" width="13.1640625" customWidth="1"/>
    <col min="8" max="8" width="15.83203125" bestFit="1" customWidth="1"/>
    <col min="9" max="9" width="12.5" customWidth="1"/>
    <col min="14" max="14" width="12.5" customWidth="1"/>
    <col min="15" max="15" width="12.1640625" customWidth="1"/>
    <col min="16" max="16" width="13" customWidth="1"/>
    <col min="24" max="24" width="9.83203125" customWidth="1"/>
    <col min="28" max="28" width="19.33203125" customWidth="1"/>
    <col min="30" max="33" width="8.83203125" customWidth="1"/>
    <col min="36" max="36" width="8.83203125" customWidth="1"/>
  </cols>
  <sheetData>
    <row r="1" spans="1:22" ht="16" customHeight="1" x14ac:dyDescent="0.2">
      <c r="A1" s="138" t="s">
        <v>243</v>
      </c>
      <c r="B1" s="139"/>
      <c r="C1" s="139"/>
      <c r="D1" s="139"/>
      <c r="E1" s="108"/>
    </row>
    <row r="2" spans="1:22" ht="31" customHeight="1" thickBot="1" x14ac:dyDescent="0.25">
      <c r="A2" s="67" t="s">
        <v>96</v>
      </c>
      <c r="B2" s="61" t="s">
        <v>37</v>
      </c>
      <c r="C2" s="61" t="s">
        <v>4</v>
      </c>
      <c r="D2" s="61" t="s">
        <v>95</v>
      </c>
      <c r="E2" s="68" t="s">
        <v>94</v>
      </c>
      <c r="U2" s="61" t="s">
        <v>230</v>
      </c>
      <c r="V2" s="61" t="s">
        <v>4</v>
      </c>
    </row>
    <row r="3" spans="1:22" x14ac:dyDescent="0.2">
      <c r="A3" s="41">
        <v>1</v>
      </c>
      <c r="B3" s="18">
        <v>2016</v>
      </c>
      <c r="C3" s="18">
        <v>9302</v>
      </c>
      <c r="D3" s="18">
        <f>A3*A3</f>
        <v>1</v>
      </c>
      <c r="E3" s="39">
        <f>C3*A3</f>
        <v>9302</v>
      </c>
      <c r="G3" s="74" t="s">
        <v>93</v>
      </c>
      <c r="H3" s="75">
        <f>AVERAGE(A3:A7)</f>
        <v>3</v>
      </c>
      <c r="O3" s="54"/>
      <c r="P3" s="58"/>
      <c r="Q3" s="58"/>
      <c r="R3" s="58"/>
      <c r="S3" s="55"/>
      <c r="U3" s="18">
        <v>1</v>
      </c>
      <c r="V3" s="18">
        <v>9302</v>
      </c>
    </row>
    <row r="4" spans="1:22" x14ac:dyDescent="0.2">
      <c r="A4" s="41">
        <v>2</v>
      </c>
      <c r="B4" s="18">
        <v>2017</v>
      </c>
      <c r="C4" s="18">
        <v>12834</v>
      </c>
      <c r="D4" s="18">
        <f>A4*A4</f>
        <v>4</v>
      </c>
      <c r="E4" s="39">
        <f>C4*A4</f>
        <v>25668</v>
      </c>
      <c r="G4" s="76" t="s">
        <v>92</v>
      </c>
      <c r="H4" s="77">
        <f>AVERAGE(C3:C7)</f>
        <v>14124.6</v>
      </c>
      <c r="O4" s="106" t="s">
        <v>205</v>
      </c>
      <c r="S4" s="57"/>
      <c r="U4" s="18">
        <v>2</v>
      </c>
      <c r="V4" s="18">
        <v>12834</v>
      </c>
    </row>
    <row r="5" spans="1:22" x14ac:dyDescent="0.2">
      <c r="A5" s="41">
        <v>3</v>
      </c>
      <c r="B5" s="18">
        <v>2018</v>
      </c>
      <c r="C5" s="18">
        <v>14788</v>
      </c>
      <c r="D5" s="18">
        <f>A5*A5</f>
        <v>9</v>
      </c>
      <c r="E5" s="39">
        <f>C5*A5</f>
        <v>44364</v>
      </c>
      <c r="G5" s="76" t="s">
        <v>90</v>
      </c>
      <c r="H5" s="77">
        <f>(E8-(5*H3*H4))/(D8-(5*H3*H3))</f>
        <v>1969</v>
      </c>
      <c r="O5" s="56" t="s">
        <v>227</v>
      </c>
      <c r="S5" s="57"/>
      <c r="U5" s="18">
        <v>3</v>
      </c>
      <c r="V5" s="18">
        <v>14788</v>
      </c>
    </row>
    <row r="6" spans="1:22" ht="16" thickBot="1" x14ac:dyDescent="0.25">
      <c r="A6" s="41">
        <v>4</v>
      </c>
      <c r="B6" s="18">
        <v>2019</v>
      </c>
      <c r="C6" s="18">
        <v>16270</v>
      </c>
      <c r="D6" s="18">
        <f>A6*A6</f>
        <v>16</v>
      </c>
      <c r="E6" s="39">
        <f>C6*A6</f>
        <v>65080</v>
      </c>
      <c r="G6" s="78" t="s">
        <v>89</v>
      </c>
      <c r="H6" s="79">
        <f>H4-(H5*H3)</f>
        <v>8217.6</v>
      </c>
      <c r="O6" s="56" t="s">
        <v>228</v>
      </c>
      <c r="S6" s="57"/>
      <c r="U6" s="18">
        <v>4</v>
      </c>
      <c r="V6" s="18">
        <v>16270</v>
      </c>
    </row>
    <row r="7" spans="1:22" ht="16" thickBot="1" x14ac:dyDescent="0.25">
      <c r="A7" s="41">
        <v>5</v>
      </c>
      <c r="B7" s="18">
        <v>2020</v>
      </c>
      <c r="C7" s="18">
        <v>17429</v>
      </c>
      <c r="D7" s="18">
        <f>A7*A7</f>
        <v>25</v>
      </c>
      <c r="E7" s="39">
        <f>C7*A7</f>
        <v>87145</v>
      </c>
      <c r="O7" s="25" t="s">
        <v>229</v>
      </c>
      <c r="P7" s="59"/>
      <c r="Q7" s="59"/>
      <c r="R7" s="59"/>
      <c r="S7" s="24"/>
      <c r="U7" s="18">
        <v>5</v>
      </c>
      <c r="V7" s="18">
        <v>17429</v>
      </c>
    </row>
    <row r="8" spans="1:22" ht="16" thickBot="1" x14ac:dyDescent="0.25">
      <c r="A8" s="69">
        <f>SUM(A3:A7)</f>
        <v>15</v>
      </c>
      <c r="B8" s="70"/>
      <c r="C8" s="70">
        <f>SUM(C3:C7)</f>
        <v>70623</v>
      </c>
      <c r="D8" s="70">
        <f>SUM(D3:D7)</f>
        <v>55</v>
      </c>
      <c r="E8" s="71">
        <f>SUM(E3:E7)</f>
        <v>231559</v>
      </c>
      <c r="G8" s="142" t="s">
        <v>87</v>
      </c>
      <c r="H8" s="143"/>
    </row>
    <row r="9" spans="1:22" ht="17" thickBot="1" x14ac:dyDescent="0.25">
      <c r="A9" s="72" t="s">
        <v>86</v>
      </c>
      <c r="B9" s="73">
        <v>2021</v>
      </c>
      <c r="C9" s="109">
        <f>ROUNDUP(H6+H5*6,0)</f>
        <v>20032</v>
      </c>
    </row>
    <row r="10" spans="1:22" ht="16" thickBot="1" x14ac:dyDescent="0.25"/>
    <row r="11" spans="1:22" ht="16" thickBot="1" x14ac:dyDescent="0.25">
      <c r="A11" s="87" t="s">
        <v>85</v>
      </c>
      <c r="B11" s="88"/>
      <c r="C11" s="89"/>
    </row>
    <row r="12" spans="1:22" ht="16" thickBot="1" x14ac:dyDescent="0.25">
      <c r="A12" s="82" t="s">
        <v>2</v>
      </c>
      <c r="B12" s="131" t="s">
        <v>100</v>
      </c>
      <c r="C12" s="132"/>
      <c r="D12" s="131" t="s">
        <v>101</v>
      </c>
      <c r="E12" s="132"/>
      <c r="F12" s="131" t="s">
        <v>102</v>
      </c>
      <c r="G12" s="132"/>
      <c r="H12" s="131" t="s">
        <v>103</v>
      </c>
      <c r="I12" s="132"/>
    </row>
    <row r="13" spans="1:22" x14ac:dyDescent="0.2">
      <c r="A13" s="83" t="s">
        <v>1</v>
      </c>
      <c r="B13" s="140">
        <v>0.4</v>
      </c>
      <c r="C13" s="141"/>
      <c r="D13" s="140">
        <v>0.3</v>
      </c>
      <c r="E13" s="141"/>
      <c r="F13" s="140">
        <v>0.35</v>
      </c>
      <c r="G13" s="141"/>
      <c r="H13" s="140">
        <v>0.3</v>
      </c>
      <c r="I13" s="141"/>
      <c r="P13" s="54"/>
      <c r="Q13" s="58"/>
      <c r="R13" s="58"/>
      <c r="S13" s="58"/>
      <c r="T13" s="55"/>
    </row>
    <row r="14" spans="1:22" x14ac:dyDescent="0.2">
      <c r="A14" s="83" t="s">
        <v>84</v>
      </c>
      <c r="B14" s="140">
        <v>1250</v>
      </c>
      <c r="C14" s="141"/>
      <c r="D14" s="140">
        <v>1500</v>
      </c>
      <c r="E14" s="141"/>
      <c r="F14" s="140">
        <v>2500</v>
      </c>
      <c r="G14" s="141"/>
      <c r="H14" s="140">
        <v>1200</v>
      </c>
      <c r="I14" s="141"/>
      <c r="K14" s="128" t="s">
        <v>104</v>
      </c>
      <c r="L14" s="129"/>
      <c r="M14" s="130"/>
      <c r="N14" s="32" t="s">
        <v>91</v>
      </c>
      <c r="P14" s="106" t="s">
        <v>205</v>
      </c>
      <c r="T14" s="57"/>
    </row>
    <row r="15" spans="1:22" x14ac:dyDescent="0.2">
      <c r="A15" s="84"/>
      <c r="B15" s="56"/>
      <c r="C15" s="57"/>
      <c r="D15" s="56"/>
      <c r="E15" s="57"/>
      <c r="F15" s="56"/>
      <c r="G15" s="57"/>
      <c r="H15" s="56"/>
      <c r="I15" s="57"/>
      <c r="K15" s="33" t="s">
        <v>105</v>
      </c>
      <c r="L15" s="33"/>
      <c r="M15" s="33"/>
      <c r="N15" s="32">
        <v>20032</v>
      </c>
      <c r="P15" s="56" t="s">
        <v>236</v>
      </c>
      <c r="T15" s="57"/>
    </row>
    <row r="16" spans="1:22" x14ac:dyDescent="0.2">
      <c r="A16" s="84"/>
      <c r="B16" s="64" t="s">
        <v>83</v>
      </c>
      <c r="C16" s="65" t="s">
        <v>40</v>
      </c>
      <c r="D16" s="64" t="s">
        <v>83</v>
      </c>
      <c r="E16" s="65" t="s">
        <v>40</v>
      </c>
      <c r="F16" s="64" t="s">
        <v>83</v>
      </c>
      <c r="G16" s="65" t="s">
        <v>40</v>
      </c>
      <c r="H16" s="64" t="s">
        <v>83</v>
      </c>
      <c r="I16" s="65" t="s">
        <v>40</v>
      </c>
      <c r="K16" s="128" t="s">
        <v>88</v>
      </c>
      <c r="L16" s="129"/>
      <c r="M16" s="130"/>
      <c r="N16" s="32">
        <f>N15*2000*30/1000</f>
        <v>1201920</v>
      </c>
      <c r="P16" s="56" t="s">
        <v>237</v>
      </c>
      <c r="T16" s="57"/>
    </row>
    <row r="17" spans="1:28" x14ac:dyDescent="0.2">
      <c r="A17" s="84"/>
      <c r="B17" s="66" t="s">
        <v>18</v>
      </c>
      <c r="C17" s="63">
        <v>78.3</v>
      </c>
      <c r="D17" s="62" t="s">
        <v>21</v>
      </c>
      <c r="E17" s="63">
        <v>55.4</v>
      </c>
      <c r="F17" s="62" t="s">
        <v>14</v>
      </c>
      <c r="G17" s="63">
        <v>21.7</v>
      </c>
      <c r="H17" s="62" t="s">
        <v>70</v>
      </c>
      <c r="I17" s="63">
        <v>145.08000000000001</v>
      </c>
      <c r="P17" s="56" t="s">
        <v>238</v>
      </c>
      <c r="T17" s="57"/>
    </row>
    <row r="18" spans="1:28" x14ac:dyDescent="0.2">
      <c r="A18" s="84"/>
      <c r="B18" s="62" t="s">
        <v>38</v>
      </c>
      <c r="C18" s="63">
        <v>78.2</v>
      </c>
      <c r="D18" s="62" t="s">
        <v>22</v>
      </c>
      <c r="E18" s="63">
        <v>55.3</v>
      </c>
      <c r="F18" s="62" t="s">
        <v>15</v>
      </c>
      <c r="G18" s="63">
        <v>21.6</v>
      </c>
      <c r="H18" s="62" t="s">
        <v>69</v>
      </c>
      <c r="I18" s="63">
        <v>145</v>
      </c>
      <c r="P18" s="56" t="s">
        <v>239</v>
      </c>
      <c r="T18" s="57"/>
    </row>
    <row r="19" spans="1:28" ht="16" thickBot="1" x14ac:dyDescent="0.25">
      <c r="A19" s="84"/>
      <c r="B19" s="62" t="s">
        <v>20</v>
      </c>
      <c r="C19" s="63">
        <v>78</v>
      </c>
      <c r="D19" s="62" t="s">
        <v>23</v>
      </c>
      <c r="E19" s="63">
        <v>55.2</v>
      </c>
      <c r="F19" s="62" t="s">
        <v>72</v>
      </c>
      <c r="G19" s="63">
        <v>21.5</v>
      </c>
      <c r="H19" s="62" t="s">
        <v>16</v>
      </c>
      <c r="I19" s="63">
        <v>144.9</v>
      </c>
      <c r="P19" s="56" t="s">
        <v>240</v>
      </c>
      <c r="T19" s="57"/>
    </row>
    <row r="20" spans="1:28" ht="16" thickBot="1" x14ac:dyDescent="0.25">
      <c r="A20" s="84"/>
      <c r="B20" s="62" t="s">
        <v>74</v>
      </c>
      <c r="C20" s="63">
        <v>77.8</v>
      </c>
      <c r="D20" s="62" t="s">
        <v>73</v>
      </c>
      <c r="E20" s="63">
        <v>55</v>
      </c>
      <c r="F20" s="62" t="s">
        <v>71</v>
      </c>
      <c r="G20" s="63">
        <v>21.3</v>
      </c>
      <c r="H20" s="62" t="s">
        <v>68</v>
      </c>
      <c r="I20" s="63">
        <v>144.80000000000001</v>
      </c>
      <c r="P20" s="25" t="s">
        <v>241</v>
      </c>
      <c r="Q20" s="59"/>
      <c r="R20" s="59"/>
      <c r="S20" s="59"/>
      <c r="T20" s="24"/>
      <c r="X20" s="54"/>
      <c r="Y20" s="58"/>
      <c r="Z20" s="58"/>
      <c r="AA20" s="58"/>
      <c r="AB20" s="55"/>
    </row>
    <row r="21" spans="1:28" ht="16" thickBot="1" x14ac:dyDescent="0.25">
      <c r="A21" s="85" t="s">
        <v>242</v>
      </c>
      <c r="B21" s="62">
        <f>4.5*2000/1000</f>
        <v>9</v>
      </c>
      <c r="C21" s="63"/>
      <c r="D21" s="62">
        <f>2000*6/1000</f>
        <v>12</v>
      </c>
      <c r="E21" s="63"/>
      <c r="F21" s="62">
        <f>2000*15/1000</f>
        <v>30</v>
      </c>
      <c r="G21" s="63"/>
      <c r="H21" s="62">
        <f>1.5*2000/1000</f>
        <v>3</v>
      </c>
      <c r="I21" s="63"/>
      <c r="X21" s="106" t="s">
        <v>205</v>
      </c>
      <c r="AB21" s="57"/>
    </row>
    <row r="22" spans="1:28" ht="16" thickBot="1" x14ac:dyDescent="0.25">
      <c r="A22" s="86" t="s">
        <v>82</v>
      </c>
      <c r="B22" s="80">
        <f>B21*C9</f>
        <v>180288</v>
      </c>
      <c r="C22" s="81"/>
      <c r="D22" s="80">
        <f>D21*C9</f>
        <v>240384</v>
      </c>
      <c r="E22" s="81"/>
      <c r="F22" s="80">
        <f>F21*C9</f>
        <v>600960</v>
      </c>
      <c r="G22" s="81"/>
      <c r="H22" s="80">
        <f>H21*C9</f>
        <v>60096</v>
      </c>
      <c r="I22" s="81"/>
      <c r="X22" s="56" t="s">
        <v>231</v>
      </c>
      <c r="AB22" s="57"/>
    </row>
    <row r="23" spans="1:28" ht="16" thickBot="1" x14ac:dyDescent="0.25">
      <c r="A23" s="133" t="s">
        <v>106</v>
      </c>
      <c r="B23" s="134"/>
      <c r="X23" s="56" t="s">
        <v>232</v>
      </c>
      <c r="AB23" s="57"/>
    </row>
    <row r="24" spans="1:28" x14ac:dyDescent="0.2">
      <c r="X24" s="56" t="s">
        <v>233</v>
      </c>
      <c r="AB24" s="57"/>
    </row>
    <row r="25" spans="1:28" ht="16" thickBot="1" x14ac:dyDescent="0.25">
      <c r="X25" s="56" t="s">
        <v>234</v>
      </c>
      <c r="AB25" s="57"/>
    </row>
    <row r="26" spans="1:28" ht="16" thickBot="1" x14ac:dyDescent="0.25">
      <c r="B26" s="144" t="s">
        <v>81</v>
      </c>
      <c r="C26" s="145"/>
      <c r="D26" s="145"/>
      <c r="E26" s="145"/>
      <c r="F26" s="145"/>
      <c r="G26" s="145"/>
      <c r="H26" s="145"/>
      <c r="I26" s="146"/>
      <c r="K26" s="54"/>
      <c r="L26" s="58"/>
      <c r="M26" s="58"/>
      <c r="N26" s="58"/>
      <c r="O26" s="55"/>
      <c r="X26" s="25" t="s">
        <v>235</v>
      </c>
      <c r="Y26" s="59"/>
      <c r="Z26" s="59"/>
      <c r="AA26" s="59"/>
      <c r="AB26" s="24"/>
    </row>
    <row r="27" spans="1:28" ht="16" thickBot="1" x14ac:dyDescent="0.25">
      <c r="B27" s="103" t="s">
        <v>2</v>
      </c>
      <c r="C27" s="104" t="s">
        <v>80</v>
      </c>
      <c r="D27" s="104" t="s">
        <v>79</v>
      </c>
      <c r="E27" s="104" t="s">
        <v>78</v>
      </c>
      <c r="F27" s="104" t="s">
        <v>77</v>
      </c>
      <c r="G27" s="104" t="s">
        <v>76</v>
      </c>
      <c r="H27" s="104" t="s">
        <v>39</v>
      </c>
      <c r="I27" s="105" t="s">
        <v>75</v>
      </c>
      <c r="K27" s="106" t="s">
        <v>205</v>
      </c>
      <c r="O27" s="57"/>
    </row>
    <row r="28" spans="1:28" x14ac:dyDescent="0.2">
      <c r="B28" s="93" t="s">
        <v>100</v>
      </c>
      <c r="C28" s="94" t="s">
        <v>18</v>
      </c>
      <c r="D28" s="95">
        <v>78.3</v>
      </c>
      <c r="E28" s="95">
        <v>1250</v>
      </c>
      <c r="F28" s="95">
        <f>0.4*D28</f>
        <v>31.32</v>
      </c>
      <c r="G28" s="95">
        <v>180288</v>
      </c>
      <c r="H28" s="96">
        <f>SQRT(2*G28*E28/F28)</f>
        <v>3793.5213980813592</v>
      </c>
      <c r="I28" s="97">
        <f>(G28/H28*E28)+(H28*F28/2)</f>
        <v>118813.09018790816</v>
      </c>
      <c r="K28" s="56" t="s">
        <v>244</v>
      </c>
      <c r="O28" s="57"/>
    </row>
    <row r="29" spans="1:28" x14ac:dyDescent="0.2">
      <c r="B29" s="5" t="s">
        <v>100</v>
      </c>
      <c r="C29" s="4" t="s">
        <v>38</v>
      </c>
      <c r="D29" s="4">
        <v>78.2</v>
      </c>
      <c r="E29" s="4">
        <v>1250</v>
      </c>
      <c r="F29" s="4">
        <f>0.4*D29</f>
        <v>31.28</v>
      </c>
      <c r="G29" s="4">
        <v>180288</v>
      </c>
      <c r="H29" s="50">
        <f>SQRT(2*G29*E29/F29)</f>
        <v>3795.946148343693</v>
      </c>
      <c r="I29" s="91">
        <f>(G29/H29*E29)+(H29*F29/2)</f>
        <v>118737.19552019073</v>
      </c>
      <c r="K29" s="56" t="s">
        <v>245</v>
      </c>
      <c r="O29" s="57"/>
    </row>
    <row r="30" spans="1:28" x14ac:dyDescent="0.2">
      <c r="B30" s="5" t="s">
        <v>100</v>
      </c>
      <c r="C30" s="4" t="s">
        <v>20</v>
      </c>
      <c r="D30" s="4">
        <v>78</v>
      </c>
      <c r="E30" s="4">
        <v>1250</v>
      </c>
      <c r="F30" s="4">
        <f>0.4*D30</f>
        <v>31.200000000000003</v>
      </c>
      <c r="G30" s="4">
        <v>180288</v>
      </c>
      <c r="H30" s="31">
        <f>SQRT(2*G30*E30/F30)</f>
        <v>3800.8096303490188</v>
      </c>
      <c r="I30" s="90">
        <f>(G30/H30*E30)+(H30*F30/2)</f>
        <v>118585.26046688939</v>
      </c>
      <c r="K30" s="56" t="s">
        <v>246</v>
      </c>
      <c r="O30" s="57"/>
    </row>
    <row r="31" spans="1:28" ht="16" thickBot="1" x14ac:dyDescent="0.25">
      <c r="B31" s="7" t="s">
        <v>100</v>
      </c>
      <c r="C31" s="34" t="s">
        <v>74</v>
      </c>
      <c r="D31" s="34">
        <v>77.8</v>
      </c>
      <c r="E31" s="34">
        <v>1250</v>
      </c>
      <c r="F31" s="34">
        <f>0.4*D31</f>
        <v>31.12</v>
      </c>
      <c r="G31" s="34">
        <v>180288</v>
      </c>
      <c r="H31" s="92">
        <f>SQRT(2*G31*E31/F31)</f>
        <v>3805.6918541090367</v>
      </c>
      <c r="I31" s="98">
        <f>(G31/H31*E31)+(H31*F31/2)</f>
        <v>118433.13049987322</v>
      </c>
      <c r="K31" s="56" t="s">
        <v>247</v>
      </c>
      <c r="O31" s="57"/>
    </row>
    <row r="32" spans="1:28" ht="16" thickBot="1" x14ac:dyDescent="0.25">
      <c r="B32" s="135"/>
      <c r="C32" s="136"/>
      <c r="D32" s="136"/>
      <c r="E32" s="136"/>
      <c r="F32" s="136"/>
      <c r="G32" s="136"/>
      <c r="H32" s="136"/>
      <c r="I32" s="137"/>
      <c r="K32" s="56" t="s">
        <v>248</v>
      </c>
      <c r="O32" s="57"/>
    </row>
    <row r="33" spans="2:15" x14ac:dyDescent="0.2">
      <c r="B33" s="93" t="s">
        <v>101</v>
      </c>
      <c r="C33" s="95" t="s">
        <v>21</v>
      </c>
      <c r="D33" s="95">
        <v>55.4</v>
      </c>
      <c r="E33" s="95">
        <v>1500</v>
      </c>
      <c r="F33" s="95">
        <f>0.3*D33</f>
        <v>16.619999999999997</v>
      </c>
      <c r="G33" s="95">
        <v>240384</v>
      </c>
      <c r="H33" s="96">
        <f>SQRT(2*G33*E33/F33)</f>
        <v>6587.1552067953853</v>
      </c>
      <c r="I33" s="97">
        <f>(G33/H33*E33)+(H33*F33/2)</f>
        <v>109478.51953693929</v>
      </c>
      <c r="K33" s="56" t="s">
        <v>249</v>
      </c>
      <c r="O33" s="57"/>
    </row>
    <row r="34" spans="2:15" ht="16" customHeight="1" thickBot="1" x14ac:dyDescent="0.25">
      <c r="B34" s="5" t="s">
        <v>101</v>
      </c>
      <c r="C34" s="4" t="s">
        <v>22</v>
      </c>
      <c r="D34" s="4">
        <v>55.4</v>
      </c>
      <c r="E34" s="4">
        <v>1500</v>
      </c>
      <c r="F34" s="4">
        <f>0.3*D34</f>
        <v>16.619999999999997</v>
      </c>
      <c r="G34" s="4">
        <v>240384</v>
      </c>
      <c r="H34" s="31">
        <f>SQRT(2*G34*E34/F34)</f>
        <v>6587.1552067953853</v>
      </c>
      <c r="I34" s="90">
        <f>(G34/H34*E34)+(H34*F34/2)</f>
        <v>109478.51953693929</v>
      </c>
      <c r="K34" s="25" t="s">
        <v>250</v>
      </c>
      <c r="L34" s="59"/>
      <c r="M34" s="59"/>
      <c r="N34" s="59"/>
      <c r="O34" s="24"/>
    </row>
    <row r="35" spans="2:15" x14ac:dyDescent="0.2">
      <c r="B35" s="5" t="s">
        <v>101</v>
      </c>
      <c r="C35" s="4" t="s">
        <v>23</v>
      </c>
      <c r="D35" s="4">
        <v>55.2</v>
      </c>
      <c r="E35" s="4">
        <v>1500</v>
      </c>
      <c r="F35" s="4">
        <f>0.3*D35</f>
        <v>16.559999999999999</v>
      </c>
      <c r="G35" s="4">
        <v>240384</v>
      </c>
      <c r="H35" s="31">
        <f>SQRT(2*G35*E35/F35)</f>
        <v>6599.0776694138494</v>
      </c>
      <c r="I35" s="90">
        <f>(G35/H35*E35)+(H35*F35/2)</f>
        <v>109280.72620549334</v>
      </c>
    </row>
    <row r="36" spans="2:15" ht="16" thickBot="1" x14ac:dyDescent="0.25">
      <c r="B36" s="7" t="s">
        <v>101</v>
      </c>
      <c r="C36" s="34" t="s">
        <v>73</v>
      </c>
      <c r="D36" s="34">
        <v>55</v>
      </c>
      <c r="E36" s="34">
        <v>1500</v>
      </c>
      <c r="F36" s="34">
        <f>0.3*D36</f>
        <v>16.5</v>
      </c>
      <c r="G36" s="34">
        <v>240384</v>
      </c>
      <c r="H36" s="99">
        <f>SQRT(2*G36*E36/F36)</f>
        <v>6611.0651046697321</v>
      </c>
      <c r="I36" s="100">
        <f>(G36/H36*E36)+(H36*F36/2)</f>
        <v>109082.57422705059</v>
      </c>
    </row>
    <row r="37" spans="2:15" ht="16" thickBot="1" x14ac:dyDescent="0.25">
      <c r="B37" s="135"/>
      <c r="C37" s="136"/>
      <c r="D37" s="136"/>
      <c r="E37" s="136"/>
      <c r="F37" s="136"/>
      <c r="G37" s="136"/>
      <c r="H37" s="136"/>
      <c r="I37" s="137"/>
    </row>
    <row r="38" spans="2:15" x14ac:dyDescent="0.2">
      <c r="B38" s="93" t="s">
        <v>102</v>
      </c>
      <c r="C38" s="95" t="s">
        <v>14</v>
      </c>
      <c r="D38" s="95">
        <v>21.7</v>
      </c>
      <c r="E38" s="95">
        <v>2500</v>
      </c>
      <c r="F38" s="95">
        <f>0.35*D38</f>
        <v>7.5949999999999989</v>
      </c>
      <c r="G38" s="95">
        <v>600960</v>
      </c>
      <c r="H38" s="96">
        <f>SQRT(2*G38*E38/F38)</f>
        <v>19890.417368525501</v>
      </c>
      <c r="I38" s="97">
        <f>(G38/H38*E38)+(H38*F38/2)</f>
        <v>151067.71991395118</v>
      </c>
    </row>
    <row r="39" spans="2:15" x14ac:dyDescent="0.2">
      <c r="B39" s="5" t="s">
        <v>102</v>
      </c>
      <c r="C39" s="4" t="s">
        <v>15</v>
      </c>
      <c r="D39" s="4">
        <v>21.6</v>
      </c>
      <c r="E39" s="4">
        <v>2500</v>
      </c>
      <c r="F39" s="4">
        <f>0.35*D39</f>
        <v>7.56</v>
      </c>
      <c r="G39" s="4">
        <v>600960</v>
      </c>
      <c r="H39" s="31">
        <f>SQRT(2*G39*E39/F39)</f>
        <v>19936.406834239653</v>
      </c>
      <c r="I39" s="90">
        <f>(G39/H39*E39)+(H39*F39/2)</f>
        <v>150719.23566685175</v>
      </c>
    </row>
    <row r="40" spans="2:15" x14ac:dyDescent="0.2">
      <c r="B40" s="5" t="s">
        <v>102</v>
      </c>
      <c r="C40" s="4" t="s">
        <v>72</v>
      </c>
      <c r="D40" s="4">
        <v>21.5</v>
      </c>
      <c r="E40" s="4">
        <v>2500</v>
      </c>
      <c r="F40" s="4">
        <f>0.35*D40</f>
        <v>7.5249999999999995</v>
      </c>
      <c r="G40" s="4">
        <v>600960</v>
      </c>
      <c r="H40" s="31">
        <f>SQRT(2*G40*E40/F40)</f>
        <v>19982.716784753462</v>
      </c>
      <c r="I40" s="90">
        <f>(G40/H40*E40)+(H40*F40/2)</f>
        <v>150369.94380526978</v>
      </c>
    </row>
    <row r="41" spans="2:15" ht="16" thickBot="1" x14ac:dyDescent="0.25">
      <c r="B41" s="7" t="s">
        <v>102</v>
      </c>
      <c r="C41" s="34" t="s">
        <v>71</v>
      </c>
      <c r="D41" s="34">
        <v>21.3</v>
      </c>
      <c r="E41" s="34">
        <v>2500</v>
      </c>
      <c r="F41" s="34">
        <f>0.35*D41</f>
        <v>7.4550000000000001</v>
      </c>
      <c r="G41" s="34">
        <v>600960</v>
      </c>
      <c r="H41" s="99">
        <f>SQRT(2*G41*E41/F41)</f>
        <v>20076.31316005515</v>
      </c>
      <c r="I41" s="100">
        <f>(G41/H41*E41)+(H41*F41/2)</f>
        <v>149668.91460821114</v>
      </c>
    </row>
    <row r="42" spans="2:15" ht="16" thickBot="1" x14ac:dyDescent="0.25">
      <c r="B42" s="135"/>
      <c r="C42" s="136"/>
      <c r="D42" s="136"/>
      <c r="E42" s="136"/>
      <c r="F42" s="136"/>
      <c r="G42" s="136"/>
      <c r="H42" s="136"/>
      <c r="I42" s="137"/>
    </row>
    <row r="43" spans="2:15" x14ac:dyDescent="0.2">
      <c r="B43" s="93" t="s">
        <v>103</v>
      </c>
      <c r="C43" s="95" t="s">
        <v>70</v>
      </c>
      <c r="D43" s="95">
        <v>145.08000000000001</v>
      </c>
      <c r="E43" s="95">
        <v>1200</v>
      </c>
      <c r="F43" s="95">
        <f>0.25*D43</f>
        <v>36.270000000000003</v>
      </c>
      <c r="G43" s="95">
        <v>60096</v>
      </c>
      <c r="H43" s="101">
        <f>SQRT(2*G43*E43/F43)</f>
        <v>1994.1353219834741</v>
      </c>
      <c r="I43" s="102">
        <f>(G43/H43*E43)+(H43*F43/2)</f>
        <v>72327.288128340617</v>
      </c>
    </row>
    <row r="44" spans="2:15" x14ac:dyDescent="0.2">
      <c r="B44" s="5" t="s">
        <v>103</v>
      </c>
      <c r="C44" s="4" t="s">
        <v>69</v>
      </c>
      <c r="D44" s="4">
        <v>145</v>
      </c>
      <c r="E44" s="4">
        <v>1200</v>
      </c>
      <c r="F44" s="4">
        <f>0.25*D44</f>
        <v>36.25</v>
      </c>
      <c r="G44" s="4">
        <v>60096</v>
      </c>
      <c r="H44" s="31">
        <f>SQRT(2*G44*E44/F44)</f>
        <v>1994.6853524233875</v>
      </c>
      <c r="I44" s="90">
        <f>(G44/H44*E44)+(H44*F44/2)</f>
        <v>72307.344025347789</v>
      </c>
    </row>
    <row r="45" spans="2:15" x14ac:dyDescent="0.2">
      <c r="B45" s="5" t="s">
        <v>103</v>
      </c>
      <c r="C45" s="4" t="s">
        <v>16</v>
      </c>
      <c r="D45" s="4">
        <v>144.9</v>
      </c>
      <c r="E45" s="4">
        <v>1200</v>
      </c>
      <c r="F45" s="4">
        <f>0.25*D45</f>
        <v>36.225000000000001</v>
      </c>
      <c r="G45" s="4">
        <v>60096</v>
      </c>
      <c r="H45" s="31">
        <f>SQRT(2*G45*E45/F45)</f>
        <v>1995.3735309335721</v>
      </c>
      <c r="I45" s="90">
        <f>(G45/H45*E45)+(H45*F45/2)</f>
        <v>72282.406158068654</v>
      </c>
    </row>
    <row r="46" spans="2:15" ht="16" thickBot="1" x14ac:dyDescent="0.25">
      <c r="B46" s="7" t="s">
        <v>103</v>
      </c>
      <c r="C46" s="34" t="s">
        <v>68</v>
      </c>
      <c r="D46" s="34">
        <v>144.80000000000001</v>
      </c>
      <c r="E46" s="34">
        <v>1200</v>
      </c>
      <c r="F46" s="34">
        <f>0.25*D46</f>
        <v>36.200000000000003</v>
      </c>
      <c r="G46" s="34">
        <v>60096</v>
      </c>
      <c r="H46" s="92">
        <f>SQRT(2*G46*E46/F46)</f>
        <v>1996.0624222128338</v>
      </c>
      <c r="I46" s="8">
        <f>(G46/H46*E46)+(H46*F46/2)</f>
        <v>72257.4596841046</v>
      </c>
    </row>
    <row r="49" spans="1:1" x14ac:dyDescent="0.2">
      <c r="A49" s="2"/>
    </row>
  </sheetData>
  <mergeCells count="21">
    <mergeCell ref="B32:I32"/>
    <mergeCell ref="K14:M14"/>
    <mergeCell ref="A1:D1"/>
    <mergeCell ref="B42:I42"/>
    <mergeCell ref="B37:I37"/>
    <mergeCell ref="B14:C14"/>
    <mergeCell ref="D13:E13"/>
    <mergeCell ref="D14:E14"/>
    <mergeCell ref="F13:G13"/>
    <mergeCell ref="F14:G14"/>
    <mergeCell ref="B12:C12"/>
    <mergeCell ref="B13:C13"/>
    <mergeCell ref="H13:I13"/>
    <mergeCell ref="G8:H8"/>
    <mergeCell ref="H14:I14"/>
    <mergeCell ref="B26:I26"/>
    <mergeCell ref="K16:M16"/>
    <mergeCell ref="D12:E12"/>
    <mergeCell ref="F12:G12"/>
    <mergeCell ref="H12:I12"/>
    <mergeCell ref="A23:B23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4CCE-CC8A-C148-B885-FE406384D457}">
  <dimension ref="A1:S50"/>
  <sheetViews>
    <sheetView zoomScale="120" zoomScaleNormal="120" workbookViewId="0">
      <selection activeCell="G19" sqref="G19:H19"/>
    </sheetView>
  </sheetViews>
  <sheetFormatPr baseColWidth="10" defaultColWidth="8.83203125" defaultRowHeight="15" x14ac:dyDescent="0.2"/>
  <cols>
    <col min="1" max="1" width="8" customWidth="1"/>
    <col min="2" max="2" width="11.5" customWidth="1"/>
    <col min="3" max="3" width="11.6640625" bestFit="1" customWidth="1"/>
    <col min="4" max="4" width="11.33203125" customWidth="1"/>
    <col min="6" max="6" width="11.6640625" bestFit="1" customWidth="1"/>
    <col min="7" max="7" width="10.83203125" customWidth="1"/>
    <col min="8" max="8" width="10.5" customWidth="1"/>
    <col min="9" max="9" width="11.33203125" customWidth="1"/>
    <col min="10" max="10" width="11.83203125" customWidth="1"/>
    <col min="11" max="11" width="10.6640625" customWidth="1"/>
    <col min="12" max="12" width="12.1640625" customWidth="1"/>
    <col min="13" max="13" width="5.83203125" customWidth="1"/>
    <col min="16" max="16" width="11.6640625" bestFit="1" customWidth="1"/>
  </cols>
  <sheetData>
    <row r="1" spans="1:18" x14ac:dyDescent="0.2">
      <c r="A1" s="166" t="s">
        <v>37</v>
      </c>
      <c r="B1" s="60">
        <v>2006</v>
      </c>
      <c r="C1" s="60">
        <v>2007</v>
      </c>
      <c r="D1" s="60">
        <v>2008</v>
      </c>
      <c r="E1" s="60">
        <v>2009</v>
      </c>
      <c r="F1" s="60">
        <v>2010</v>
      </c>
      <c r="G1" s="166" t="s">
        <v>59</v>
      </c>
      <c r="H1" s="166" t="s">
        <v>58</v>
      </c>
      <c r="I1" s="169" t="s">
        <v>192</v>
      </c>
      <c r="J1" s="169" t="s">
        <v>107</v>
      </c>
      <c r="K1" s="169" t="s">
        <v>108</v>
      </c>
      <c r="L1" s="169" t="s">
        <v>193</v>
      </c>
    </row>
    <row r="2" spans="1:18" ht="16" thickBot="1" x14ac:dyDescent="0.25">
      <c r="A2" s="60" t="s">
        <v>36</v>
      </c>
      <c r="B2" s="17">
        <v>453</v>
      </c>
      <c r="C2" s="17">
        <v>639</v>
      </c>
      <c r="D2" s="17">
        <v>1069</v>
      </c>
      <c r="E2" s="17">
        <v>1143</v>
      </c>
      <c r="F2" s="17">
        <v>1258</v>
      </c>
      <c r="G2" s="170">
        <f>'Forcast x SI'!D62</f>
        <v>1267.9723089525946</v>
      </c>
      <c r="H2" s="170">
        <f>G2*2000*30/1000</f>
        <v>76078.33853715568</v>
      </c>
      <c r="I2" s="18">
        <f>ROUNDUP(H2*15/30,0)</f>
        <v>38040</v>
      </c>
      <c r="J2" s="18">
        <f>ROUNDUP(H2*4.5/30,0)</f>
        <v>11412</v>
      </c>
      <c r="K2" s="18">
        <f>ROUNDUP(H2*6/30,0)</f>
        <v>15216</v>
      </c>
      <c r="L2" s="16">
        <f>ROUNDUP(H2*1.5/30,0)</f>
        <v>3804</v>
      </c>
      <c r="N2" s="3"/>
    </row>
    <row r="3" spans="1:18" x14ac:dyDescent="0.2">
      <c r="A3" s="60" t="s">
        <v>35</v>
      </c>
      <c r="B3" s="17">
        <v>388</v>
      </c>
      <c r="C3" s="17">
        <v>721</v>
      </c>
      <c r="D3" s="17">
        <v>996</v>
      </c>
      <c r="E3" s="17">
        <v>1200</v>
      </c>
      <c r="F3" s="17">
        <v>1231</v>
      </c>
      <c r="G3" s="170">
        <f>'Forcast x SI'!D63</f>
        <v>1272.3374764580324</v>
      </c>
      <c r="H3" s="170">
        <f>G3*2000*30/1000</f>
        <v>76340.248587481939</v>
      </c>
      <c r="I3" s="18">
        <f t="shared" ref="I3:I13" si="0">ROUNDUP(H3*15/30,0)</f>
        <v>38171</v>
      </c>
      <c r="J3" s="18">
        <f t="shared" ref="J3:J13" si="1">ROUNDUP(H3*4.5/30,0)</f>
        <v>11452</v>
      </c>
      <c r="K3" s="18">
        <f t="shared" ref="K3:K12" si="2">ROUNDUP(H3*6/30,0)</f>
        <v>15269</v>
      </c>
      <c r="L3" s="16">
        <f t="shared" ref="L3:L13" si="3">ROUNDUP(H3*1.5/30,0)</f>
        <v>3818</v>
      </c>
      <c r="N3" s="119" t="s">
        <v>205</v>
      </c>
      <c r="O3" s="112"/>
      <c r="P3" s="112"/>
      <c r="Q3" s="112"/>
      <c r="R3" s="113"/>
    </row>
    <row r="4" spans="1:18" x14ac:dyDescent="0.2">
      <c r="A4" s="60" t="s">
        <v>57</v>
      </c>
      <c r="B4" s="17">
        <v>467</v>
      </c>
      <c r="C4" s="17">
        <v>773</v>
      </c>
      <c r="D4" s="17">
        <v>907</v>
      </c>
      <c r="E4" s="17">
        <v>1021</v>
      </c>
      <c r="F4" s="17">
        <v>1256</v>
      </c>
      <c r="G4" s="170">
        <f>'Forcast x SI'!D64</f>
        <v>1252.2271889359145</v>
      </c>
      <c r="H4" s="170">
        <f>G4*2000*30/1000</f>
        <v>75133.631336154882</v>
      </c>
      <c r="I4" s="18">
        <f t="shared" si="0"/>
        <v>37567</v>
      </c>
      <c r="J4" s="18">
        <f t="shared" si="1"/>
        <v>11271</v>
      </c>
      <c r="K4" s="18">
        <f t="shared" si="2"/>
        <v>15027</v>
      </c>
      <c r="L4" s="16">
        <f t="shared" si="3"/>
        <v>3757</v>
      </c>
      <c r="N4" s="114" t="s">
        <v>251</v>
      </c>
      <c r="O4" s="111"/>
      <c r="P4" s="111"/>
      <c r="Q4" s="111"/>
      <c r="R4" s="115"/>
    </row>
    <row r="5" spans="1:18" x14ac:dyDescent="0.2">
      <c r="A5" s="60" t="s">
        <v>56</v>
      </c>
      <c r="B5" s="17">
        <v>509</v>
      </c>
      <c r="C5" s="17">
        <v>920</v>
      </c>
      <c r="D5" s="17">
        <v>1049</v>
      </c>
      <c r="E5" s="17">
        <v>1231</v>
      </c>
      <c r="F5" s="17">
        <v>1385</v>
      </c>
      <c r="G5" s="170">
        <f>'Forcast x SI'!D65</f>
        <v>1454.8904325691974</v>
      </c>
      <c r="H5" s="170">
        <f t="shared" ref="H5:H13" si="4">G5*2000*30/1000</f>
        <v>87293.42595415184</v>
      </c>
      <c r="I5" s="18">
        <f t="shared" si="0"/>
        <v>43647</v>
      </c>
      <c r="J5" s="18">
        <f t="shared" si="1"/>
        <v>13095</v>
      </c>
      <c r="K5" s="18">
        <f t="shared" si="2"/>
        <v>17459</v>
      </c>
      <c r="L5" s="16">
        <f t="shared" si="3"/>
        <v>4365</v>
      </c>
      <c r="N5" s="114" t="s">
        <v>252</v>
      </c>
      <c r="O5" s="111"/>
      <c r="P5" s="111"/>
      <c r="R5" s="57"/>
    </row>
    <row r="6" spans="1:18" x14ac:dyDescent="0.2">
      <c r="A6" s="60" t="s">
        <v>28</v>
      </c>
      <c r="B6" s="17">
        <v>721</v>
      </c>
      <c r="C6" s="17">
        <v>1050</v>
      </c>
      <c r="D6" s="17">
        <v>1106</v>
      </c>
      <c r="E6" s="17">
        <v>1245</v>
      </c>
      <c r="F6" s="17">
        <v>1456</v>
      </c>
      <c r="G6" s="170">
        <f>'Forcast x SI'!D66</f>
        <v>1607.3794942441841</v>
      </c>
      <c r="H6" s="170">
        <f t="shared" si="4"/>
        <v>96442.769654651041</v>
      </c>
      <c r="I6" s="18">
        <f t="shared" si="0"/>
        <v>48222</v>
      </c>
      <c r="J6" s="18">
        <f t="shared" si="1"/>
        <v>14467</v>
      </c>
      <c r="K6" s="18">
        <f t="shared" si="2"/>
        <v>19289</v>
      </c>
      <c r="L6" s="16">
        <f t="shared" si="3"/>
        <v>4823</v>
      </c>
      <c r="N6" s="114" t="s">
        <v>253</v>
      </c>
      <c r="O6" s="111"/>
      <c r="P6" s="111"/>
      <c r="Q6" s="111"/>
      <c r="R6" s="115"/>
    </row>
    <row r="7" spans="1:18" x14ac:dyDescent="0.2">
      <c r="A7" s="60" t="s">
        <v>55</v>
      </c>
      <c r="B7" s="17">
        <v>856</v>
      </c>
      <c r="C7" s="17">
        <v>1134</v>
      </c>
      <c r="D7" s="17">
        <v>1256</v>
      </c>
      <c r="E7" s="17">
        <v>1321</v>
      </c>
      <c r="F7" s="17">
        <v>1598</v>
      </c>
      <c r="G7" s="170">
        <f>'Forcast x SI'!D67</f>
        <v>1792.28638102882</v>
      </c>
      <c r="H7" s="170">
        <f t="shared" si="4"/>
        <v>107537.1828617292</v>
      </c>
      <c r="I7" s="18">
        <f t="shared" si="0"/>
        <v>53769</v>
      </c>
      <c r="J7" s="18">
        <f t="shared" si="1"/>
        <v>16131</v>
      </c>
      <c r="K7" s="18">
        <f t="shared" si="2"/>
        <v>21508</v>
      </c>
      <c r="L7" s="16">
        <f t="shared" si="3"/>
        <v>5377</v>
      </c>
      <c r="N7" s="114" t="s">
        <v>254</v>
      </c>
      <c r="O7" s="111"/>
      <c r="P7" s="111"/>
      <c r="Q7" s="111"/>
      <c r="R7" s="115"/>
    </row>
    <row r="8" spans="1:18" x14ac:dyDescent="0.2">
      <c r="A8" s="60" t="s">
        <v>54</v>
      </c>
      <c r="B8" s="17">
        <v>898</v>
      </c>
      <c r="C8" s="17">
        <v>1236</v>
      </c>
      <c r="D8" s="17">
        <v>1301</v>
      </c>
      <c r="E8" s="17">
        <v>1439</v>
      </c>
      <c r="F8" s="17">
        <v>1710</v>
      </c>
      <c r="G8" s="170">
        <f>'Forcast x SI'!D68</f>
        <v>1930.9231904319124</v>
      </c>
      <c r="H8" s="170">
        <f t="shared" si="4"/>
        <v>115855.39142591474</v>
      </c>
      <c r="I8" s="18">
        <f t="shared" si="0"/>
        <v>57928</v>
      </c>
      <c r="J8" s="18">
        <f t="shared" si="1"/>
        <v>17379</v>
      </c>
      <c r="K8" s="18">
        <f t="shared" si="2"/>
        <v>23172</v>
      </c>
      <c r="L8" s="16">
        <f t="shared" si="3"/>
        <v>5793</v>
      </c>
      <c r="N8" s="114" t="s">
        <v>255</v>
      </c>
      <c r="O8" s="111"/>
      <c r="P8" s="111"/>
      <c r="Q8" s="111"/>
      <c r="R8" s="115"/>
    </row>
    <row r="9" spans="1:18" x14ac:dyDescent="0.2">
      <c r="A9" s="60" t="s">
        <v>53</v>
      </c>
      <c r="B9" s="17">
        <v>1007</v>
      </c>
      <c r="C9" s="17">
        <v>1250</v>
      </c>
      <c r="D9" s="17">
        <v>1398</v>
      </c>
      <c r="E9" s="17">
        <v>1503</v>
      </c>
      <c r="F9" s="17">
        <v>1599</v>
      </c>
      <c r="G9" s="170">
        <f>'Forcast x SI'!D69</f>
        <v>1998.9271727147063</v>
      </c>
      <c r="H9" s="170">
        <f t="shared" si="4"/>
        <v>119935.63036288238</v>
      </c>
      <c r="I9" s="18">
        <f t="shared" si="0"/>
        <v>59968</v>
      </c>
      <c r="J9" s="18">
        <f t="shared" si="1"/>
        <v>17991</v>
      </c>
      <c r="K9" s="18">
        <f t="shared" si="2"/>
        <v>23988</v>
      </c>
      <c r="L9" s="16">
        <f t="shared" si="3"/>
        <v>5997</v>
      </c>
      <c r="N9" s="114" t="s">
        <v>256</v>
      </c>
      <c r="O9" s="111"/>
      <c r="P9" s="111"/>
      <c r="Q9" s="111"/>
      <c r="R9" s="115"/>
    </row>
    <row r="10" spans="1:18" x14ac:dyDescent="0.2">
      <c r="A10" s="60" t="s">
        <v>52</v>
      </c>
      <c r="B10" s="17">
        <v>1100</v>
      </c>
      <c r="C10" s="17">
        <v>1295</v>
      </c>
      <c r="D10" s="17">
        <v>1460</v>
      </c>
      <c r="E10" s="17">
        <v>1621</v>
      </c>
      <c r="F10" s="17">
        <v>1538</v>
      </c>
      <c r="G10" s="170">
        <f>'Forcast x SI'!D70</f>
        <v>2092.8797792523469</v>
      </c>
      <c r="H10" s="170">
        <f t="shared" si="4"/>
        <v>125572.78675514081</v>
      </c>
      <c r="I10" s="18">
        <f t="shared" si="0"/>
        <v>62787</v>
      </c>
      <c r="J10" s="18">
        <f t="shared" si="1"/>
        <v>18836</v>
      </c>
      <c r="K10" s="18">
        <f t="shared" si="2"/>
        <v>25115</v>
      </c>
      <c r="L10" s="16">
        <f t="shared" si="3"/>
        <v>6279</v>
      </c>
      <c r="N10" s="114" t="s">
        <v>257</v>
      </c>
      <c r="O10" s="111"/>
      <c r="P10" s="111"/>
      <c r="Q10" s="111"/>
      <c r="R10" s="115"/>
    </row>
    <row r="11" spans="1:18" ht="16" thickBot="1" x14ac:dyDescent="0.25">
      <c r="A11" s="60" t="s">
        <v>51</v>
      </c>
      <c r="B11" s="17">
        <v>1151</v>
      </c>
      <c r="C11" s="17">
        <v>1298</v>
      </c>
      <c r="D11" s="17">
        <v>1471</v>
      </c>
      <c r="E11" s="17">
        <v>1588</v>
      </c>
      <c r="F11" s="17">
        <v>1498</v>
      </c>
      <c r="G11" s="170">
        <f>'Forcast x SI'!D71</f>
        <v>2108.3963962445032</v>
      </c>
      <c r="H11" s="170">
        <f t="shared" si="4"/>
        <v>126503.78377467018</v>
      </c>
      <c r="I11" s="18">
        <f t="shared" si="0"/>
        <v>63252</v>
      </c>
      <c r="J11" s="18">
        <f t="shared" si="1"/>
        <v>18976</v>
      </c>
      <c r="K11" s="18">
        <f t="shared" si="2"/>
        <v>25301</v>
      </c>
      <c r="L11" s="16">
        <f t="shared" si="3"/>
        <v>6326</v>
      </c>
      <c r="N11" s="116"/>
      <c r="O11" s="117"/>
      <c r="P11" s="117"/>
      <c r="Q11" s="117"/>
      <c r="R11" s="118"/>
    </row>
    <row r="12" spans="1:18" x14ac:dyDescent="0.2">
      <c r="A12" s="60" t="s">
        <v>50</v>
      </c>
      <c r="B12" s="17">
        <v>1165</v>
      </c>
      <c r="C12" s="17">
        <v>1323</v>
      </c>
      <c r="D12" s="17">
        <v>1395</v>
      </c>
      <c r="E12" s="17">
        <v>1537</v>
      </c>
      <c r="F12" s="17">
        <v>1500</v>
      </c>
      <c r="G12" s="170">
        <f>'Forcast x SI'!D72</f>
        <v>2100.199359349901</v>
      </c>
      <c r="H12" s="170">
        <f t="shared" si="4"/>
        <v>126011.96156099405</v>
      </c>
      <c r="I12" s="18">
        <f t="shared" si="0"/>
        <v>63006</v>
      </c>
      <c r="J12" s="18">
        <f t="shared" si="1"/>
        <v>18902</v>
      </c>
      <c r="K12" s="18">
        <f t="shared" si="2"/>
        <v>25203</v>
      </c>
      <c r="L12" s="16">
        <f t="shared" si="3"/>
        <v>6301</v>
      </c>
      <c r="N12" s="111"/>
      <c r="O12" s="111"/>
      <c r="P12" s="111"/>
      <c r="Q12" s="111"/>
      <c r="R12" s="111"/>
    </row>
    <row r="13" spans="1:18" x14ac:dyDescent="0.2">
      <c r="A13" s="60" t="s">
        <v>49</v>
      </c>
      <c r="B13" s="17">
        <v>587</v>
      </c>
      <c r="C13" s="17">
        <v>1195</v>
      </c>
      <c r="D13" s="17">
        <v>1380</v>
      </c>
      <c r="E13" s="17">
        <v>1421</v>
      </c>
      <c r="F13" s="17">
        <v>1400</v>
      </c>
      <c r="G13" s="170">
        <f>'Forcast x SI'!D73</f>
        <v>1831.1121029239441</v>
      </c>
      <c r="H13" s="170">
        <f t="shared" si="4"/>
        <v>109866.72617543665</v>
      </c>
      <c r="I13" s="18">
        <f t="shared" si="0"/>
        <v>54934</v>
      </c>
      <c r="J13" s="18">
        <f t="shared" si="1"/>
        <v>16481</v>
      </c>
      <c r="K13" s="18">
        <f t="shared" ref="K13" si="5">ROUNDUP(H13*4.5/30,0)</f>
        <v>16481</v>
      </c>
      <c r="L13" s="16">
        <f t="shared" si="3"/>
        <v>5494</v>
      </c>
      <c r="N13" s="111"/>
      <c r="O13" s="111"/>
      <c r="P13" s="111"/>
      <c r="Q13" s="111"/>
      <c r="R13" s="111"/>
    </row>
    <row r="14" spans="1:18" x14ac:dyDescent="0.2">
      <c r="E14" s="160" t="s">
        <v>48</v>
      </c>
      <c r="F14" s="160"/>
      <c r="G14" s="26">
        <f>SUM(G2:G13)</f>
        <v>20709.531283106058</v>
      </c>
      <c r="H14" s="26">
        <f t="shared" ref="H14:L14" si="6">SUM(H2:H13)</f>
        <v>1242571.8769863637</v>
      </c>
      <c r="I14" s="19">
        <f t="shared" si="6"/>
        <v>621291</v>
      </c>
      <c r="J14" s="19">
        <f t="shared" si="6"/>
        <v>186393</v>
      </c>
      <c r="K14" s="19">
        <f t="shared" si="6"/>
        <v>243028</v>
      </c>
      <c r="L14" s="19">
        <f t="shared" si="6"/>
        <v>62134</v>
      </c>
    </row>
    <row r="15" spans="1:18" x14ac:dyDescent="0.2">
      <c r="A15" s="159" t="s">
        <v>172</v>
      </c>
      <c r="B15" s="159"/>
      <c r="C15" s="159"/>
    </row>
    <row r="16" spans="1:18" x14ac:dyDescent="0.2">
      <c r="A16" s="159" t="s">
        <v>47</v>
      </c>
      <c r="B16" s="159"/>
      <c r="C16" s="159"/>
      <c r="E16" s="157"/>
      <c r="F16" s="158"/>
      <c r="G16" s="157"/>
      <c r="H16" s="158"/>
      <c r="I16" s="157"/>
      <c r="J16" s="158"/>
      <c r="K16" s="157"/>
      <c r="L16" s="158"/>
    </row>
    <row r="17" spans="1:19" ht="16" thickBot="1" x14ac:dyDescent="0.25"/>
    <row r="18" spans="1:19" s="2" customFormat="1" x14ac:dyDescent="0.2">
      <c r="A18" s="154" t="s">
        <v>102</v>
      </c>
      <c r="B18" s="155"/>
      <c r="C18" s="156"/>
      <c r="D18" s="154" t="s">
        <v>100</v>
      </c>
      <c r="E18" s="155"/>
      <c r="F18" s="156"/>
      <c r="G18" s="154" t="s">
        <v>101</v>
      </c>
      <c r="H18" s="155"/>
      <c r="I18" s="156"/>
      <c r="J18" s="154" t="s">
        <v>195</v>
      </c>
      <c r="K18" s="155"/>
      <c r="L18" s="156"/>
      <c r="M18"/>
      <c r="N18" s="107" t="s">
        <v>205</v>
      </c>
      <c r="O18" s="120"/>
      <c r="P18" s="120"/>
      <c r="Q18" s="120"/>
      <c r="R18" s="120"/>
      <c r="S18" s="121"/>
    </row>
    <row r="19" spans="1:19" x14ac:dyDescent="0.2">
      <c r="A19" s="152" t="s">
        <v>33</v>
      </c>
      <c r="B19" s="153"/>
      <c r="C19" s="38">
        <v>0.35</v>
      </c>
      <c r="D19" s="152" t="s">
        <v>33</v>
      </c>
      <c r="E19" s="153"/>
      <c r="F19" s="38">
        <v>0.4</v>
      </c>
      <c r="G19" s="152" t="s">
        <v>33</v>
      </c>
      <c r="H19" s="153"/>
      <c r="I19" s="38">
        <v>0.3</v>
      </c>
      <c r="J19" s="152" t="s">
        <v>33</v>
      </c>
      <c r="K19" s="153"/>
      <c r="L19" s="38">
        <v>0.3</v>
      </c>
      <c r="N19" s="56" t="s">
        <v>258</v>
      </c>
      <c r="S19" s="57"/>
    </row>
    <row r="20" spans="1:19" x14ac:dyDescent="0.2">
      <c r="A20" s="152" t="s">
        <v>34</v>
      </c>
      <c r="B20" s="153"/>
      <c r="C20" s="39">
        <v>2500</v>
      </c>
      <c r="D20" s="152" t="s">
        <v>34</v>
      </c>
      <c r="E20" s="153"/>
      <c r="F20" s="39">
        <v>1250</v>
      </c>
      <c r="G20" s="152" t="s">
        <v>34</v>
      </c>
      <c r="H20" s="153"/>
      <c r="I20" s="39">
        <v>1800</v>
      </c>
      <c r="J20" s="152" t="s">
        <v>34</v>
      </c>
      <c r="K20" s="153"/>
      <c r="L20" s="39">
        <v>1200</v>
      </c>
      <c r="N20" s="56" t="s">
        <v>259</v>
      </c>
      <c r="S20" s="57"/>
    </row>
    <row r="21" spans="1:19" x14ac:dyDescent="0.2">
      <c r="A21" s="152" t="s">
        <v>46</v>
      </c>
      <c r="B21" s="153"/>
      <c r="C21" s="39" t="s">
        <v>45</v>
      </c>
      <c r="D21" s="152" t="s">
        <v>46</v>
      </c>
      <c r="E21" s="153"/>
      <c r="F21" s="39" t="s">
        <v>45</v>
      </c>
      <c r="G21" s="152" t="s">
        <v>46</v>
      </c>
      <c r="H21" s="153"/>
      <c r="I21" s="39" t="s">
        <v>45</v>
      </c>
      <c r="J21" s="152" t="s">
        <v>46</v>
      </c>
      <c r="K21" s="153"/>
      <c r="L21" s="39" t="s">
        <v>45</v>
      </c>
      <c r="N21" s="56" t="s">
        <v>261</v>
      </c>
      <c r="S21" s="57"/>
    </row>
    <row r="22" spans="1:19" ht="16" thickBot="1" x14ac:dyDescent="0.25">
      <c r="A22" s="152" t="s">
        <v>14</v>
      </c>
      <c r="B22" s="153"/>
      <c r="C22" s="39">
        <v>21.7</v>
      </c>
      <c r="D22" s="152" t="s">
        <v>18</v>
      </c>
      <c r="E22" s="153"/>
      <c r="F22" s="39">
        <v>78.3</v>
      </c>
      <c r="G22" s="152" t="s">
        <v>21</v>
      </c>
      <c r="H22" s="153"/>
      <c r="I22" s="39">
        <v>55.4</v>
      </c>
      <c r="J22" s="152" t="s">
        <v>70</v>
      </c>
      <c r="K22" s="153"/>
      <c r="L22" s="52">
        <v>145.08000000000001</v>
      </c>
      <c r="N22" s="25" t="s">
        <v>260</v>
      </c>
      <c r="O22" s="59"/>
      <c r="P22" s="59"/>
      <c r="Q22" s="59"/>
      <c r="R22" s="59"/>
      <c r="S22" s="24"/>
    </row>
    <row r="23" spans="1:19" x14ac:dyDescent="0.2">
      <c r="A23" s="152" t="s">
        <v>15</v>
      </c>
      <c r="B23" s="153"/>
      <c r="C23" s="39">
        <v>21.6</v>
      </c>
      <c r="D23" s="152" t="s">
        <v>38</v>
      </c>
      <c r="E23" s="153"/>
      <c r="F23" s="39">
        <v>78.2</v>
      </c>
      <c r="G23" s="152" t="s">
        <v>22</v>
      </c>
      <c r="H23" s="153"/>
      <c r="I23" s="39">
        <v>55.3</v>
      </c>
      <c r="J23" s="152" t="s">
        <v>196</v>
      </c>
      <c r="K23" s="153"/>
      <c r="L23" s="39">
        <v>145</v>
      </c>
      <c r="N23" s="110"/>
      <c r="O23" s="110"/>
      <c r="P23" s="110"/>
      <c r="Q23" s="110"/>
      <c r="R23" s="110"/>
    </row>
    <row r="24" spans="1:19" ht="16" thickBot="1" x14ac:dyDescent="0.25">
      <c r="A24" s="152" t="s">
        <v>72</v>
      </c>
      <c r="B24" s="153"/>
      <c r="C24" s="39">
        <v>21.5</v>
      </c>
      <c r="D24" s="152" t="s">
        <v>20</v>
      </c>
      <c r="E24" s="153"/>
      <c r="F24" s="39">
        <v>78</v>
      </c>
      <c r="G24" s="152" t="s">
        <v>23</v>
      </c>
      <c r="H24" s="153"/>
      <c r="I24" s="39">
        <v>55.2</v>
      </c>
      <c r="J24" s="152" t="s">
        <v>16</v>
      </c>
      <c r="K24" s="153"/>
      <c r="L24" s="39">
        <v>144.9</v>
      </c>
      <c r="N24" s="110"/>
      <c r="O24" s="110"/>
      <c r="P24" s="110"/>
      <c r="Q24" s="110"/>
      <c r="R24" s="110"/>
    </row>
    <row r="25" spans="1:19" ht="16" thickBot="1" x14ac:dyDescent="0.25">
      <c r="A25" s="150" t="s">
        <v>194</v>
      </c>
      <c r="B25" s="151"/>
      <c r="C25" s="51">
        <v>21.3</v>
      </c>
      <c r="D25" s="150" t="s">
        <v>43</v>
      </c>
      <c r="E25" s="151"/>
      <c r="F25" s="51">
        <v>77.8</v>
      </c>
      <c r="G25" s="150" t="s">
        <v>44</v>
      </c>
      <c r="H25" s="151"/>
      <c r="I25" s="51">
        <v>55</v>
      </c>
      <c r="J25" s="150" t="s">
        <v>197</v>
      </c>
      <c r="K25" s="151"/>
      <c r="L25" s="40">
        <v>144.80000000000001</v>
      </c>
      <c r="N25" s="147" t="s">
        <v>265</v>
      </c>
      <c r="O25" s="148"/>
      <c r="P25" s="148"/>
      <c r="Q25" s="148"/>
      <c r="R25" s="149"/>
    </row>
    <row r="26" spans="1:19" ht="16" thickBot="1" x14ac:dyDescent="0.25">
      <c r="N26" s="110"/>
      <c r="O26" s="110"/>
      <c r="P26" s="110"/>
      <c r="Q26" s="110"/>
      <c r="R26" s="110"/>
    </row>
    <row r="27" spans="1:19" x14ac:dyDescent="0.2">
      <c r="A27" s="154" t="s">
        <v>102</v>
      </c>
      <c r="B27" s="155"/>
      <c r="C27" s="156"/>
      <c r="D27" s="154" t="s">
        <v>100</v>
      </c>
      <c r="E27" s="155"/>
      <c r="F27" s="156"/>
      <c r="G27" s="154" t="s">
        <v>101</v>
      </c>
      <c r="H27" s="155"/>
      <c r="I27" s="156"/>
      <c r="J27" s="154" t="s">
        <v>195</v>
      </c>
      <c r="K27" s="155"/>
      <c r="L27" s="156"/>
      <c r="N27" s="122" t="s">
        <v>205</v>
      </c>
      <c r="O27" s="123"/>
      <c r="P27" s="123"/>
      <c r="Q27" s="123"/>
      <c r="R27" s="123"/>
      <c r="S27" s="55"/>
    </row>
    <row r="28" spans="1:19" x14ac:dyDescent="0.2">
      <c r="A28" s="5"/>
      <c r="B28" s="18" t="s">
        <v>40</v>
      </c>
      <c r="C28" s="39" t="s">
        <v>39</v>
      </c>
      <c r="D28" s="41"/>
      <c r="E28" s="18" t="s">
        <v>40</v>
      </c>
      <c r="F28" s="39" t="s">
        <v>39</v>
      </c>
      <c r="G28" s="41"/>
      <c r="H28" s="18" t="s">
        <v>40</v>
      </c>
      <c r="I28" s="39" t="s">
        <v>39</v>
      </c>
      <c r="J28" s="41"/>
      <c r="K28" s="18" t="s">
        <v>40</v>
      </c>
      <c r="L28" s="39" t="s">
        <v>39</v>
      </c>
      <c r="N28" s="124" t="s">
        <v>262</v>
      </c>
      <c r="O28" s="110"/>
      <c r="P28" s="110"/>
      <c r="Q28" s="110"/>
      <c r="R28" s="110"/>
      <c r="S28" s="57"/>
    </row>
    <row r="29" spans="1:19" x14ac:dyDescent="0.2">
      <c r="A29" s="5" t="s">
        <v>42</v>
      </c>
      <c r="B29" s="16">
        <v>21.7</v>
      </c>
      <c r="C29" s="42">
        <f>ROUNDUP(SQRT(2*$I$14*1000/($C$19*B29)),0)</f>
        <v>12791</v>
      </c>
      <c r="D29" s="5" t="s">
        <v>42</v>
      </c>
      <c r="E29" s="37">
        <v>78.3</v>
      </c>
      <c r="F29" s="42">
        <f>ROUNDUP(SQRT(2*$J$14*$F$20*1000/($F$19*E29)),0)</f>
        <v>121976</v>
      </c>
      <c r="G29" s="5" t="s">
        <v>42</v>
      </c>
      <c r="H29" s="37">
        <v>55.4</v>
      </c>
      <c r="I29" s="39">
        <f>ROUNDUP(SQRT(2*$K$14*$I$20*1000/($I$19*H29)),0)</f>
        <v>229438</v>
      </c>
      <c r="J29" s="5" t="s">
        <v>42</v>
      </c>
      <c r="K29" s="37">
        <v>145.08000000000001</v>
      </c>
      <c r="L29" s="47">
        <f>ROUNDUP(SQRT(2*$L$14*$L$20/($L$19*K29)),0)</f>
        <v>1851</v>
      </c>
      <c r="N29" s="124" t="s">
        <v>263</v>
      </c>
      <c r="O29" s="110"/>
      <c r="P29" s="110"/>
      <c r="Q29" s="110"/>
      <c r="R29" s="110"/>
      <c r="S29" s="57"/>
    </row>
    <row r="30" spans="1:19" ht="16" thickBot="1" x14ac:dyDescent="0.25">
      <c r="A30" s="5" t="s">
        <v>199</v>
      </c>
      <c r="B30" s="16">
        <v>21.6</v>
      </c>
      <c r="C30" s="42">
        <f t="shared" ref="C30:C32" si="7">ROUNDUP(SQRT(2*$I$14*1000/($C$19*B30)),0)</f>
        <v>12821</v>
      </c>
      <c r="D30" s="5" t="s">
        <v>199</v>
      </c>
      <c r="E30" s="37">
        <v>78.2</v>
      </c>
      <c r="F30" s="42">
        <f t="shared" ref="F30:F32" si="8">ROUNDUP(SQRT(2*$J$14*$F$20*1000/($F$19*E30)),0)</f>
        <v>122054</v>
      </c>
      <c r="G30" s="5" t="s">
        <v>199</v>
      </c>
      <c r="H30" s="37">
        <v>55.3</v>
      </c>
      <c r="I30" s="39">
        <f t="shared" ref="I30:I32" si="9">ROUNDUP(SQRT(2*$K$14*$I$20*1000/($I$19*H30)),0)</f>
        <v>229645</v>
      </c>
      <c r="J30" s="5" t="s">
        <v>199</v>
      </c>
      <c r="K30" s="37">
        <v>145</v>
      </c>
      <c r="L30" s="48">
        <f t="shared" ref="L30:L32" si="10">ROUNDUP(SQRT(2*$L$14*$L$20/($L$19*K30)),0)</f>
        <v>1852</v>
      </c>
      <c r="N30" s="125" t="s">
        <v>264</v>
      </c>
      <c r="O30" s="126"/>
      <c r="P30" s="126"/>
      <c r="Q30" s="126"/>
      <c r="R30" s="126"/>
      <c r="S30" s="24"/>
    </row>
    <row r="31" spans="1:19" ht="16" thickBot="1" x14ac:dyDescent="0.25">
      <c r="A31" s="5" t="s">
        <v>200</v>
      </c>
      <c r="B31" s="16">
        <v>21.5</v>
      </c>
      <c r="C31" s="42">
        <f t="shared" si="7"/>
        <v>12851</v>
      </c>
      <c r="D31" s="5" t="s">
        <v>200</v>
      </c>
      <c r="E31" s="37">
        <v>78</v>
      </c>
      <c r="F31" s="42">
        <f t="shared" si="8"/>
        <v>122211</v>
      </c>
      <c r="G31" s="5" t="s">
        <v>200</v>
      </c>
      <c r="H31" s="37">
        <v>55.2</v>
      </c>
      <c r="I31" s="39">
        <f t="shared" si="9"/>
        <v>229853</v>
      </c>
      <c r="J31" s="5" t="s">
        <v>200</v>
      </c>
      <c r="K31" s="37">
        <v>144.9</v>
      </c>
      <c r="L31" s="48">
        <f t="shared" si="10"/>
        <v>1853</v>
      </c>
      <c r="N31" s="110"/>
      <c r="O31" s="110"/>
      <c r="P31" s="110"/>
      <c r="Q31" s="110"/>
      <c r="R31" s="110"/>
    </row>
    <row r="32" spans="1:19" ht="16" thickBot="1" x14ac:dyDescent="0.25">
      <c r="A32" s="7" t="s">
        <v>198</v>
      </c>
      <c r="B32" s="45">
        <v>21.3</v>
      </c>
      <c r="C32" s="44">
        <f t="shared" si="7"/>
        <v>12911</v>
      </c>
      <c r="D32" s="7" t="s">
        <v>198</v>
      </c>
      <c r="E32" s="43">
        <v>77.8</v>
      </c>
      <c r="F32" s="44">
        <f t="shared" si="8"/>
        <v>122368</v>
      </c>
      <c r="G32" s="7" t="s">
        <v>198</v>
      </c>
      <c r="H32" s="43">
        <v>55</v>
      </c>
      <c r="I32" s="46">
        <f t="shared" si="9"/>
        <v>230271</v>
      </c>
      <c r="J32" s="7" t="s">
        <v>198</v>
      </c>
      <c r="K32" s="43">
        <v>144.80000000000001</v>
      </c>
      <c r="L32" s="49">
        <f t="shared" si="10"/>
        <v>1853</v>
      </c>
      <c r="N32" s="147" t="s">
        <v>41</v>
      </c>
      <c r="O32" s="148"/>
      <c r="P32" s="148"/>
      <c r="Q32" s="148"/>
      <c r="R32" s="149"/>
    </row>
    <row r="50" spans="5:5" x14ac:dyDescent="0.2">
      <c r="E50" t="s">
        <v>60</v>
      </c>
    </row>
  </sheetData>
  <mergeCells count="45">
    <mergeCell ref="K16:L16"/>
    <mergeCell ref="A15:C15"/>
    <mergeCell ref="E14:F14"/>
    <mergeCell ref="A16:C16"/>
    <mergeCell ref="A18:C18"/>
    <mergeCell ref="G18:I18"/>
    <mergeCell ref="E16:F16"/>
    <mergeCell ref="G16:H16"/>
    <mergeCell ref="I16:J16"/>
    <mergeCell ref="A19:B19"/>
    <mergeCell ref="G19:H19"/>
    <mergeCell ref="J19:K19"/>
    <mergeCell ref="D18:F18"/>
    <mergeCell ref="D19:E19"/>
    <mergeCell ref="J18:L18"/>
    <mergeCell ref="A21:B21"/>
    <mergeCell ref="G21:H21"/>
    <mergeCell ref="J21:K21"/>
    <mergeCell ref="D20:E20"/>
    <mergeCell ref="D21:E21"/>
    <mergeCell ref="A20:B20"/>
    <mergeCell ref="G20:H20"/>
    <mergeCell ref="J20:K20"/>
    <mergeCell ref="A23:B23"/>
    <mergeCell ref="G23:H23"/>
    <mergeCell ref="J23:K23"/>
    <mergeCell ref="D22:E22"/>
    <mergeCell ref="D23:E23"/>
    <mergeCell ref="A22:B22"/>
    <mergeCell ref="G22:H22"/>
    <mergeCell ref="J22:K22"/>
    <mergeCell ref="N32:R32"/>
    <mergeCell ref="G25:H25"/>
    <mergeCell ref="J25:K25"/>
    <mergeCell ref="D24:E24"/>
    <mergeCell ref="A27:C27"/>
    <mergeCell ref="D27:F27"/>
    <mergeCell ref="G27:I27"/>
    <mergeCell ref="J27:L27"/>
    <mergeCell ref="N25:R25"/>
    <mergeCell ref="A24:B24"/>
    <mergeCell ref="G24:H24"/>
    <mergeCell ref="J24:K24"/>
    <mergeCell ref="A25:B25"/>
    <mergeCell ref="D25:E25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D92D-518B-304F-9BA1-B5179805B898}">
  <dimension ref="A1:B15"/>
  <sheetViews>
    <sheetView workbookViewId="0"/>
  </sheetViews>
  <sheetFormatPr baseColWidth="10" defaultRowHeight="15" x14ac:dyDescent="0.2"/>
  <sheetData>
    <row r="1" spans="1:2" x14ac:dyDescent="0.2">
      <c r="A1">
        <v>1</v>
      </c>
    </row>
    <row r="2" spans="1:2" x14ac:dyDescent="0.2">
      <c r="A2" t="s">
        <v>24</v>
      </c>
    </row>
    <row r="3" spans="1:2" x14ac:dyDescent="0.2">
      <c r="A3">
        <v>1</v>
      </c>
    </row>
    <row r="4" spans="1:2" x14ac:dyDescent="0.2">
      <c r="A4">
        <v>400</v>
      </c>
    </row>
    <row r="5" spans="1:2" x14ac:dyDescent="0.2">
      <c r="A5">
        <v>1200</v>
      </c>
    </row>
    <row r="6" spans="1:2" x14ac:dyDescent="0.2">
      <c r="A6">
        <v>50</v>
      </c>
    </row>
    <row r="8" spans="1:2" x14ac:dyDescent="0.2">
      <c r="A8" s="1"/>
      <c r="B8" s="1"/>
    </row>
    <row r="9" spans="1:2" x14ac:dyDescent="0.2">
      <c r="A9" t="s">
        <v>25</v>
      </c>
    </row>
    <row r="10" spans="1:2" x14ac:dyDescent="0.2">
      <c r="A10" t="s">
        <v>26</v>
      </c>
    </row>
    <row r="15" spans="1:2" x14ac:dyDescent="0.2">
      <c r="B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9ADB-CB29-4FB6-A48E-A05880ABBD65}">
  <dimension ref="A1:O64"/>
  <sheetViews>
    <sheetView tabSelected="1" zoomScale="120" zoomScaleNormal="120" workbookViewId="0">
      <selection activeCell="F9" sqref="F9"/>
    </sheetView>
  </sheetViews>
  <sheetFormatPr baseColWidth="10" defaultColWidth="8.83203125" defaultRowHeight="15" x14ac:dyDescent="0.2"/>
  <cols>
    <col min="1" max="1" width="32.1640625" customWidth="1"/>
    <col min="2" max="2" width="13.5" customWidth="1"/>
    <col min="3" max="3" width="7" customWidth="1"/>
    <col min="4" max="4" width="24.83203125" bestFit="1" customWidth="1"/>
    <col min="6" max="6" width="22.1640625" customWidth="1"/>
    <col min="9" max="9" width="12.1640625" bestFit="1" customWidth="1"/>
    <col min="10" max="10" width="12.6640625" bestFit="1" customWidth="1"/>
    <col min="12" max="12" width="43.5" customWidth="1"/>
    <col min="24" max="24" width="22.83203125" customWidth="1"/>
  </cols>
  <sheetData>
    <row r="1" spans="1:15" ht="16" thickBot="1" x14ac:dyDescent="0.25">
      <c r="A1" s="161" t="s">
        <v>176</v>
      </c>
      <c r="B1" s="162"/>
      <c r="D1" s="35" t="s">
        <v>0</v>
      </c>
    </row>
    <row r="2" spans="1:15" ht="16" thickBot="1" x14ac:dyDescent="0.25">
      <c r="A2" s="9" t="s">
        <v>177</v>
      </c>
      <c r="B2" s="10">
        <v>30</v>
      </c>
      <c r="D2" s="171">
        <f>SUM(I6:I53)+SUM(J6:J53)</f>
        <v>50250421.414593242</v>
      </c>
    </row>
    <row r="3" spans="1:15" ht="16" thickBot="1" x14ac:dyDescent="0.25">
      <c r="A3" s="5" t="s">
        <v>110</v>
      </c>
      <c r="B3" s="6">
        <v>12</v>
      </c>
    </row>
    <row r="4" spans="1:15" ht="16" thickBot="1" x14ac:dyDescent="0.25">
      <c r="A4" s="5" t="s">
        <v>17</v>
      </c>
      <c r="B4" s="6">
        <v>0.35</v>
      </c>
      <c r="L4" s="163" t="s">
        <v>10</v>
      </c>
      <c r="M4" s="164"/>
      <c r="N4" s="164"/>
      <c r="O4" s="165"/>
    </row>
    <row r="5" spans="1:15" ht="16" thickBot="1" x14ac:dyDescent="0.25">
      <c r="A5" s="11" t="s">
        <v>178</v>
      </c>
      <c r="B5" s="12">
        <v>2500</v>
      </c>
      <c r="D5" s="13" t="s">
        <v>2</v>
      </c>
      <c r="E5" s="14" t="s">
        <v>3</v>
      </c>
      <c r="F5" s="13" t="s">
        <v>5</v>
      </c>
      <c r="G5" s="14" t="s">
        <v>6</v>
      </c>
      <c r="H5" s="14" t="s">
        <v>7</v>
      </c>
      <c r="I5" s="14" t="s">
        <v>8</v>
      </c>
      <c r="J5" s="15" t="s">
        <v>9</v>
      </c>
      <c r="L5" s="5"/>
      <c r="M5" s="22" t="s">
        <v>11</v>
      </c>
      <c r="N5" s="22" t="s">
        <v>27</v>
      </c>
      <c r="O5" s="36" t="s">
        <v>12</v>
      </c>
    </row>
    <row r="6" spans="1:15" ht="16" thickBot="1" x14ac:dyDescent="0.25">
      <c r="A6" s="161" t="s">
        <v>173</v>
      </c>
      <c r="B6" s="162"/>
      <c r="D6" s="5" t="s">
        <v>109</v>
      </c>
      <c r="E6" s="4">
        <v>1</v>
      </c>
      <c r="F6" s="5">
        <f>'EOQ Model'!I2</f>
        <v>38040</v>
      </c>
      <c r="G6" s="27">
        <v>38040</v>
      </c>
      <c r="H6" s="27">
        <f t="shared" ref="H6:H53" si="0">IF(E6=1,G6-F6,H5-F6+G6)</f>
        <v>0</v>
      </c>
      <c r="I6" s="27" cm="1">
        <f t="array" ref="I6">IF(G6,$B$5,0)+(G6*_xlfn.SWITCH(TRUE,G6&lt;=1250,B$7,G6&lt;=2500,B$8,G6&lt;=3570,B$9,B$10))</f>
        <v>812752</v>
      </c>
      <c r="J6" s="28">
        <f t="shared" ref="J6:J17" si="1">H6*($B$4/12)</f>
        <v>0</v>
      </c>
      <c r="L6" s="5" t="s">
        <v>117</v>
      </c>
      <c r="M6" s="27">
        <f t="shared" ref="M6:M53" si="2">H6</f>
        <v>0</v>
      </c>
      <c r="N6" s="4" t="s">
        <v>13</v>
      </c>
      <c r="O6" s="6">
        <v>0</v>
      </c>
    </row>
    <row r="7" spans="1:15" x14ac:dyDescent="0.2">
      <c r="A7" s="9" t="s">
        <v>14</v>
      </c>
      <c r="B7" s="10">
        <v>21.7</v>
      </c>
      <c r="D7" s="5" t="s">
        <v>109</v>
      </c>
      <c r="E7" s="4">
        <v>2</v>
      </c>
      <c r="F7" s="5">
        <f>'EOQ Model'!I3</f>
        <v>38171</v>
      </c>
      <c r="G7" s="27">
        <v>136716.97013151154</v>
      </c>
      <c r="H7" s="27">
        <f t="shared" si="0"/>
        <v>98545.970131511538</v>
      </c>
      <c r="I7" s="27" cm="1">
        <f t="array" ref="I7">IF(G7,$B$5,0)+(G7*_xlfn.SWITCH(TRUE,G7&lt;=1250,B$7,G7&lt;=2500,B$8,G7&lt;=3570,B$9,B$10))</f>
        <v>2914571.4638011958</v>
      </c>
      <c r="J7" s="28">
        <f t="shared" si="1"/>
        <v>2874.257462169086</v>
      </c>
      <c r="L7" s="5" t="s">
        <v>118</v>
      </c>
      <c r="M7" s="27">
        <f t="shared" si="2"/>
        <v>98545.970131511538</v>
      </c>
      <c r="N7" s="4" t="s">
        <v>13</v>
      </c>
      <c r="O7" s="6">
        <v>0</v>
      </c>
    </row>
    <row r="8" spans="1:15" x14ac:dyDescent="0.2">
      <c r="A8" s="5" t="s">
        <v>174</v>
      </c>
      <c r="B8" s="6">
        <v>21.6</v>
      </c>
      <c r="D8" s="5" t="s">
        <v>109</v>
      </c>
      <c r="E8" s="4">
        <v>3</v>
      </c>
      <c r="F8" s="5">
        <f>'EOQ Model'!I4</f>
        <v>37567</v>
      </c>
      <c r="G8" s="27">
        <v>112171.56317092408</v>
      </c>
      <c r="H8" s="27">
        <f t="shared" si="0"/>
        <v>173150.53330243562</v>
      </c>
      <c r="I8" s="27" cm="1">
        <f t="array" ref="I8">IF(G8,$B$5,0)+(G8*_xlfn.SWITCH(TRUE,G8&lt;=1250,B$7,G8&lt;=2500,B$8,G8&lt;=3570,B$9,B$10))</f>
        <v>2391754.295540683</v>
      </c>
      <c r="J8" s="28">
        <f t="shared" si="1"/>
        <v>5050.223887987705</v>
      </c>
      <c r="L8" s="5" t="s">
        <v>119</v>
      </c>
      <c r="M8" s="27">
        <f t="shared" si="2"/>
        <v>173150.53330243562</v>
      </c>
      <c r="N8" s="4" t="s">
        <v>13</v>
      </c>
      <c r="O8" s="6">
        <v>0</v>
      </c>
    </row>
    <row r="9" spans="1:15" x14ac:dyDescent="0.2">
      <c r="A9" s="5" t="s">
        <v>72</v>
      </c>
      <c r="B9" s="6">
        <v>21.5</v>
      </c>
      <c r="D9" s="5" t="s">
        <v>109</v>
      </c>
      <c r="E9" s="4">
        <v>4</v>
      </c>
      <c r="F9" s="5">
        <f>'EOQ Model'!I5</f>
        <v>43647</v>
      </c>
      <c r="G9" s="27">
        <v>90731.242095377223</v>
      </c>
      <c r="H9" s="27">
        <f t="shared" si="0"/>
        <v>220234.77539781283</v>
      </c>
      <c r="I9" s="27" cm="1">
        <f t="array" ref="I9">IF(G9,$B$5,0)+(G9*_xlfn.SWITCH(TRUE,G9&lt;=1250,B$7,G9&lt;=2500,B$8,G9&lt;=3570,B$9,B$10))</f>
        <v>1935075.456631535</v>
      </c>
      <c r="J9" s="28">
        <f t="shared" si="1"/>
        <v>6423.5142824362065</v>
      </c>
      <c r="L9" s="5" t="s">
        <v>120</v>
      </c>
      <c r="M9" s="27">
        <f t="shared" si="2"/>
        <v>220234.77539781283</v>
      </c>
      <c r="N9" s="4" t="s">
        <v>13</v>
      </c>
      <c r="O9" s="6">
        <v>0</v>
      </c>
    </row>
    <row r="10" spans="1:15" ht="16" thickBot="1" x14ac:dyDescent="0.25">
      <c r="A10" s="11" t="s">
        <v>175</v>
      </c>
      <c r="B10" s="6">
        <v>21.3</v>
      </c>
      <c r="D10" s="5" t="s">
        <v>109</v>
      </c>
      <c r="E10" s="4">
        <v>5</v>
      </c>
      <c r="F10" s="5">
        <f>'EOQ Model'!I6</f>
        <v>48222</v>
      </c>
      <c r="G10" s="27">
        <v>74360.54467970191</v>
      </c>
      <c r="H10" s="27">
        <f t="shared" si="0"/>
        <v>246373.32007751474</v>
      </c>
      <c r="I10" s="27" cm="1">
        <f t="array" ref="I10">IF(G10,$B$5,0)+(G10*_xlfn.SWITCH(TRUE,G10&lt;=1250,B$7,G10&lt;=2500,B$8,G10&lt;=3570,B$9,B$10))</f>
        <v>1586379.6016776508</v>
      </c>
      <c r="J10" s="28">
        <f t="shared" si="1"/>
        <v>7185.8885022608456</v>
      </c>
      <c r="L10" s="5" t="s">
        <v>121</v>
      </c>
      <c r="M10" s="27">
        <f t="shared" si="2"/>
        <v>246373.32007751474</v>
      </c>
      <c r="N10" s="4" t="s">
        <v>13</v>
      </c>
      <c r="O10" s="6">
        <v>0</v>
      </c>
    </row>
    <row r="11" spans="1:15" ht="16" thickBot="1" x14ac:dyDescent="0.25">
      <c r="A11" s="161" t="s">
        <v>179</v>
      </c>
      <c r="B11" s="162"/>
      <c r="D11" s="5" t="s">
        <v>109</v>
      </c>
      <c r="E11" s="4">
        <v>6</v>
      </c>
      <c r="F11" s="5">
        <f>'EOQ Model'!I7</f>
        <v>53769</v>
      </c>
      <c r="G11" s="27">
        <v>47216.519541568225</v>
      </c>
      <c r="H11" s="27">
        <f t="shared" si="0"/>
        <v>239820.83961908298</v>
      </c>
      <c r="I11" s="27" cm="1">
        <f t="array" ref="I11">IF(G11,$B$5,0)+(G11*_xlfn.SWITCH(TRUE,G11&lt;=1250,B$7,G11&lt;=2500,B$8,G11&lt;=3570,B$9,B$10))</f>
        <v>1008211.8662354032</v>
      </c>
      <c r="J11" s="28">
        <f t="shared" si="1"/>
        <v>6994.7744888899197</v>
      </c>
      <c r="L11" s="5" t="s">
        <v>122</v>
      </c>
      <c r="M11" s="27">
        <f t="shared" si="2"/>
        <v>239820.83961908298</v>
      </c>
      <c r="N11" s="4" t="s">
        <v>13</v>
      </c>
      <c r="O11" s="6">
        <v>0</v>
      </c>
    </row>
    <row r="12" spans="1:15" x14ac:dyDescent="0.2">
      <c r="A12" s="9" t="s">
        <v>180</v>
      </c>
      <c r="B12" s="10">
        <v>3</v>
      </c>
      <c r="D12" s="5" t="s">
        <v>109</v>
      </c>
      <c r="E12" s="4">
        <v>7</v>
      </c>
      <c r="F12" s="5">
        <f>'EOQ Model'!I8</f>
        <v>57928</v>
      </c>
      <c r="G12" s="27">
        <v>37001.755708198594</v>
      </c>
      <c r="H12" s="27">
        <f t="shared" si="0"/>
        <v>218894.59532728157</v>
      </c>
      <c r="I12" s="27" cm="1">
        <f t="array" ref="I12">IF(G12,$B$5,0)+(G12*_xlfn.SWITCH(TRUE,G12&lt;=1250,B$7,G12&lt;=2500,B$8,G12&lt;=3570,B$9,B$10))</f>
        <v>790637.39658463013</v>
      </c>
      <c r="J12" s="28">
        <f t="shared" si="1"/>
        <v>6384.4256970457118</v>
      </c>
      <c r="L12" s="5" t="s">
        <v>123</v>
      </c>
      <c r="M12" s="27">
        <f t="shared" si="2"/>
        <v>218894.59532728157</v>
      </c>
      <c r="N12" s="4" t="s">
        <v>13</v>
      </c>
      <c r="O12" s="6">
        <v>0</v>
      </c>
    </row>
    <row r="13" spans="1:15" x14ac:dyDescent="0.2">
      <c r="A13" s="5" t="s">
        <v>181</v>
      </c>
      <c r="B13" s="6">
        <v>12</v>
      </c>
      <c r="D13" s="5" t="s">
        <v>109</v>
      </c>
      <c r="E13" s="4">
        <v>8</v>
      </c>
      <c r="F13" s="5">
        <f>'EOQ Model'!I9</f>
        <v>59968</v>
      </c>
      <c r="G13" s="27">
        <v>30604.859828592238</v>
      </c>
      <c r="H13" s="27">
        <f t="shared" si="0"/>
        <v>189531.45515587382</v>
      </c>
      <c r="I13" s="27" cm="1">
        <f t="array" ref="I13">IF(G13,$B$5,0)+(G13*_xlfn.SWITCH(TRUE,G13&lt;=1250,B$7,G13&lt;=2500,B$8,G13&lt;=3570,B$9,B$10))</f>
        <v>654383.51434901473</v>
      </c>
      <c r="J13" s="28">
        <f t="shared" si="1"/>
        <v>5528.0007753796526</v>
      </c>
      <c r="L13" s="5" t="s">
        <v>124</v>
      </c>
      <c r="M13" s="27">
        <f t="shared" si="2"/>
        <v>189531.45515587382</v>
      </c>
      <c r="N13" s="4" t="s">
        <v>13</v>
      </c>
      <c r="O13" s="6">
        <v>0</v>
      </c>
    </row>
    <row r="14" spans="1:15" x14ac:dyDescent="0.2">
      <c r="A14" s="5" t="s">
        <v>1</v>
      </c>
      <c r="B14" s="6">
        <v>0.3</v>
      </c>
      <c r="D14" s="5" t="s">
        <v>109</v>
      </c>
      <c r="E14" s="4">
        <v>9</v>
      </c>
      <c r="F14" s="5">
        <f>'EOQ Model'!I10</f>
        <v>62787</v>
      </c>
      <c r="G14" s="27">
        <v>22332.242320278387</v>
      </c>
      <c r="H14" s="27">
        <f t="shared" si="0"/>
        <v>149076.69747615221</v>
      </c>
      <c r="I14" s="27" cm="1">
        <f t="array" ref="I14">IF(G14,$B$5,0)+(G14*_xlfn.SWITCH(TRUE,G14&lt;=1250,B$7,G14&lt;=2500,B$8,G14&lt;=3570,B$9,B$10))</f>
        <v>478176.76142192964</v>
      </c>
      <c r="J14" s="28">
        <f t="shared" si="1"/>
        <v>4348.070343054439</v>
      </c>
      <c r="L14" s="5" t="s">
        <v>125</v>
      </c>
      <c r="M14" s="27">
        <f t="shared" si="2"/>
        <v>149076.69747615221</v>
      </c>
      <c r="N14" s="4" t="s">
        <v>13</v>
      </c>
      <c r="O14" s="6">
        <v>0</v>
      </c>
    </row>
    <row r="15" spans="1:15" ht="16" thickBot="1" x14ac:dyDescent="0.25">
      <c r="A15" s="11" t="s">
        <v>178</v>
      </c>
      <c r="B15" s="12">
        <v>1200</v>
      </c>
      <c r="D15" s="5" t="s">
        <v>109</v>
      </c>
      <c r="E15" s="4">
        <v>10</v>
      </c>
      <c r="F15" s="5">
        <f>'EOQ Model'!I11</f>
        <v>63252</v>
      </c>
      <c r="G15" s="27">
        <v>16399.659920679864</v>
      </c>
      <c r="H15" s="27">
        <f t="shared" si="0"/>
        <v>102224.35739683209</v>
      </c>
      <c r="I15" s="27" cm="1">
        <f t="array" ref="I15">IF(G15,$B$5,0)+(G15*_xlfn.SWITCH(TRUE,G15&lt;=1250,B$7,G15&lt;=2500,B$8,G15&lt;=3570,B$9,B$10))</f>
        <v>351812.75631048111</v>
      </c>
      <c r="J15" s="28">
        <f t="shared" si="1"/>
        <v>2981.5437574076022</v>
      </c>
      <c r="L15" s="5" t="s">
        <v>126</v>
      </c>
      <c r="M15" s="27">
        <f t="shared" si="2"/>
        <v>102224.35739683209</v>
      </c>
      <c r="N15" s="4" t="s">
        <v>13</v>
      </c>
      <c r="O15" s="6">
        <v>0</v>
      </c>
    </row>
    <row r="16" spans="1:15" ht="16" thickBot="1" x14ac:dyDescent="0.25">
      <c r="A16" s="161" t="s">
        <v>173</v>
      </c>
      <c r="B16" s="162"/>
      <c r="D16" s="5" t="s">
        <v>109</v>
      </c>
      <c r="E16" s="4">
        <v>11</v>
      </c>
      <c r="F16" s="5">
        <f>'EOQ Model'!I12</f>
        <v>63006</v>
      </c>
      <c r="G16" s="27">
        <v>10393.108085055053</v>
      </c>
      <c r="H16" s="27">
        <f t="shared" si="0"/>
        <v>49611.465481887135</v>
      </c>
      <c r="I16" s="27" cm="1">
        <f t="array" ref="I16">IF(G16,$B$5,0)+(G16*_xlfn.SWITCH(TRUE,G16&lt;=1250,B$7,G16&lt;=2500,B$8,G16&lt;=3570,B$9,B$10))</f>
        <v>223873.20221167264</v>
      </c>
      <c r="J16" s="28">
        <f t="shared" si="1"/>
        <v>1447.0010765550412</v>
      </c>
      <c r="L16" s="5" t="s">
        <v>127</v>
      </c>
      <c r="M16" s="27">
        <f t="shared" si="2"/>
        <v>49611.465481887135</v>
      </c>
      <c r="N16" s="4" t="s">
        <v>13</v>
      </c>
      <c r="O16" s="6">
        <v>0</v>
      </c>
    </row>
    <row r="17" spans="1:15" x14ac:dyDescent="0.2">
      <c r="A17" s="9" t="s">
        <v>70</v>
      </c>
      <c r="B17" s="10">
        <v>145.08000000000001</v>
      </c>
      <c r="D17" s="5" t="s">
        <v>109</v>
      </c>
      <c r="E17" s="4">
        <v>12</v>
      </c>
      <c r="F17" s="5">
        <f>'EOQ Model'!I13</f>
        <v>54934</v>
      </c>
      <c r="G17" s="27">
        <v>5322.5345181128805</v>
      </c>
      <c r="H17" s="27">
        <f t="shared" si="0"/>
        <v>1.546140993013978E-11</v>
      </c>
      <c r="I17" s="27" cm="1">
        <f t="array" ref="I17">IF(G17,$B$5,0)+(G17*_xlfn.SWITCH(TRUE,G17&lt;=1250,B$7,G17&lt;=2500,B$8,G17&lt;=3570,B$9,B$10))</f>
        <v>115869.98523580436</v>
      </c>
      <c r="J17" s="28">
        <f t="shared" si="1"/>
        <v>4.5095778962907688E-13</v>
      </c>
      <c r="L17" s="5" t="s">
        <v>128</v>
      </c>
      <c r="M17" s="27">
        <f>H17</f>
        <v>1.546140993013978E-11</v>
      </c>
      <c r="N17" s="4" t="s">
        <v>13</v>
      </c>
      <c r="O17" s="6">
        <v>0</v>
      </c>
    </row>
    <row r="18" spans="1:15" x14ac:dyDescent="0.2">
      <c r="A18" s="5" t="s">
        <v>69</v>
      </c>
      <c r="B18" s="6">
        <v>145</v>
      </c>
      <c r="D18" s="5" t="s">
        <v>113</v>
      </c>
      <c r="E18" s="4">
        <v>1</v>
      </c>
      <c r="F18" s="5">
        <f>'EOQ Model'!L2</f>
        <v>3804</v>
      </c>
      <c r="G18" s="27">
        <v>3804</v>
      </c>
      <c r="H18" s="27">
        <f t="shared" si="0"/>
        <v>0</v>
      </c>
      <c r="I18" s="27" cm="1">
        <f t="array" ref="I18">IF(G18,$B$15,0)+(G18*_xlfn.SWITCH(TRUE,G18&lt;=2500,B$17,G18&lt;=5000,B$18,G18&lt;=7500,B$19,B$20))</f>
        <v>552780</v>
      </c>
      <c r="J18" s="28">
        <f>H18*($B$14/12)</f>
        <v>0</v>
      </c>
      <c r="L18" s="5" t="s">
        <v>156</v>
      </c>
      <c r="M18" s="27">
        <f t="shared" si="2"/>
        <v>0</v>
      </c>
      <c r="N18" s="4" t="s">
        <v>13</v>
      </c>
      <c r="O18" s="6">
        <v>0</v>
      </c>
    </row>
    <row r="19" spans="1:15" x14ac:dyDescent="0.2">
      <c r="A19" s="5" t="s">
        <v>16</v>
      </c>
      <c r="B19" s="6">
        <v>144.9</v>
      </c>
      <c r="D19" s="5" t="s">
        <v>113</v>
      </c>
      <c r="E19" s="4">
        <v>2</v>
      </c>
      <c r="F19" s="5">
        <f>'EOQ Model'!L3</f>
        <v>3818</v>
      </c>
      <c r="G19" s="27">
        <v>3818</v>
      </c>
      <c r="H19" s="27">
        <f t="shared" si="0"/>
        <v>0</v>
      </c>
      <c r="I19" s="27" cm="1">
        <f t="array" ref="I19">IF(G19,$B$15,0)+(G19*_xlfn.SWITCH(TRUE,G19&lt;=2500,B$17,G19&lt;=5000,B$18,G19&lt;=7500,B$19,B$20))</f>
        <v>554810</v>
      </c>
      <c r="J19" s="28">
        <f t="shared" ref="J19:J20" si="3">H19*($B$14/12)</f>
        <v>0</v>
      </c>
      <c r="L19" s="5" t="s">
        <v>157</v>
      </c>
      <c r="M19" s="27">
        <f t="shared" si="2"/>
        <v>0</v>
      </c>
      <c r="N19" s="4" t="s">
        <v>13</v>
      </c>
      <c r="O19" s="6">
        <v>0</v>
      </c>
    </row>
    <row r="20" spans="1:15" ht="16" thickBot="1" x14ac:dyDescent="0.25">
      <c r="A20" s="7" t="s">
        <v>182</v>
      </c>
      <c r="B20" s="6">
        <v>144.80000000000001</v>
      </c>
      <c r="D20" s="5" t="s">
        <v>113</v>
      </c>
      <c r="E20" s="4">
        <v>3</v>
      </c>
      <c r="F20" s="5">
        <f>'EOQ Model'!L4</f>
        <v>3757</v>
      </c>
      <c r="G20" s="27">
        <v>3757</v>
      </c>
      <c r="H20" s="27">
        <f t="shared" si="0"/>
        <v>0</v>
      </c>
      <c r="I20" s="27" cm="1">
        <f t="array" ref="I20">IF(G20,$B$15,0)+(G20*_xlfn.SWITCH(TRUE,G20&lt;=2500,B$17,G20&lt;=5000,B$18,G20&lt;=7500,B$19,B$20))</f>
        <v>545965</v>
      </c>
      <c r="J20" s="28">
        <f t="shared" si="3"/>
        <v>0</v>
      </c>
      <c r="L20" s="5" t="s">
        <v>158</v>
      </c>
      <c r="M20" s="27">
        <f t="shared" si="2"/>
        <v>0</v>
      </c>
      <c r="N20" s="4" t="s">
        <v>13</v>
      </c>
      <c r="O20" s="6">
        <v>0</v>
      </c>
    </row>
    <row r="21" spans="1:15" ht="16" thickBot="1" x14ac:dyDescent="0.25">
      <c r="A21" s="161" t="s">
        <v>183</v>
      </c>
      <c r="B21" s="162"/>
      <c r="D21" s="5" t="s">
        <v>113</v>
      </c>
      <c r="E21" s="4">
        <v>4</v>
      </c>
      <c r="F21" s="5">
        <f>'EOQ Model'!L5</f>
        <v>4365</v>
      </c>
      <c r="G21" s="27">
        <v>4382.0349644011912</v>
      </c>
      <c r="H21" s="27">
        <f t="shared" si="0"/>
        <v>17.034964401191246</v>
      </c>
      <c r="I21" s="27" cm="1">
        <f t="array" ref="I21">IF(G21,$B$15,0)+(G21*_xlfn.SWITCH(TRUE,G21&lt;=2500,B$17,G21&lt;=5000,B$18,G21&lt;=7500,B$19,B$20))</f>
        <v>636595.06983817276</v>
      </c>
      <c r="J21" s="28">
        <f>H21*($B$14/12)</f>
        <v>0.42587411002978109</v>
      </c>
      <c r="L21" s="5" t="s">
        <v>159</v>
      </c>
      <c r="M21" s="27">
        <f t="shared" si="2"/>
        <v>17.034964401191246</v>
      </c>
      <c r="N21" s="4" t="s">
        <v>13</v>
      </c>
      <c r="O21" s="6">
        <v>0</v>
      </c>
    </row>
    <row r="22" spans="1:15" x14ac:dyDescent="0.2">
      <c r="A22" s="9" t="s">
        <v>184</v>
      </c>
      <c r="B22" s="10">
        <v>9</v>
      </c>
      <c r="D22" s="5" t="s">
        <v>113</v>
      </c>
      <c r="E22" s="4">
        <v>5</v>
      </c>
      <c r="F22" s="5">
        <f>'EOQ Model'!L6</f>
        <v>4823</v>
      </c>
      <c r="G22" s="27">
        <v>4805.9650355988088</v>
      </c>
      <c r="H22" s="27">
        <f t="shared" si="0"/>
        <v>0</v>
      </c>
      <c r="I22" s="27" cm="1">
        <f t="array" ref="I22">IF(G22,$B$15,0)+(G22*_xlfn.SWITCH(TRUE,G22&lt;=2500,B$17,G22&lt;=5000,B$18,G22&lt;=7500,B$19,B$20))</f>
        <v>698064.93016182724</v>
      </c>
      <c r="J22" s="28">
        <f t="shared" ref="J22:J29" si="4">H22*($B$14/12)</f>
        <v>0</v>
      </c>
      <c r="L22" s="5" t="s">
        <v>160</v>
      </c>
      <c r="M22" s="27">
        <f t="shared" si="2"/>
        <v>0</v>
      </c>
      <c r="N22" s="4" t="s">
        <v>13</v>
      </c>
      <c r="O22" s="6">
        <v>0</v>
      </c>
    </row>
    <row r="23" spans="1:15" x14ac:dyDescent="0.2">
      <c r="A23" s="5" t="s">
        <v>112</v>
      </c>
      <c r="B23" s="6">
        <v>12</v>
      </c>
      <c r="D23" s="5" t="s">
        <v>113</v>
      </c>
      <c r="E23" s="4">
        <v>6</v>
      </c>
      <c r="F23" s="5">
        <f>'EOQ Model'!L7</f>
        <v>5377</v>
      </c>
      <c r="G23" s="27">
        <v>5377.0000000000009</v>
      </c>
      <c r="H23" s="27">
        <f t="shared" si="0"/>
        <v>9.0949470177292824E-13</v>
      </c>
      <c r="I23" s="27" cm="1">
        <f t="array" ref="I23">IF(G23,$B$15,0)+(G23*_xlfn.SWITCH(TRUE,G23&lt;=2500,B$17,G23&lt;=5000,B$18,G23&lt;=7500,B$19,B$20))</f>
        <v>780327.30000000016</v>
      </c>
      <c r="J23" s="28">
        <f t="shared" si="4"/>
        <v>2.2737367544323204E-14</v>
      </c>
      <c r="L23" s="5" t="s">
        <v>161</v>
      </c>
      <c r="M23" s="27">
        <f t="shared" si="2"/>
        <v>9.0949470177292824E-13</v>
      </c>
      <c r="N23" s="4" t="s">
        <v>13</v>
      </c>
      <c r="O23" s="6">
        <v>0</v>
      </c>
    </row>
    <row r="24" spans="1:15" x14ac:dyDescent="0.2">
      <c r="A24" s="5" t="s">
        <v>1</v>
      </c>
      <c r="B24" s="6">
        <v>0.4</v>
      </c>
      <c r="D24" s="5" t="s">
        <v>113</v>
      </c>
      <c r="E24" s="4">
        <v>7</v>
      </c>
      <c r="F24" s="5">
        <f>'EOQ Model'!L8</f>
        <v>5793</v>
      </c>
      <c r="G24" s="27">
        <v>5792.9999999999991</v>
      </c>
      <c r="H24" s="27">
        <f t="shared" si="0"/>
        <v>0</v>
      </c>
      <c r="I24" s="27" cm="1">
        <f t="array" ref="I24">IF(G24,$B$15,0)+(G24*_xlfn.SWITCH(TRUE,G24&lt;=2500,B$17,G24&lt;=5000,B$18,G24&lt;=7500,B$19,B$20))</f>
        <v>840605.7</v>
      </c>
      <c r="J24" s="28">
        <f t="shared" si="4"/>
        <v>0</v>
      </c>
      <c r="L24" s="5" t="s">
        <v>162</v>
      </c>
      <c r="M24" s="27">
        <f t="shared" si="2"/>
        <v>0</v>
      </c>
      <c r="N24" s="4" t="s">
        <v>13</v>
      </c>
      <c r="O24" s="6">
        <v>0</v>
      </c>
    </row>
    <row r="25" spans="1:15" ht="16" thickBot="1" x14ac:dyDescent="0.25">
      <c r="A25" s="5" t="s">
        <v>185</v>
      </c>
      <c r="B25" s="6">
        <v>1250</v>
      </c>
      <c r="D25" s="5" t="s">
        <v>113</v>
      </c>
      <c r="E25" s="4">
        <v>8</v>
      </c>
      <c r="F25" s="5">
        <f>'EOQ Model'!L9</f>
        <v>5997</v>
      </c>
      <c r="G25" s="27">
        <v>8525.5204646136917</v>
      </c>
      <c r="H25" s="27">
        <f t="shared" si="0"/>
        <v>2528.5204646136917</v>
      </c>
      <c r="I25" s="27" cm="1">
        <f t="array" ref="I25">IF(G25,$B$15,0)+(G25*_xlfn.SWITCH(TRUE,G25&lt;=2500,B$17,G25&lt;=5000,B$18,G25&lt;=7500,B$19,B$20))</f>
        <v>1235695.3632760628</v>
      </c>
      <c r="J25" s="28">
        <f t="shared" si="4"/>
        <v>63.213011615342289</v>
      </c>
      <c r="L25" s="5" t="s">
        <v>163</v>
      </c>
      <c r="M25" s="27">
        <f t="shared" si="2"/>
        <v>2528.5204646136917</v>
      </c>
      <c r="N25" s="4" t="s">
        <v>13</v>
      </c>
      <c r="O25" s="6">
        <v>0</v>
      </c>
    </row>
    <row r="26" spans="1:15" ht="16" thickBot="1" x14ac:dyDescent="0.25">
      <c r="A26" s="161" t="s">
        <v>173</v>
      </c>
      <c r="B26" s="162"/>
      <c r="D26" s="5" t="s">
        <v>113</v>
      </c>
      <c r="E26" s="4">
        <v>9</v>
      </c>
      <c r="F26" s="5">
        <f>'EOQ Model'!L10</f>
        <v>6279</v>
      </c>
      <c r="G26" s="27">
        <v>3750.4795353863078</v>
      </c>
      <c r="H26" s="27">
        <f t="shared" si="0"/>
        <v>-4.5474735088646412E-13</v>
      </c>
      <c r="I26" s="27" cm="1">
        <f t="array" ref="I26">IF(G26,$B$15,0)+(G26*_xlfn.SWITCH(TRUE,G26&lt;=2500,B$17,G26&lt;=5000,B$18,G26&lt;=7500,B$19,B$20))</f>
        <v>545019.53263101459</v>
      </c>
      <c r="J26" s="28">
        <f t="shared" si="4"/>
        <v>-1.1368683772161602E-14</v>
      </c>
      <c r="L26" s="5" t="s">
        <v>164</v>
      </c>
      <c r="M26" s="27">
        <f t="shared" si="2"/>
        <v>-4.5474735088646412E-13</v>
      </c>
      <c r="N26" s="4" t="s">
        <v>13</v>
      </c>
      <c r="O26" s="6">
        <v>0</v>
      </c>
    </row>
    <row r="27" spans="1:15" x14ac:dyDescent="0.2">
      <c r="A27" s="5" t="s">
        <v>18</v>
      </c>
      <c r="B27" s="10">
        <v>78.3</v>
      </c>
      <c r="D27" s="5" t="s">
        <v>113</v>
      </c>
      <c r="E27" s="4">
        <v>10</v>
      </c>
      <c r="F27" s="5">
        <f>'EOQ Model'!L11</f>
        <v>6326</v>
      </c>
      <c r="G27" s="27">
        <v>6326.0000000000009</v>
      </c>
      <c r="H27" s="27">
        <f t="shared" si="0"/>
        <v>9.0949470177292824E-13</v>
      </c>
      <c r="I27" s="27" cm="1">
        <f t="array" ref="I27">IF(G27,$B$15,0)+(G27*_xlfn.SWITCH(TRUE,G27&lt;=2500,B$17,G27&lt;=5000,B$18,G27&lt;=7500,B$19,B$20))</f>
        <v>917837.40000000014</v>
      </c>
      <c r="J27" s="28">
        <f t="shared" si="4"/>
        <v>2.2737367544323204E-14</v>
      </c>
      <c r="L27" s="5" t="s">
        <v>165</v>
      </c>
      <c r="M27" s="27">
        <f t="shared" si="2"/>
        <v>9.0949470177292824E-13</v>
      </c>
      <c r="N27" s="4" t="s">
        <v>13</v>
      </c>
      <c r="O27" s="6">
        <v>0</v>
      </c>
    </row>
    <row r="28" spans="1:15" x14ac:dyDescent="0.2">
      <c r="A28" s="5" t="s">
        <v>19</v>
      </c>
      <c r="B28" s="6">
        <v>78.2</v>
      </c>
      <c r="D28" s="5" t="s">
        <v>113</v>
      </c>
      <c r="E28" s="4">
        <v>11</v>
      </c>
      <c r="F28" s="5">
        <f>'EOQ Model'!L12</f>
        <v>6301</v>
      </c>
      <c r="G28" s="27">
        <v>6301.0000000000009</v>
      </c>
      <c r="H28" s="27">
        <f t="shared" si="0"/>
        <v>1.8189894035458565E-12</v>
      </c>
      <c r="I28" s="27" cm="1">
        <f t="array" ref="I28">IF(G28,$B$15,0)+(G28*_xlfn.SWITCH(TRUE,G28&lt;=2500,B$17,G28&lt;=5000,B$18,G28&lt;=7500,B$19,B$20))</f>
        <v>914214.90000000014</v>
      </c>
      <c r="J28" s="28">
        <f t="shared" si="4"/>
        <v>4.5474735088646408E-14</v>
      </c>
      <c r="L28" s="5" t="s">
        <v>166</v>
      </c>
      <c r="M28" s="27">
        <f t="shared" si="2"/>
        <v>1.8189894035458565E-12</v>
      </c>
      <c r="N28" s="4" t="s">
        <v>13</v>
      </c>
      <c r="O28" s="6">
        <v>0</v>
      </c>
    </row>
    <row r="29" spans="1:15" x14ac:dyDescent="0.2">
      <c r="A29" s="5" t="s">
        <v>20</v>
      </c>
      <c r="B29" s="6">
        <v>78</v>
      </c>
      <c r="D29" s="5" t="s">
        <v>113</v>
      </c>
      <c r="E29" s="4">
        <v>12</v>
      </c>
      <c r="F29" s="5">
        <f>'EOQ Model'!L13</f>
        <v>5494</v>
      </c>
      <c r="G29" s="27">
        <v>5493.9999999999991</v>
      </c>
      <c r="H29" s="27">
        <f t="shared" si="0"/>
        <v>9.0949470177292824E-13</v>
      </c>
      <c r="I29" s="27" cm="1">
        <f t="array" ref="I29">IF(G29,$B$15,0)+(G29*_xlfn.SWITCH(TRUE,G29&lt;=2500,B$17,G29&lt;=5000,B$18,G29&lt;=7500,B$19,B$20))</f>
        <v>797280.59999999986</v>
      </c>
      <c r="J29" s="28">
        <f t="shared" si="4"/>
        <v>2.2737367544323204E-14</v>
      </c>
      <c r="L29" s="5" t="s">
        <v>167</v>
      </c>
      <c r="M29" s="27">
        <f t="shared" si="2"/>
        <v>9.0949470177292824E-13</v>
      </c>
      <c r="N29" s="4" t="s">
        <v>13</v>
      </c>
      <c r="O29" s="6">
        <v>0</v>
      </c>
    </row>
    <row r="30" spans="1:15" ht="16" thickBot="1" x14ac:dyDescent="0.25">
      <c r="A30" s="11" t="s">
        <v>186</v>
      </c>
      <c r="B30" s="6">
        <v>77.8</v>
      </c>
      <c r="D30" s="5" t="s">
        <v>114</v>
      </c>
      <c r="E30" s="4">
        <v>1</v>
      </c>
      <c r="F30" s="5">
        <f>'EOQ Model'!J2</f>
        <v>11412</v>
      </c>
      <c r="G30" s="27">
        <v>17719.44808364084</v>
      </c>
      <c r="H30" s="27">
        <f t="shared" si="0"/>
        <v>6307.4480836408402</v>
      </c>
      <c r="I30" s="27" cm="1">
        <f t="array" ref="I30">IF(G30,$B$25,0)+(G30*_xlfn.SWITCH(TRUE,G30&lt;=2000,B$27,G30&lt;=4000,B$28,G30&lt;=6000,B$29,B$30))</f>
        <v>1379823.0609072573</v>
      </c>
      <c r="J30" s="28">
        <f>H30*($B$24/12)</f>
        <v>210.24826945469468</v>
      </c>
      <c r="L30" s="5" t="s">
        <v>143</v>
      </c>
      <c r="M30" s="27">
        <f t="shared" si="2"/>
        <v>6307.4480836408402</v>
      </c>
      <c r="N30" s="4" t="s">
        <v>13</v>
      </c>
      <c r="O30" s="6">
        <v>0</v>
      </c>
    </row>
    <row r="31" spans="1:15" ht="16" thickBot="1" x14ac:dyDescent="0.25">
      <c r="A31" s="161" t="s">
        <v>115</v>
      </c>
      <c r="B31" s="162"/>
      <c r="D31" s="5" t="s">
        <v>114</v>
      </c>
      <c r="E31" s="4">
        <v>2</v>
      </c>
      <c r="F31" s="5">
        <f>'EOQ Model'!J3</f>
        <v>11452</v>
      </c>
      <c r="G31" s="27">
        <v>14199.596140475407</v>
      </c>
      <c r="H31" s="27">
        <f t="shared" si="0"/>
        <v>9055.0442241162473</v>
      </c>
      <c r="I31" s="27" cm="1">
        <f t="array" ref="I31">IF(G31,$B$25,0)+(G31*_xlfn.SWITCH(TRUE,G31&lt;=2000,B$27,G31&lt;=4000,B$28,G31&lt;=6000,B$29,B$30))</f>
        <v>1105978.5797289866</v>
      </c>
      <c r="J31" s="28">
        <f t="shared" ref="J31:J41" si="5">H31*($B$24/12)</f>
        <v>301.83480747054159</v>
      </c>
      <c r="L31" s="5" t="s">
        <v>144</v>
      </c>
      <c r="M31" s="27">
        <f t="shared" si="2"/>
        <v>9055.0442241162473</v>
      </c>
      <c r="N31" s="4" t="s">
        <v>13</v>
      </c>
      <c r="O31" s="6">
        <v>0</v>
      </c>
    </row>
    <row r="32" spans="1:15" x14ac:dyDescent="0.2">
      <c r="A32" s="9" t="s">
        <v>187</v>
      </c>
      <c r="B32" s="10">
        <v>12</v>
      </c>
      <c r="D32" s="5" t="s">
        <v>114</v>
      </c>
      <c r="E32" s="4">
        <v>3</v>
      </c>
      <c r="F32" s="5">
        <f>'EOQ Model'!J4</f>
        <v>11271</v>
      </c>
      <c r="G32" s="27">
        <v>12061.530670048196</v>
      </c>
      <c r="H32" s="27">
        <f t="shared" si="0"/>
        <v>9845.5748941644433</v>
      </c>
      <c r="I32" s="27" cm="1">
        <f t="array" ref="I32">IF(G32,$B$25,0)+(G32*_xlfn.SWITCH(TRUE,G32&lt;=2000,B$27,G32&lt;=4000,B$28,G32&lt;=6000,B$29,B$30))</f>
        <v>939637.08612974966</v>
      </c>
      <c r="J32" s="28">
        <f t="shared" si="5"/>
        <v>328.18582980548143</v>
      </c>
      <c r="L32" s="5" t="s">
        <v>145</v>
      </c>
      <c r="M32" s="27">
        <f t="shared" si="2"/>
        <v>9845.5748941644433</v>
      </c>
      <c r="N32" s="4" t="s">
        <v>13</v>
      </c>
      <c r="O32" s="6">
        <v>0</v>
      </c>
    </row>
    <row r="33" spans="1:15" x14ac:dyDescent="0.2">
      <c r="A33" s="5" t="s">
        <v>111</v>
      </c>
      <c r="B33" s="6">
        <v>3</v>
      </c>
      <c r="D33" s="5" t="s">
        <v>114</v>
      </c>
      <c r="E33" s="4">
        <v>4</v>
      </c>
      <c r="F33" s="5">
        <f>'EOQ Model'!J5</f>
        <v>13095</v>
      </c>
      <c r="G33" s="27">
        <v>14003.032684191927</v>
      </c>
      <c r="H33" s="27">
        <f t="shared" si="0"/>
        <v>10753.60757835637</v>
      </c>
      <c r="I33" s="27" cm="1">
        <f t="array" ref="I33">IF(G33,$B$25,0)+(G33*_xlfn.SWITCH(TRUE,G33&lt;=2000,B$27,G33&lt;=4000,B$28,G33&lt;=6000,B$29,B$30))</f>
        <v>1090685.9428301319</v>
      </c>
      <c r="J33" s="28">
        <f t="shared" si="5"/>
        <v>358.45358594521235</v>
      </c>
      <c r="L33" s="5" t="s">
        <v>146</v>
      </c>
      <c r="M33" s="27">
        <f t="shared" si="2"/>
        <v>10753.60757835637</v>
      </c>
      <c r="N33" s="4" t="s">
        <v>13</v>
      </c>
      <c r="O33" s="6">
        <v>0</v>
      </c>
    </row>
    <row r="34" spans="1:15" x14ac:dyDescent="0.2">
      <c r="A34" s="5" t="s">
        <v>1</v>
      </c>
      <c r="B34" s="6">
        <v>0.3</v>
      </c>
      <c r="D34" s="5" t="s">
        <v>114</v>
      </c>
      <c r="E34" s="4">
        <v>5</v>
      </c>
      <c r="F34" s="5">
        <f>'EOQ Model'!J6</f>
        <v>14467</v>
      </c>
      <c r="G34" s="27">
        <v>18806.718013554051</v>
      </c>
      <c r="H34" s="27">
        <f t="shared" si="0"/>
        <v>15093.325591910421</v>
      </c>
      <c r="I34" s="27" cm="1">
        <f t="array" ref="I34">IF(G34,$B$25,0)+(G34*_xlfn.SWITCH(TRUE,G34&lt;=2000,B$27,G34&lt;=4000,B$28,G34&lt;=6000,B$29,B$30))</f>
        <v>1464412.6614545051</v>
      </c>
      <c r="J34" s="28">
        <f t="shared" si="5"/>
        <v>503.11085306368068</v>
      </c>
      <c r="L34" s="5" t="s">
        <v>147</v>
      </c>
      <c r="M34" s="27">
        <f t="shared" si="2"/>
        <v>15093.325591910421</v>
      </c>
      <c r="N34" s="4" t="s">
        <v>13</v>
      </c>
      <c r="O34" s="6">
        <v>0</v>
      </c>
    </row>
    <row r="35" spans="1:15" ht="16" thickBot="1" x14ac:dyDescent="0.25">
      <c r="A35" s="11" t="s">
        <v>188</v>
      </c>
      <c r="B35" s="12">
        <v>1500</v>
      </c>
      <c r="D35" s="5" t="s">
        <v>114</v>
      </c>
      <c r="E35" s="4">
        <v>6</v>
      </c>
      <c r="F35" s="5">
        <f>'EOQ Model'!J7</f>
        <v>16131</v>
      </c>
      <c r="G35" s="27">
        <v>23738.636615253698</v>
      </c>
      <c r="H35" s="27">
        <f t="shared" si="0"/>
        <v>22700.962207164121</v>
      </c>
      <c r="I35" s="27" cm="1">
        <f t="array" ref="I35">IF(G35,$B$25,0)+(G35*_xlfn.SWITCH(TRUE,G35&lt;=2000,B$27,G35&lt;=4000,B$28,G35&lt;=6000,B$29,B$30))</f>
        <v>1848115.9286667376</v>
      </c>
      <c r="J35" s="28">
        <f t="shared" si="5"/>
        <v>756.69874023880402</v>
      </c>
      <c r="L35" s="5" t="s">
        <v>148</v>
      </c>
      <c r="M35" s="27">
        <f t="shared" si="2"/>
        <v>22700.962207164121</v>
      </c>
      <c r="N35" s="4" t="s">
        <v>13</v>
      </c>
      <c r="O35" s="6">
        <v>0</v>
      </c>
    </row>
    <row r="36" spans="1:15" ht="16" thickBot="1" x14ac:dyDescent="0.25">
      <c r="A36" s="161" t="s">
        <v>173</v>
      </c>
      <c r="B36" s="162"/>
      <c r="D36" s="5" t="s">
        <v>114</v>
      </c>
      <c r="E36" s="4">
        <v>7</v>
      </c>
      <c r="F36" s="5">
        <f>'EOQ Model'!J8</f>
        <v>17379</v>
      </c>
      <c r="G36" s="27">
        <v>23792.447744610985</v>
      </c>
      <c r="H36" s="27">
        <f t="shared" si="0"/>
        <v>29114.409951775106</v>
      </c>
      <c r="I36" s="27" cm="1">
        <f t="array" ref="I36">IF(G36,$B$25,0)+(G36*_xlfn.SWITCH(TRUE,G36&lt;=2000,B$27,G36&lt;=4000,B$28,G36&lt;=6000,B$29,B$30))</f>
        <v>1852302.4345307346</v>
      </c>
      <c r="J36" s="28">
        <f t="shared" si="5"/>
        <v>970.48033172583689</v>
      </c>
      <c r="L36" s="5" t="s">
        <v>149</v>
      </c>
      <c r="M36" s="27">
        <f t="shared" si="2"/>
        <v>29114.409951775106</v>
      </c>
      <c r="N36" s="4" t="s">
        <v>13</v>
      </c>
      <c r="O36" s="6">
        <v>0</v>
      </c>
    </row>
    <row r="37" spans="1:15" x14ac:dyDescent="0.2">
      <c r="A37" s="9" t="s">
        <v>189</v>
      </c>
      <c r="B37" s="10">
        <v>55.4</v>
      </c>
      <c r="D37" s="5" t="s">
        <v>114</v>
      </c>
      <c r="E37" s="4">
        <v>8</v>
      </c>
      <c r="F37" s="5">
        <f>'EOQ Model'!J9</f>
        <v>17991</v>
      </c>
      <c r="G37" s="27">
        <v>22877.422394967838</v>
      </c>
      <c r="H37" s="27">
        <f t="shared" si="0"/>
        <v>34000.832346742944</v>
      </c>
      <c r="I37" s="27" cm="1">
        <f t="array" ref="I37">IF(G37,$B$25,0)+(G37*_xlfn.SWITCH(TRUE,G37&lt;=2000,B$27,G37&lt;=4000,B$28,G37&lt;=6000,B$29,B$30))</f>
        <v>1781113.4623284978</v>
      </c>
      <c r="J37" s="28">
        <f t="shared" si="5"/>
        <v>1133.3610782247647</v>
      </c>
      <c r="L37" s="5" t="s">
        <v>150</v>
      </c>
      <c r="M37" s="27">
        <f t="shared" si="2"/>
        <v>34000.832346742944</v>
      </c>
      <c r="N37" s="4" t="s">
        <v>13</v>
      </c>
      <c r="O37" s="6">
        <v>0</v>
      </c>
    </row>
    <row r="38" spans="1:15" x14ac:dyDescent="0.2">
      <c r="A38" s="5" t="s">
        <v>190</v>
      </c>
      <c r="B38" s="6">
        <v>55.3</v>
      </c>
      <c r="D38" s="5" t="s">
        <v>114</v>
      </c>
      <c r="E38" s="4">
        <v>9</v>
      </c>
      <c r="F38" s="5">
        <f>'EOQ Model'!J10</f>
        <v>18836</v>
      </c>
      <c r="G38" s="27">
        <v>18371.993010955419</v>
      </c>
      <c r="H38" s="27">
        <f t="shared" si="0"/>
        <v>33536.825357698362</v>
      </c>
      <c r="I38" s="27" cm="1">
        <f t="array" ref="I38">IF(G38,$B$25,0)+(G38*_xlfn.SWITCH(TRUE,G38&lt;=2000,B$27,G38&lt;=4000,B$28,G38&lt;=6000,B$29,B$30))</f>
        <v>1430591.0562523315</v>
      </c>
      <c r="J38" s="28">
        <f t="shared" si="5"/>
        <v>1117.8941785899453</v>
      </c>
      <c r="L38" s="5" t="s">
        <v>151</v>
      </c>
      <c r="M38" s="27">
        <f t="shared" si="2"/>
        <v>33536.825357698362</v>
      </c>
      <c r="N38" s="4" t="s">
        <v>13</v>
      </c>
      <c r="O38" s="6">
        <v>0</v>
      </c>
    </row>
    <row r="39" spans="1:15" x14ac:dyDescent="0.2">
      <c r="A39" s="5" t="s">
        <v>23</v>
      </c>
      <c r="B39" s="6">
        <v>55.2</v>
      </c>
      <c r="D39" s="5" t="s">
        <v>114</v>
      </c>
      <c r="E39" s="4">
        <v>10</v>
      </c>
      <c r="F39" s="5">
        <f>'EOQ Model'!J11</f>
        <v>18976</v>
      </c>
      <c r="G39" s="27">
        <v>11467.767597065042</v>
      </c>
      <c r="H39" s="27">
        <f t="shared" si="0"/>
        <v>26028.592954763404</v>
      </c>
      <c r="I39" s="27" cm="1">
        <f t="array" ref="I39">IF(G39,$B$25,0)+(G39*_xlfn.SWITCH(TRUE,G39&lt;=2000,B$27,G39&lt;=4000,B$28,G39&lt;=6000,B$29,B$30))</f>
        <v>893442.31905166025</v>
      </c>
      <c r="J39" s="28">
        <f t="shared" si="5"/>
        <v>867.61976515878007</v>
      </c>
      <c r="L39" s="5" t="s">
        <v>152</v>
      </c>
      <c r="M39" s="27">
        <f t="shared" si="2"/>
        <v>26028.592954763404</v>
      </c>
      <c r="N39" s="4" t="s">
        <v>13</v>
      </c>
      <c r="O39" s="6">
        <v>0</v>
      </c>
    </row>
    <row r="40" spans="1:15" x14ac:dyDescent="0.2">
      <c r="A40" s="11" t="s">
        <v>191</v>
      </c>
      <c r="B40" s="6">
        <v>55</v>
      </c>
      <c r="D40" s="5" t="s">
        <v>114</v>
      </c>
      <c r="E40" s="4">
        <v>11</v>
      </c>
      <c r="F40" s="5">
        <f>'EOQ Model'!J12</f>
        <v>18902</v>
      </c>
      <c r="G40" s="27">
        <v>6384.0650765864702</v>
      </c>
      <c r="H40" s="27">
        <f t="shared" si="0"/>
        <v>13510.658031349874</v>
      </c>
      <c r="I40" s="27" cm="1">
        <f t="array" ref="I40">IF(G40,$B$25,0)+(G40*_xlfn.SWITCH(TRUE,G40&lt;=2000,B$27,G40&lt;=4000,B$28,G40&lt;=6000,B$29,B$30))</f>
        <v>497930.26295842737</v>
      </c>
      <c r="J40" s="28">
        <f t="shared" si="5"/>
        <v>450.35526771166246</v>
      </c>
      <c r="L40" s="5" t="s">
        <v>153</v>
      </c>
      <c r="M40" s="27">
        <f t="shared" si="2"/>
        <v>13510.658031349874</v>
      </c>
      <c r="N40" s="4" t="s">
        <v>13</v>
      </c>
      <c r="O40" s="6">
        <v>0</v>
      </c>
    </row>
    <row r="41" spans="1:15" x14ac:dyDescent="0.2">
      <c r="D41" s="5" t="s">
        <v>114</v>
      </c>
      <c r="E41" s="4">
        <v>12</v>
      </c>
      <c r="F41" s="5">
        <f>'EOQ Model'!J13</f>
        <v>16481</v>
      </c>
      <c r="G41" s="27">
        <v>2970.341968650122</v>
      </c>
      <c r="H41" s="27">
        <f t="shared" si="0"/>
        <v>-3.637978807091713E-12</v>
      </c>
      <c r="I41" s="27" cm="1">
        <f t="array" ref="I41">IF(G41,$B$25,0)+(G41*_xlfn.SWITCH(TRUE,G41&lt;=2000,B$27,G41&lt;=4000,B$28,G41&lt;=6000,B$29,B$30))</f>
        <v>233530.74194843954</v>
      </c>
      <c r="J41" s="28">
        <f t="shared" si="5"/>
        <v>-1.2126596023639043E-13</v>
      </c>
      <c r="L41" s="5" t="s">
        <v>154</v>
      </c>
      <c r="M41" s="27">
        <f t="shared" si="2"/>
        <v>-3.637978807091713E-12</v>
      </c>
      <c r="N41" s="4" t="s">
        <v>13</v>
      </c>
      <c r="O41" s="6">
        <v>0</v>
      </c>
    </row>
    <row r="42" spans="1:15" x14ac:dyDescent="0.2">
      <c r="D42" s="5" t="s">
        <v>116</v>
      </c>
      <c r="E42" s="4">
        <v>1</v>
      </c>
      <c r="F42" s="5">
        <f>'EOQ Model'!K2</f>
        <v>15216</v>
      </c>
      <c r="G42" s="27">
        <v>17924.59606709734</v>
      </c>
      <c r="H42" s="27">
        <f t="shared" si="0"/>
        <v>2708.59606709734</v>
      </c>
      <c r="I42" s="27" cm="1">
        <f t="array" ref="I42">IF(G42,$B$35,0)+(G42*_xlfn.SWITCH(TRUE,G42&lt;=1000,B$37,G42&lt;=2000,B$38,G42&lt;=3000,B$39,B$40))</f>
        <v>987352.78369035374</v>
      </c>
      <c r="J42" s="28">
        <f>H42*($B$34/12)</f>
        <v>67.714901677433488</v>
      </c>
      <c r="L42" s="5" t="s">
        <v>130</v>
      </c>
      <c r="M42" s="27">
        <f t="shared" si="2"/>
        <v>2708.59606709734</v>
      </c>
      <c r="N42" s="4" t="s">
        <v>13</v>
      </c>
      <c r="O42" s="6">
        <v>0</v>
      </c>
    </row>
    <row r="43" spans="1:15" x14ac:dyDescent="0.2">
      <c r="D43" s="5" t="s">
        <v>116</v>
      </c>
      <c r="E43" s="4">
        <v>2</v>
      </c>
      <c r="F43" s="5">
        <f>'EOQ Model'!K3</f>
        <v>15269</v>
      </c>
      <c r="G43" s="27">
        <v>17024.768181625386</v>
      </c>
      <c r="H43" s="27">
        <f t="shared" si="0"/>
        <v>4464.3642487227262</v>
      </c>
      <c r="I43" s="27" cm="1">
        <f t="array" ref="I43">IF(G43,$B$35,0)+(G43*_xlfn.SWITCH(TRUE,G43&lt;=1000,B$37,G43&lt;=2000,B$38,G43&lt;=3000,B$39,B$40))</f>
        <v>937862.24998939619</v>
      </c>
      <c r="J43" s="28">
        <f t="shared" ref="J43:J53" si="6">H43*($B$34/12)</f>
        <v>111.60910621806815</v>
      </c>
      <c r="L43" s="5" t="s">
        <v>131</v>
      </c>
      <c r="M43" s="27">
        <f t="shared" si="2"/>
        <v>4464.3642487227262</v>
      </c>
      <c r="N43" s="4" t="s">
        <v>13</v>
      </c>
      <c r="O43" s="6">
        <v>0</v>
      </c>
    </row>
    <row r="44" spans="1:15" x14ac:dyDescent="0.2">
      <c r="D44" s="5" t="s">
        <v>116</v>
      </c>
      <c r="E44" s="4">
        <v>3</v>
      </c>
      <c r="F44" s="5">
        <f>'EOQ Model'!K4</f>
        <v>15027</v>
      </c>
      <c r="G44" s="27">
        <v>25792.64048842551</v>
      </c>
      <c r="H44" s="27">
        <f t="shared" si="0"/>
        <v>15230.004737148236</v>
      </c>
      <c r="I44" s="27" cm="1">
        <f t="array" ref="I44">IF(G44,$B$35,0)+(G44*_xlfn.SWITCH(TRUE,G44&lt;=1000,B$37,G44&lt;=2000,B$38,G44&lt;=3000,B$39,B$40))</f>
        <v>1420095.2268634031</v>
      </c>
      <c r="J44" s="28">
        <f t="shared" si="6"/>
        <v>380.75011842870589</v>
      </c>
      <c r="L44" s="5" t="s">
        <v>132</v>
      </c>
      <c r="M44" s="27">
        <f t="shared" si="2"/>
        <v>15230.004737148236</v>
      </c>
      <c r="N44" s="4" t="s">
        <v>13</v>
      </c>
      <c r="O44" s="6">
        <v>0</v>
      </c>
    </row>
    <row r="45" spans="1:15" x14ac:dyDescent="0.2">
      <c r="D45" s="5" t="s">
        <v>116</v>
      </c>
      <c r="E45" s="4">
        <v>4</v>
      </c>
      <c r="F45" s="5">
        <f>'EOQ Model'!K5</f>
        <v>17459</v>
      </c>
      <c r="G45" s="27">
        <v>42193.690358251464</v>
      </c>
      <c r="H45" s="27">
        <f t="shared" si="0"/>
        <v>39964.6950953997</v>
      </c>
      <c r="I45" s="27" cm="1">
        <f t="array" ref="I45">IF(G45,$B$35,0)+(G45*_xlfn.SWITCH(TRUE,G45&lt;=1000,B$37,G45&lt;=2000,B$38,G45&lt;=3000,B$39,B$40))</f>
        <v>2322152.9697038303</v>
      </c>
      <c r="J45" s="28">
        <f t="shared" si="6"/>
        <v>999.11737738499244</v>
      </c>
      <c r="L45" s="5" t="s">
        <v>133</v>
      </c>
      <c r="M45" s="27">
        <f t="shared" si="2"/>
        <v>39964.6950953997</v>
      </c>
      <c r="N45" s="4" t="s">
        <v>13</v>
      </c>
      <c r="O45" s="6">
        <v>0</v>
      </c>
    </row>
    <row r="46" spans="1:15" x14ac:dyDescent="0.2">
      <c r="D46" s="5" t="s">
        <v>116</v>
      </c>
      <c r="E46" s="4">
        <v>5</v>
      </c>
      <c r="F46" s="5">
        <f>'EOQ Model'!K6</f>
        <v>19289</v>
      </c>
      <c r="G46" s="27">
        <v>28394.974138970498</v>
      </c>
      <c r="H46" s="27">
        <f t="shared" si="0"/>
        <v>49070.669234370202</v>
      </c>
      <c r="I46" s="27" cm="1">
        <f t="array" ref="I46">IF(G46,$B$35,0)+(G46*_xlfn.SWITCH(TRUE,G46&lt;=1000,B$37,G46&lt;=2000,B$38,G46&lt;=3000,B$39,B$40))</f>
        <v>1563223.5776433775</v>
      </c>
      <c r="J46" s="28">
        <f t="shared" si="6"/>
        <v>1226.7667308592549</v>
      </c>
      <c r="L46" s="5" t="s">
        <v>134</v>
      </c>
      <c r="M46" s="27">
        <f t="shared" si="2"/>
        <v>49070.669234370202</v>
      </c>
      <c r="N46" s="4" t="s">
        <v>13</v>
      </c>
      <c r="O46" s="6">
        <v>0</v>
      </c>
    </row>
    <row r="47" spans="1:15" x14ac:dyDescent="0.2">
      <c r="D47" s="5" t="s">
        <v>116</v>
      </c>
      <c r="E47" s="4">
        <v>6</v>
      </c>
      <c r="F47" s="5">
        <f>'EOQ Model'!K7</f>
        <v>21508</v>
      </c>
      <c r="G47" s="27">
        <v>30028.303486804856</v>
      </c>
      <c r="H47" s="27">
        <f t="shared" si="0"/>
        <v>57590.972721175058</v>
      </c>
      <c r="I47" s="27" cm="1">
        <f t="array" ref="I47">IF(G47,$B$35,0)+(G47*_xlfn.SWITCH(TRUE,G47&lt;=1000,B$37,G47&lt;=2000,B$38,G47&lt;=3000,B$39,B$40))</f>
        <v>1653056.691774267</v>
      </c>
      <c r="J47" s="28">
        <f t="shared" si="6"/>
        <v>1439.7743180293762</v>
      </c>
      <c r="L47" s="5" t="s">
        <v>135</v>
      </c>
      <c r="M47" s="27">
        <f t="shared" si="2"/>
        <v>57590.972721175058</v>
      </c>
      <c r="N47" s="4" t="s">
        <v>13</v>
      </c>
      <c r="O47" s="6">
        <v>0</v>
      </c>
    </row>
    <row r="48" spans="1:15" x14ac:dyDescent="0.2">
      <c r="D48" s="5" t="s">
        <v>116</v>
      </c>
      <c r="E48" s="4">
        <v>7</v>
      </c>
      <c r="F48" s="5">
        <f>'EOQ Model'!K8</f>
        <v>23172</v>
      </c>
      <c r="G48" s="27">
        <v>26015.615692965846</v>
      </c>
      <c r="H48" s="27">
        <f t="shared" si="0"/>
        <v>60434.588414140904</v>
      </c>
      <c r="I48" s="27" cm="1">
        <f t="array" ref="I48">IF(G48,$B$35,0)+(G48*_xlfn.SWITCH(TRUE,G48&lt;=1000,B$37,G48&lt;=2000,B$38,G48&lt;=3000,B$39,B$40))</f>
        <v>1432358.8631131216</v>
      </c>
      <c r="J48" s="28">
        <f t="shared" si="6"/>
        <v>1510.8647103535225</v>
      </c>
      <c r="L48" s="5" t="s">
        <v>136</v>
      </c>
      <c r="M48" s="27">
        <f t="shared" si="2"/>
        <v>60434.588414140904</v>
      </c>
      <c r="N48" s="4" t="s">
        <v>13</v>
      </c>
      <c r="O48" s="6">
        <v>0</v>
      </c>
    </row>
    <row r="49" spans="1:15" x14ac:dyDescent="0.2">
      <c r="D49" s="5" t="s">
        <v>116</v>
      </c>
      <c r="E49" s="4">
        <v>8</v>
      </c>
      <c r="F49" s="5">
        <f>'EOQ Model'!K9</f>
        <v>23988</v>
      </c>
      <c r="G49" s="27">
        <v>19441.367195092389</v>
      </c>
      <c r="H49" s="27">
        <f t="shared" si="0"/>
        <v>55887.955609233293</v>
      </c>
      <c r="I49" s="27" cm="1">
        <f t="array" ref="I49">IF(G49,$B$35,0)+(G49*_xlfn.SWITCH(TRUE,G49&lt;=1000,B$37,G49&lt;=2000,B$38,G49&lt;=3000,B$39,B$40))</f>
        <v>1070775.1957300813</v>
      </c>
      <c r="J49" s="28">
        <f t="shared" si="6"/>
        <v>1397.1988902308321</v>
      </c>
      <c r="L49" s="5" t="s">
        <v>137</v>
      </c>
      <c r="M49" s="27">
        <f t="shared" si="2"/>
        <v>55887.955609233293</v>
      </c>
      <c r="N49" s="4" t="s">
        <v>13</v>
      </c>
      <c r="O49" s="6">
        <v>0</v>
      </c>
    </row>
    <row r="50" spans="1:15" x14ac:dyDescent="0.2">
      <c r="D50" s="5" t="s">
        <v>116</v>
      </c>
      <c r="E50" s="4">
        <v>9</v>
      </c>
      <c r="F50" s="5">
        <f>'EOQ Model'!K10</f>
        <v>25115</v>
      </c>
      <c r="G50" s="27">
        <v>14533.463208222129</v>
      </c>
      <c r="H50" s="27">
        <f t="shared" si="0"/>
        <v>45306.418817455422</v>
      </c>
      <c r="I50" s="27" cm="1">
        <f t="array" ref="I50">IF(G50,$B$35,0)+(G50*_xlfn.SWITCH(TRUE,G50&lt;=1000,B$37,G50&lt;=2000,B$38,G50&lt;=3000,B$39,B$40))</f>
        <v>800840.47645221709</v>
      </c>
      <c r="J50" s="28">
        <f t="shared" si="6"/>
        <v>1132.6604704363854</v>
      </c>
      <c r="L50" s="5" t="s">
        <v>138</v>
      </c>
      <c r="M50" s="27">
        <f t="shared" si="2"/>
        <v>45306.418817455422</v>
      </c>
      <c r="N50" s="4" t="s">
        <v>13</v>
      </c>
      <c r="O50" s="6">
        <v>0</v>
      </c>
    </row>
    <row r="51" spans="1:15" x14ac:dyDescent="0.2">
      <c r="D51" s="5" t="s">
        <v>116</v>
      </c>
      <c r="E51" s="4">
        <v>10</v>
      </c>
      <c r="F51" s="5">
        <f>'EOQ Model'!K11</f>
        <v>25301</v>
      </c>
      <c r="G51" s="27">
        <v>10675.317879464728</v>
      </c>
      <c r="H51" s="27">
        <f t="shared" si="0"/>
        <v>30680.73669692015</v>
      </c>
      <c r="I51" s="27" cm="1">
        <f t="array" ref="I51">IF(G51,$B$35,0)+(G51*_xlfn.SWITCH(TRUE,G51&lt;=1000,B$37,G51&lt;=2000,B$38,G51&lt;=3000,B$39,B$40))</f>
        <v>588642.4833705601</v>
      </c>
      <c r="J51" s="28">
        <f t="shared" si="6"/>
        <v>767.01841742300371</v>
      </c>
      <c r="L51" s="5" t="s">
        <v>139</v>
      </c>
      <c r="M51" s="27">
        <f t="shared" si="2"/>
        <v>30680.73669692015</v>
      </c>
      <c r="N51" s="4" t="s">
        <v>13</v>
      </c>
      <c r="O51" s="6">
        <v>0</v>
      </c>
    </row>
    <row r="52" spans="1:15" x14ac:dyDescent="0.2">
      <c r="D52" s="5" t="s">
        <v>116</v>
      </c>
      <c r="E52" s="4">
        <v>11</v>
      </c>
      <c r="F52" s="5">
        <f>'EOQ Model'!K12</f>
        <v>25203</v>
      </c>
      <c r="G52" s="27">
        <v>6951.2629570406698</v>
      </c>
      <c r="H52" s="27">
        <f t="shared" si="0"/>
        <v>12428.99965396082</v>
      </c>
      <c r="I52" s="27" cm="1">
        <f t="array" ref="I52">IF(G52,$B$35,0)+(G52*_xlfn.SWITCH(TRUE,G52&lt;=1000,B$37,G52&lt;=2000,B$38,G52&lt;=3000,B$39,B$40))</f>
        <v>383819.46263723687</v>
      </c>
      <c r="J52" s="28">
        <f t="shared" si="6"/>
        <v>310.72499134902046</v>
      </c>
      <c r="L52" s="5" t="s">
        <v>140</v>
      </c>
      <c r="M52" s="27">
        <f t="shared" si="2"/>
        <v>12428.99965396082</v>
      </c>
      <c r="N52" s="4" t="s">
        <v>13</v>
      </c>
      <c r="O52" s="6">
        <v>0</v>
      </c>
    </row>
    <row r="53" spans="1:15" ht="16" thickBot="1" x14ac:dyDescent="0.25">
      <c r="D53" s="5" t="s">
        <v>116</v>
      </c>
      <c r="E53" s="34">
        <v>12</v>
      </c>
      <c r="F53" s="34">
        <f>'EOQ Model'!K13</f>
        <v>16481</v>
      </c>
      <c r="G53" s="29">
        <v>4052.0003460391854</v>
      </c>
      <c r="H53" s="29">
        <f t="shared" si="0"/>
        <v>5.4569682106375694E-12</v>
      </c>
      <c r="I53" s="29" cm="1">
        <f t="array" ref="I53">IF(G53,$B$35,0)+(G53*_xlfn.SWITCH(TRUE,G53&lt;=1000,B$37,G53&lt;=2000,B$38,G53&lt;=3000,B$39,B$40))</f>
        <v>224360.01903215519</v>
      </c>
      <c r="J53" s="30">
        <f t="shared" si="6"/>
        <v>1.3642420526593923E-13</v>
      </c>
      <c r="L53" s="5" t="s">
        <v>141</v>
      </c>
      <c r="M53" s="27">
        <f t="shared" si="2"/>
        <v>5.4569682106375694E-12</v>
      </c>
      <c r="N53" s="4" t="s">
        <v>13</v>
      </c>
      <c r="O53" s="6">
        <v>0</v>
      </c>
    </row>
    <row r="54" spans="1:15" x14ac:dyDescent="0.2">
      <c r="L54" s="5" t="s">
        <v>129</v>
      </c>
      <c r="M54" s="27">
        <f>SUM(G6:G17)</f>
        <v>621291.00000000012</v>
      </c>
      <c r="N54" s="4" t="s">
        <v>61</v>
      </c>
      <c r="O54" s="6">
        <f>'EOQ Model'!I14</f>
        <v>621291</v>
      </c>
    </row>
    <row r="55" spans="1:15" x14ac:dyDescent="0.2">
      <c r="L55" s="5" t="s">
        <v>168</v>
      </c>
      <c r="M55" s="27">
        <f>SUM(G18:G20)</f>
        <v>11379</v>
      </c>
      <c r="N55" s="4" t="s">
        <v>61</v>
      </c>
      <c r="O55" s="6">
        <f>SUM(F18:F20)</f>
        <v>11379</v>
      </c>
    </row>
    <row r="56" spans="1:15" x14ac:dyDescent="0.2">
      <c r="L56" s="5" t="s">
        <v>169</v>
      </c>
      <c r="M56" s="27">
        <f>SUM(G21:G23)</f>
        <v>14565</v>
      </c>
      <c r="N56" s="4" t="s">
        <v>61</v>
      </c>
      <c r="O56" s="6">
        <f>SUM(F21:F23)</f>
        <v>14565</v>
      </c>
    </row>
    <row r="57" spans="1:15" x14ac:dyDescent="0.2">
      <c r="L57" s="5" t="s">
        <v>170</v>
      </c>
      <c r="M57" s="27">
        <f>SUM(G24:G26)</f>
        <v>18069</v>
      </c>
      <c r="N57" s="4" t="s">
        <v>61</v>
      </c>
      <c r="O57" s="6">
        <f>SUM(F24:F26)</f>
        <v>18069</v>
      </c>
    </row>
    <row r="58" spans="1:15" x14ac:dyDescent="0.2">
      <c r="L58" s="5" t="s">
        <v>171</v>
      </c>
      <c r="M58" s="27">
        <f>SUM(G26:G28)</f>
        <v>16377.479535386308</v>
      </c>
      <c r="N58" s="4" t="s">
        <v>61</v>
      </c>
      <c r="O58" s="6">
        <f>SUM(F27:F29)</f>
        <v>18121</v>
      </c>
    </row>
    <row r="59" spans="1:15" x14ac:dyDescent="0.2">
      <c r="L59" s="5" t="s">
        <v>155</v>
      </c>
      <c r="M59" s="27">
        <f>SUM(G30:G41)</f>
        <v>186393</v>
      </c>
      <c r="N59" s="4" t="s">
        <v>61</v>
      </c>
      <c r="O59" s="6">
        <f>'EOQ Model'!J14</f>
        <v>186393</v>
      </c>
    </row>
    <row r="60" spans="1:15" ht="16" thickBot="1" x14ac:dyDescent="0.25">
      <c r="L60" s="7" t="s">
        <v>142</v>
      </c>
      <c r="M60" s="29">
        <f>SUM(G42:G53)</f>
        <v>243028</v>
      </c>
      <c r="N60" s="34" t="s">
        <v>61</v>
      </c>
      <c r="O60" s="8">
        <f>'EOQ Model'!K14</f>
        <v>243028</v>
      </c>
    </row>
    <row r="64" spans="1:15" x14ac:dyDescent="0.2">
      <c r="A64" t="s">
        <v>205</v>
      </c>
    </row>
  </sheetData>
  <mergeCells count="9">
    <mergeCell ref="L4:O4"/>
    <mergeCell ref="A1:B1"/>
    <mergeCell ref="A11:B11"/>
    <mergeCell ref="A21:B21"/>
    <mergeCell ref="A31:B31"/>
    <mergeCell ref="A16:B16"/>
    <mergeCell ref="A36:B36"/>
    <mergeCell ref="A26:B26"/>
    <mergeCell ref="A6:B6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9E61-8247-9A40-ABF5-A1968A4EF10E}">
  <dimension ref="A1:B15"/>
  <sheetViews>
    <sheetView workbookViewId="0"/>
  </sheetViews>
  <sheetFormatPr baseColWidth="10" defaultRowHeight="15" x14ac:dyDescent="0.2"/>
  <sheetData>
    <row r="1" spans="1:2" x14ac:dyDescent="0.2">
      <c r="A1">
        <v>1</v>
      </c>
    </row>
    <row r="2" spans="1:2" x14ac:dyDescent="0.2">
      <c r="A2" t="s">
        <v>97</v>
      </c>
    </row>
    <row r="3" spans="1:2" x14ac:dyDescent="0.2">
      <c r="A3">
        <v>1</v>
      </c>
    </row>
    <row r="4" spans="1:2" x14ac:dyDescent="0.2">
      <c r="A4">
        <v>95</v>
      </c>
    </row>
    <row r="5" spans="1:2" x14ac:dyDescent="0.2">
      <c r="A5">
        <v>135</v>
      </c>
    </row>
    <row r="6" spans="1:2" x14ac:dyDescent="0.2">
      <c r="A6">
        <v>5</v>
      </c>
    </row>
    <row r="8" spans="1:2" x14ac:dyDescent="0.2">
      <c r="A8" s="1"/>
      <c r="B8" s="1"/>
    </row>
    <row r="9" spans="1:2" x14ac:dyDescent="0.2">
      <c r="A9" t="s">
        <v>99</v>
      </c>
    </row>
    <row r="10" spans="1:2" x14ac:dyDescent="0.2">
      <c r="A10" t="s">
        <v>98</v>
      </c>
    </row>
    <row r="15" spans="1:2" x14ac:dyDescent="0.2">
      <c r="B1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D0E567B873EB4A852E594781883CD4" ma:contentTypeVersion="2" ma:contentTypeDescription="Create a new document." ma:contentTypeScope="" ma:versionID="700043eaf2d92f684b014734a2efacc0">
  <xsd:schema xmlns:xsd="http://www.w3.org/2001/XMLSchema" xmlns:xs="http://www.w3.org/2001/XMLSchema" xmlns:p="http://schemas.microsoft.com/office/2006/metadata/properties" xmlns:ns3="61a2e2cf-0be0-4d8d-9e5b-ac39656de7ae" targetNamespace="http://schemas.microsoft.com/office/2006/metadata/properties" ma:root="true" ma:fieldsID="a65c9ac962b09f8dbff1101155ad70da" ns3:_="">
    <xsd:import namespace="61a2e2cf-0be0-4d8d-9e5b-ac39656de7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a2e2cf-0be0-4d8d-9e5b-ac39656de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BEC556-5426-4A6F-A847-67089C446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a2e2cf-0be0-4d8d-9e5b-ac39656de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0BCD91-F3A7-4E3D-B2F6-236C5D21D550}">
  <ds:schemaRefs>
    <ds:schemaRef ds:uri="http://purl.org/dc/dcmitype/"/>
    <ds:schemaRef ds:uri="61a2e2cf-0be0-4d8d-9e5b-ac39656de7ae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115E601-6A14-455B-8A2F-A12622CBCD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Seasonality Index</vt:lpstr>
      <vt:lpstr>Forcast x SI</vt:lpstr>
      <vt:lpstr>Forecasting (using regression)</vt:lpstr>
      <vt:lpstr>EOQ Model</vt:lpstr>
      <vt:lpstr>Non Linear 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Moses Howard</dc:creator>
  <cp:keywords/>
  <dc:description/>
  <cp:lastModifiedBy>Hanvitha Vuddandi</cp:lastModifiedBy>
  <dcterms:created xsi:type="dcterms:W3CDTF">2022-04-11T05:55:48Z</dcterms:created>
  <dcterms:modified xsi:type="dcterms:W3CDTF">2024-03-10T13:31:02Z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0x01010076D0E567B873EB4A852E594781883CD4</vt:lpwstr>
  </property>
</Properties>
</file>