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rans\OneDrive\Desktop\Baja\Brakes\"/>
    </mc:Choice>
  </mc:AlternateContent>
  <xr:revisionPtr revIDLastSave="0" documentId="13_ncr:1_{458A40D4-EC27-4AF9-A06D-F5311954915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ffective Radius Calculation" sheetId="1" r:id="rId1"/>
    <sheet name="Pedal force &amp; Effect. Radi vals" sheetId="2" r:id="rId2"/>
    <sheet name="Locking Iter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3" l="1"/>
  <c r="B20" i="3" l="1"/>
  <c r="B19" i="3"/>
  <c r="B18" i="3"/>
  <c r="B37" i="3" s="1"/>
  <c r="B17" i="3"/>
  <c r="B16" i="3"/>
  <c r="B36" i="3" s="1"/>
  <c r="B15" i="3"/>
  <c r="B35" i="3" s="1"/>
  <c r="B14" i="3"/>
  <c r="B13" i="3"/>
  <c r="B12" i="3"/>
  <c r="B11" i="3"/>
  <c r="B10" i="3"/>
  <c r="B9" i="3"/>
  <c r="B8" i="3"/>
  <c r="B7" i="3"/>
  <c r="B6" i="3"/>
  <c r="B5" i="3"/>
  <c r="B32" i="3" s="1"/>
  <c r="H8" i="3" l="1"/>
  <c r="H10" i="3"/>
  <c r="H15" i="3"/>
  <c r="H35" i="3"/>
  <c r="H20" i="3"/>
  <c r="H11" i="3"/>
  <c r="H16" i="3"/>
  <c r="H24" i="3"/>
  <c r="H31" i="3"/>
  <c r="H12" i="3"/>
  <c r="H36" i="3"/>
  <c r="H17" i="3"/>
  <c r="H37" i="3"/>
  <c r="H23" i="3"/>
  <c r="H34" i="3"/>
  <c r="H28" i="3"/>
  <c r="H18" i="3"/>
  <c r="H22" i="3"/>
  <c r="H26" i="3"/>
  <c r="H32" i="3"/>
  <c r="H30" i="3"/>
  <c r="H7" i="3"/>
  <c r="H9" i="3"/>
  <c r="H14" i="3"/>
  <c r="H19" i="3"/>
  <c r="H29" i="3"/>
  <c r="H33" i="3"/>
  <c r="H25" i="3"/>
  <c r="H21" i="3"/>
  <c r="H27" i="3"/>
  <c r="H13" i="3"/>
  <c r="B51" i="3"/>
  <c r="H6" i="3"/>
  <c r="B33" i="3"/>
  <c r="B34" i="3"/>
  <c r="B41" i="3"/>
  <c r="B43" i="3"/>
  <c r="B42" i="3"/>
  <c r="J22" i="1"/>
  <c r="F8" i="2"/>
  <c r="F7" i="2"/>
  <c r="B29" i="2"/>
  <c r="B21" i="2"/>
  <c r="B20" i="2"/>
  <c r="B19" i="2"/>
  <c r="B18" i="2"/>
  <c r="B30" i="2" s="1"/>
  <c r="B17" i="2"/>
  <c r="B16" i="2"/>
  <c r="B15" i="2"/>
  <c r="B28" i="2" s="1"/>
  <c r="B14" i="2"/>
  <c r="B13" i="2"/>
  <c r="B12" i="2"/>
  <c r="B11" i="2"/>
  <c r="B10" i="2"/>
  <c r="B9" i="2"/>
  <c r="B8" i="2"/>
  <c r="B7" i="2"/>
  <c r="B6" i="2"/>
  <c r="B5" i="2"/>
  <c r="B25" i="2" s="1"/>
  <c r="J25" i="1"/>
  <c r="F26" i="1"/>
  <c r="F23" i="1"/>
  <c r="B30" i="1"/>
  <c r="B29" i="1"/>
  <c r="B28" i="1"/>
  <c r="J10" i="1"/>
  <c r="J11" i="1" s="1"/>
  <c r="B26" i="1"/>
  <c r="B25" i="1"/>
  <c r="F11" i="1" s="1"/>
  <c r="B7" i="1"/>
  <c r="B27" i="1" s="1"/>
  <c r="I28" i="3" l="1"/>
  <c r="K28" i="3" s="1"/>
  <c r="J28" i="3"/>
  <c r="L28" i="3" s="1"/>
  <c r="I16" i="3"/>
  <c r="K16" i="3" s="1"/>
  <c r="J16" i="3"/>
  <c r="L16" i="3" s="1"/>
  <c r="J7" i="3"/>
  <c r="L7" i="3" s="1"/>
  <c r="I7" i="3"/>
  <c r="K7" i="3" s="1"/>
  <c r="J37" i="3"/>
  <c r="L37" i="3" s="1"/>
  <c r="I37" i="3"/>
  <c r="K37" i="3" s="1"/>
  <c r="J20" i="3"/>
  <c r="L20" i="3" s="1"/>
  <c r="I20" i="3"/>
  <c r="K20" i="3" s="1"/>
  <c r="I13" i="3"/>
  <c r="K13" i="3" s="1"/>
  <c r="J13" i="3"/>
  <c r="L13" i="3" s="1"/>
  <c r="J11" i="3"/>
  <c r="L11" i="3" s="1"/>
  <c r="I11" i="3"/>
  <c r="K11" i="3" s="1"/>
  <c r="J25" i="3"/>
  <c r="L25" i="3" s="1"/>
  <c r="I25" i="3"/>
  <c r="K25" i="3" s="1"/>
  <c r="J35" i="3"/>
  <c r="L35" i="3" s="1"/>
  <c r="I35" i="3"/>
  <c r="K35" i="3" s="1"/>
  <c r="J9" i="3"/>
  <c r="L9" i="3" s="1"/>
  <c r="I9" i="3"/>
  <c r="K9" i="3" s="1"/>
  <c r="J23" i="3"/>
  <c r="L23" i="3" s="1"/>
  <c r="I23" i="3"/>
  <c r="K23" i="3" s="1"/>
  <c r="J30" i="3"/>
  <c r="L30" i="3" s="1"/>
  <c r="I30" i="3"/>
  <c r="K30" i="3" s="1"/>
  <c r="I33" i="3"/>
  <c r="K33" i="3" s="1"/>
  <c r="J33" i="3"/>
  <c r="L33" i="3" s="1"/>
  <c r="I26" i="3"/>
  <c r="K26" i="3" s="1"/>
  <c r="J26" i="3"/>
  <c r="L26" i="3" s="1"/>
  <c r="I36" i="3"/>
  <c r="K36" i="3" s="1"/>
  <c r="J36" i="3"/>
  <c r="L36" i="3" s="1"/>
  <c r="J15" i="3"/>
  <c r="L15" i="3" s="1"/>
  <c r="I15" i="3"/>
  <c r="K15" i="3" s="1"/>
  <c r="I24" i="3"/>
  <c r="K24" i="3" s="1"/>
  <c r="J24" i="3"/>
  <c r="L24" i="3" s="1"/>
  <c r="I27" i="3"/>
  <c r="K27" i="3" s="1"/>
  <c r="J27" i="3"/>
  <c r="L27" i="3" s="1"/>
  <c r="I21" i="3"/>
  <c r="K21" i="3" s="1"/>
  <c r="J21" i="3"/>
  <c r="L21" i="3" s="1"/>
  <c r="I32" i="3"/>
  <c r="K32" i="3" s="1"/>
  <c r="J32" i="3"/>
  <c r="L32" i="3" s="1"/>
  <c r="I29" i="3"/>
  <c r="K29" i="3" s="1"/>
  <c r="J29" i="3"/>
  <c r="L29" i="3" s="1"/>
  <c r="J22" i="3"/>
  <c r="L22" i="3" s="1"/>
  <c r="I22" i="3"/>
  <c r="K22" i="3" s="1"/>
  <c r="I12" i="3"/>
  <c r="K12" i="3" s="1"/>
  <c r="J12" i="3"/>
  <c r="L12" i="3" s="1"/>
  <c r="I10" i="3"/>
  <c r="K10" i="3" s="1"/>
  <c r="J10" i="3"/>
  <c r="L10" i="3" s="1"/>
  <c r="I14" i="3"/>
  <c r="K14" i="3" s="1"/>
  <c r="J14" i="3"/>
  <c r="L14" i="3" s="1"/>
  <c r="I34" i="3"/>
  <c r="K34" i="3" s="1"/>
  <c r="J34" i="3"/>
  <c r="L34" i="3" s="1"/>
  <c r="J17" i="3"/>
  <c r="L17" i="3" s="1"/>
  <c r="I17" i="3"/>
  <c r="K17" i="3" s="1"/>
  <c r="J6" i="3"/>
  <c r="L6" i="3" s="1"/>
  <c r="I6" i="3"/>
  <c r="K6" i="3" s="1"/>
  <c r="I19" i="3"/>
  <c r="K19" i="3" s="1"/>
  <c r="J19" i="3"/>
  <c r="L19" i="3" s="1"/>
  <c r="J18" i="3"/>
  <c r="L18" i="3" s="1"/>
  <c r="I18" i="3"/>
  <c r="K18" i="3" s="1"/>
  <c r="I31" i="3"/>
  <c r="K31" i="3" s="1"/>
  <c r="J31" i="3"/>
  <c r="L31" i="3" s="1"/>
  <c r="I8" i="3"/>
  <c r="K8" i="3" s="1"/>
  <c r="J8" i="3"/>
  <c r="L8" i="3" s="1"/>
  <c r="B52" i="3"/>
  <c r="B53" i="3" s="1"/>
  <c r="B56" i="3" s="1"/>
  <c r="B54" i="3"/>
  <c r="B55" i="3"/>
  <c r="B57" i="3" s="1"/>
  <c r="B45" i="3"/>
  <c r="B47" i="3" s="1"/>
  <c r="B44" i="3"/>
  <c r="B46" i="3" s="1"/>
  <c r="I7" i="2"/>
  <c r="B27" i="2"/>
  <c r="F33" i="2"/>
  <c r="F37" i="2"/>
  <c r="F11" i="2"/>
  <c r="F18" i="2"/>
  <c r="F22" i="2"/>
  <c r="F31" i="2"/>
  <c r="F10" i="2"/>
  <c r="F39" i="2"/>
  <c r="F16" i="2"/>
  <c r="F19" i="2"/>
  <c r="F26" i="2"/>
  <c r="F13" i="2"/>
  <c r="F34" i="2"/>
  <c r="F12" i="2"/>
  <c r="F24" i="2"/>
  <c r="F27" i="2"/>
  <c r="F36" i="2"/>
  <c r="F32" i="2"/>
  <c r="F29" i="2"/>
  <c r="F35" i="2"/>
  <c r="F15" i="2"/>
  <c r="F17" i="2"/>
  <c r="F20" i="2"/>
  <c r="F30" i="2"/>
  <c r="F9" i="2"/>
  <c r="F21" i="2"/>
  <c r="F14" i="2"/>
  <c r="F38" i="2"/>
  <c r="F23" i="2"/>
  <c r="F25" i="2"/>
  <c r="F28" i="2"/>
  <c r="F40" i="2"/>
  <c r="G8" i="2"/>
  <c r="H8" i="2" s="1"/>
  <c r="I8" i="2"/>
  <c r="J8" i="2" s="1"/>
  <c r="J7" i="2"/>
  <c r="G7" i="2"/>
  <c r="H7" i="2" s="1"/>
  <c r="B34" i="2"/>
  <c r="B36" i="2"/>
  <c r="B35" i="2"/>
  <c r="B26" i="2"/>
  <c r="J15" i="1"/>
  <c r="J16" i="1" s="1"/>
  <c r="J17" i="1" s="1"/>
  <c r="J26" i="1" s="1"/>
  <c r="J27" i="1" s="1"/>
  <c r="N18" i="1" s="1"/>
  <c r="N19" i="1" s="1"/>
  <c r="N20" i="1" s="1"/>
  <c r="J12" i="1"/>
  <c r="J13" i="1" s="1"/>
  <c r="J14" i="1" s="1"/>
  <c r="J23" i="1" s="1"/>
  <c r="J24" i="1" s="1"/>
  <c r="N14" i="1" s="1"/>
  <c r="N15" i="1" s="1"/>
  <c r="N16" i="1" s="1"/>
  <c r="F16" i="1"/>
  <c r="F18" i="1" s="1"/>
  <c r="F27" i="1" s="1"/>
  <c r="F28" i="1" s="1"/>
  <c r="F10" i="1"/>
  <c r="F17" i="1" s="1"/>
  <c r="F24" i="1" s="1"/>
  <c r="F25" i="1" s="1"/>
  <c r="B63" i="3" l="1"/>
  <c r="B28" i="3" s="1"/>
  <c r="B62" i="3"/>
  <c r="B26" i="3" s="1"/>
  <c r="B37" i="2"/>
  <c r="B39" i="2" s="1"/>
  <c r="K7" i="2"/>
  <c r="I11" i="2"/>
  <c r="J11" i="2" s="1"/>
  <c r="G11" i="2"/>
  <c r="H11" i="2" s="1"/>
  <c r="K11" i="2" s="1"/>
  <c r="I17" i="2"/>
  <c r="J17" i="2" s="1"/>
  <c r="G17" i="2"/>
  <c r="H17" i="2" s="1"/>
  <c r="K17" i="2" s="1"/>
  <c r="K8" i="2"/>
  <c r="I12" i="2"/>
  <c r="J12" i="2" s="1"/>
  <c r="G12" i="2"/>
  <c r="H12" i="2" s="1"/>
  <c r="K12" i="2" s="1"/>
  <c r="G15" i="2"/>
  <c r="H15" i="2" s="1"/>
  <c r="I15" i="2"/>
  <c r="J15" i="2" s="1"/>
  <c r="I35" i="2"/>
  <c r="J35" i="2" s="1"/>
  <c r="G35" i="2"/>
  <c r="H35" i="2" s="1"/>
  <c r="K35" i="2" s="1"/>
  <c r="G13" i="2"/>
  <c r="H13" i="2" s="1"/>
  <c r="K13" i="2" s="1"/>
  <c r="I13" i="2"/>
  <c r="J13" i="2" s="1"/>
  <c r="L13" i="2" s="1"/>
  <c r="G18" i="2"/>
  <c r="H18" i="2" s="1"/>
  <c r="K18" i="2" s="1"/>
  <c r="I18" i="2"/>
  <c r="J18" i="2" s="1"/>
  <c r="G14" i="2"/>
  <c r="H14" i="2" s="1"/>
  <c r="K14" i="2" s="1"/>
  <c r="I14" i="2"/>
  <c r="J14" i="2" s="1"/>
  <c r="G29" i="2"/>
  <c r="H29" i="2" s="1"/>
  <c r="K29" i="2" s="1"/>
  <c r="I29" i="2"/>
  <c r="J29" i="2" s="1"/>
  <c r="G26" i="2"/>
  <c r="H26" i="2" s="1"/>
  <c r="K26" i="2" s="1"/>
  <c r="I26" i="2"/>
  <c r="J26" i="2" s="1"/>
  <c r="L26" i="2" s="1"/>
  <c r="G21" i="2"/>
  <c r="H21" i="2" s="1"/>
  <c r="K21" i="2" s="1"/>
  <c r="I21" i="2"/>
  <c r="J21" i="2" s="1"/>
  <c r="I19" i="2"/>
  <c r="J19" i="2" s="1"/>
  <c r="G19" i="2"/>
  <c r="H19" i="2" s="1"/>
  <c r="K19" i="2" s="1"/>
  <c r="I36" i="2"/>
  <c r="J36" i="2" s="1"/>
  <c r="G36" i="2"/>
  <c r="H36" i="2" s="1"/>
  <c r="K36" i="2" s="1"/>
  <c r="G16" i="2"/>
  <c r="H16" i="2" s="1"/>
  <c r="K16" i="2" s="1"/>
  <c r="I16" i="2"/>
  <c r="J16" i="2" s="1"/>
  <c r="L16" i="2" s="1"/>
  <c r="G40" i="2"/>
  <c r="H40" i="2" s="1"/>
  <c r="I40" i="2"/>
  <c r="J40" i="2" s="1"/>
  <c r="G30" i="2"/>
  <c r="H30" i="2" s="1"/>
  <c r="K30" i="2" s="1"/>
  <c r="I30" i="2"/>
  <c r="J30" i="2" s="1"/>
  <c r="I27" i="2"/>
  <c r="J27" i="2" s="1"/>
  <c r="G27" i="2"/>
  <c r="H27" i="2" s="1"/>
  <c r="K27" i="2" s="1"/>
  <c r="G39" i="2"/>
  <c r="H39" i="2" s="1"/>
  <c r="I39" i="2"/>
  <c r="J39" i="2" s="1"/>
  <c r="L39" i="2" s="1"/>
  <c r="G25" i="2"/>
  <c r="H25" i="2" s="1"/>
  <c r="K25" i="2" s="1"/>
  <c r="I25" i="2"/>
  <c r="J25" i="2" s="1"/>
  <c r="G31" i="2"/>
  <c r="H31" i="2" s="1"/>
  <c r="I31" i="2"/>
  <c r="J31" i="2" s="1"/>
  <c r="G23" i="2"/>
  <c r="H23" i="2" s="1"/>
  <c r="I23" i="2"/>
  <c r="J23" i="2" s="1"/>
  <c r="G34" i="2"/>
  <c r="H34" i="2" s="1"/>
  <c r="K34" i="2" s="1"/>
  <c r="I34" i="2"/>
  <c r="J34" i="2" s="1"/>
  <c r="L34" i="2" s="1"/>
  <c r="G22" i="2"/>
  <c r="H22" i="2" s="1"/>
  <c r="K22" i="2" s="1"/>
  <c r="I22" i="2"/>
  <c r="J22" i="2" s="1"/>
  <c r="G38" i="2"/>
  <c r="H38" i="2" s="1"/>
  <c r="K38" i="2" s="1"/>
  <c r="I38" i="2"/>
  <c r="J38" i="2" s="1"/>
  <c r="G32" i="2"/>
  <c r="H32" i="2" s="1"/>
  <c r="K32" i="2" s="1"/>
  <c r="I32" i="2"/>
  <c r="J32" i="2" s="1"/>
  <c r="G37" i="2"/>
  <c r="H37" i="2" s="1"/>
  <c r="K37" i="2" s="1"/>
  <c r="I37" i="2"/>
  <c r="J37" i="2" s="1"/>
  <c r="G9" i="2"/>
  <c r="H9" i="2" s="1"/>
  <c r="K9" i="2" s="1"/>
  <c r="I9" i="2"/>
  <c r="J9" i="2" s="1"/>
  <c r="G33" i="2"/>
  <c r="H33" i="2" s="1"/>
  <c r="K33" i="2" s="1"/>
  <c r="I33" i="2"/>
  <c r="J33" i="2" s="1"/>
  <c r="B38" i="2"/>
  <c r="B40" i="2" s="1"/>
  <c r="L7" i="2" s="1"/>
  <c r="I28" i="2"/>
  <c r="J28" i="2" s="1"/>
  <c r="L28" i="2" s="1"/>
  <c r="G28" i="2"/>
  <c r="H28" i="2" s="1"/>
  <c r="K28" i="2" s="1"/>
  <c r="I20" i="2"/>
  <c r="J20" i="2" s="1"/>
  <c r="G20" i="2"/>
  <c r="H20" i="2" s="1"/>
  <c r="K20" i="2" s="1"/>
  <c r="G24" i="2"/>
  <c r="H24" i="2" s="1"/>
  <c r="K24" i="2" s="1"/>
  <c r="I24" i="2"/>
  <c r="J24" i="2" s="1"/>
  <c r="G10" i="2"/>
  <c r="H10" i="2" s="1"/>
  <c r="K10" i="2" s="1"/>
  <c r="I10" i="2"/>
  <c r="J10" i="2" s="1"/>
  <c r="M7" i="3" l="1"/>
  <c r="M29" i="3"/>
  <c r="M35" i="3"/>
  <c r="M17" i="3"/>
  <c r="M11" i="3"/>
  <c r="O11" i="3" s="1"/>
  <c r="M24" i="3"/>
  <c r="O24" i="3" s="1"/>
  <c r="M9" i="3"/>
  <c r="M28" i="3"/>
  <c r="O28" i="3" s="1"/>
  <c r="M6" i="3"/>
  <c r="M33" i="3"/>
  <c r="M20" i="3"/>
  <c r="M30" i="3"/>
  <c r="M23" i="3"/>
  <c r="M21" i="3"/>
  <c r="M8" i="3"/>
  <c r="M34" i="3"/>
  <c r="O34" i="3" s="1"/>
  <c r="M14" i="3"/>
  <c r="M25" i="3"/>
  <c r="M36" i="3"/>
  <c r="M12" i="3"/>
  <c r="M26" i="3"/>
  <c r="O26" i="3" s="1"/>
  <c r="M22" i="3"/>
  <c r="O22" i="3" s="1"/>
  <c r="M16" i="3"/>
  <c r="M13" i="3"/>
  <c r="O13" i="3" s="1"/>
  <c r="M37" i="3"/>
  <c r="M27" i="3"/>
  <c r="M18" i="3"/>
  <c r="O18" i="3" s="1"/>
  <c r="M31" i="3"/>
  <c r="M32" i="3"/>
  <c r="M19" i="3"/>
  <c r="M10" i="3"/>
  <c r="O10" i="3" s="1"/>
  <c r="M15" i="3"/>
  <c r="N20" i="3"/>
  <c r="N25" i="3"/>
  <c r="N24" i="3"/>
  <c r="N11" i="3"/>
  <c r="N6" i="3"/>
  <c r="N8" i="3"/>
  <c r="N35" i="3"/>
  <c r="N21" i="3"/>
  <c r="N30" i="3"/>
  <c r="N26" i="3"/>
  <c r="N29" i="3"/>
  <c r="N7" i="3"/>
  <c r="N17" i="3"/>
  <c r="N14" i="3"/>
  <c r="N28" i="3"/>
  <c r="N15" i="3"/>
  <c r="N22" i="3"/>
  <c r="N34" i="3"/>
  <c r="N13" i="3"/>
  <c r="N37" i="3"/>
  <c r="N23" i="3"/>
  <c r="N9" i="3"/>
  <c r="N33" i="3"/>
  <c r="N16" i="3"/>
  <c r="N12" i="3"/>
  <c r="N18" i="3"/>
  <c r="N10" i="3"/>
  <c r="N27" i="3"/>
  <c r="N36" i="3"/>
  <c r="N31" i="3"/>
  <c r="N32" i="3"/>
  <c r="N19" i="3"/>
  <c r="L29" i="2"/>
  <c r="L33" i="2"/>
  <c r="L8" i="2"/>
  <c r="L27" i="2"/>
  <c r="L36" i="2"/>
  <c r="L35" i="2"/>
  <c r="L30" i="2"/>
  <c r="L15" i="2"/>
  <c r="L19" i="2"/>
  <c r="L25" i="2"/>
  <c r="L32" i="2"/>
  <c r="L17" i="2"/>
  <c r="L40" i="2"/>
  <c r="L31" i="2"/>
  <c r="L14" i="2"/>
  <c r="L22" i="2"/>
  <c r="L21" i="2"/>
  <c r="L18" i="2"/>
  <c r="L10" i="2"/>
  <c r="L23" i="2"/>
  <c r="L24" i="2"/>
  <c r="L38" i="2"/>
  <c r="L11" i="2"/>
  <c r="L9" i="2"/>
  <c r="L20" i="2"/>
  <c r="L37" i="2"/>
  <c r="L12" i="2"/>
  <c r="K15" i="2"/>
  <c r="K31" i="2"/>
  <c r="K23" i="2"/>
  <c r="K40" i="2"/>
  <c r="K39" i="2"/>
  <c r="O8" i="3" l="1"/>
  <c r="O9" i="3"/>
  <c r="O37" i="3"/>
  <c r="O16" i="3"/>
  <c r="O31" i="3"/>
  <c r="O12" i="3"/>
  <c r="P12" i="3" s="1"/>
  <c r="O30" i="3"/>
  <c r="P30" i="3" s="1"/>
  <c r="O17" i="3"/>
  <c r="P17" i="3" s="1"/>
  <c r="S17" i="3" s="1"/>
  <c r="T17" i="3" s="1"/>
  <c r="G17" i="3" s="1"/>
  <c r="O32" i="3"/>
  <c r="P32" i="3" s="1"/>
  <c r="O36" i="3"/>
  <c r="P36" i="3" s="1"/>
  <c r="O20" i="3"/>
  <c r="P20" i="3" s="1"/>
  <c r="O35" i="3"/>
  <c r="P35" i="3" s="1"/>
  <c r="O19" i="3"/>
  <c r="P19" i="3" s="1"/>
  <c r="O21" i="3"/>
  <c r="O23" i="3"/>
  <c r="P23" i="3" s="1"/>
  <c r="O27" i="3"/>
  <c r="P27" i="3" s="1"/>
  <c r="O25" i="3"/>
  <c r="P25" i="3" s="1"/>
  <c r="O33" i="3"/>
  <c r="P33" i="3" s="1"/>
  <c r="O29" i="3"/>
  <c r="O15" i="3"/>
  <c r="P15" i="3" s="1"/>
  <c r="O14" i="3"/>
  <c r="P14" i="3" s="1"/>
  <c r="O6" i="3"/>
  <c r="P6" i="3" s="1"/>
  <c r="O7" i="3"/>
  <c r="P7" i="3" s="1"/>
  <c r="P21" i="3"/>
  <c r="P13" i="3"/>
  <c r="P34" i="3"/>
  <c r="P28" i="3"/>
  <c r="P10" i="3"/>
  <c r="P16" i="3"/>
  <c r="P8" i="3"/>
  <c r="P9" i="3"/>
  <c r="P24" i="3"/>
  <c r="P26" i="3"/>
  <c r="P11" i="3"/>
  <c r="P18" i="3"/>
  <c r="P37" i="3"/>
  <c r="P31" i="3"/>
  <c r="P29" i="3"/>
  <c r="P22" i="3"/>
  <c r="Q11" i="3" l="1"/>
  <c r="R11" i="3" s="1"/>
  <c r="F11" i="3" s="1"/>
  <c r="S11" i="3"/>
  <c r="T11" i="3" s="1"/>
  <c r="G11" i="3" s="1"/>
  <c r="Q9" i="3"/>
  <c r="R9" i="3" s="1"/>
  <c r="F9" i="3" s="1"/>
  <c r="S9" i="3"/>
  <c r="T9" i="3" s="1"/>
  <c r="G9" i="3" s="1"/>
  <c r="S20" i="3"/>
  <c r="T20" i="3" s="1"/>
  <c r="G20" i="3" s="1"/>
  <c r="Q20" i="3"/>
  <c r="R20" i="3" s="1"/>
  <c r="F20" i="3" s="1"/>
  <c r="Q8" i="3"/>
  <c r="R8" i="3" s="1"/>
  <c r="F8" i="3" s="1"/>
  <c r="S8" i="3"/>
  <c r="T8" i="3" s="1"/>
  <c r="G8" i="3" s="1"/>
  <c r="S36" i="3"/>
  <c r="T36" i="3" s="1"/>
  <c r="G36" i="3" s="1"/>
  <c r="Q36" i="3"/>
  <c r="R36" i="3" s="1"/>
  <c r="F36" i="3" s="1"/>
  <c r="S26" i="3"/>
  <c r="T26" i="3" s="1"/>
  <c r="G26" i="3" s="1"/>
  <c r="Q26" i="3"/>
  <c r="R26" i="3" s="1"/>
  <c r="F26" i="3" s="1"/>
  <c r="S18" i="3"/>
  <c r="T18" i="3" s="1"/>
  <c r="G18" i="3" s="1"/>
  <c r="Q18" i="3"/>
  <c r="R18" i="3" s="1"/>
  <c r="F18" i="3" s="1"/>
  <c r="Q10" i="3"/>
  <c r="R10" i="3" s="1"/>
  <c r="F10" i="3" s="1"/>
  <c r="S10" i="3"/>
  <c r="T10" i="3" s="1"/>
  <c r="G10" i="3" s="1"/>
  <c r="S28" i="3"/>
  <c r="T28" i="3" s="1"/>
  <c r="G28" i="3" s="1"/>
  <c r="Q28" i="3"/>
  <c r="R28" i="3" s="1"/>
  <c r="F28" i="3" s="1"/>
  <c r="S30" i="3"/>
  <c r="T30" i="3" s="1"/>
  <c r="G30" i="3" s="1"/>
  <c r="Q30" i="3"/>
  <c r="R30" i="3" s="1"/>
  <c r="F30" i="3" s="1"/>
  <c r="Q24" i="3"/>
  <c r="R24" i="3" s="1"/>
  <c r="F24" i="3" s="1"/>
  <c r="S24" i="3"/>
  <c r="T24" i="3" s="1"/>
  <c r="G24" i="3" s="1"/>
  <c r="Q34" i="3"/>
  <c r="R34" i="3" s="1"/>
  <c r="F34" i="3" s="1"/>
  <c r="S34" i="3"/>
  <c r="T34" i="3" s="1"/>
  <c r="G34" i="3" s="1"/>
  <c r="S12" i="3"/>
  <c r="T12" i="3" s="1"/>
  <c r="G12" i="3" s="1"/>
  <c r="Q12" i="3"/>
  <c r="R12" i="3" s="1"/>
  <c r="F12" i="3" s="1"/>
  <c r="S13" i="3"/>
  <c r="T13" i="3" s="1"/>
  <c r="G13" i="3" s="1"/>
  <c r="Q13" i="3"/>
  <c r="R13" i="3" s="1"/>
  <c r="F13" i="3" s="1"/>
  <c r="Q17" i="3"/>
  <c r="R17" i="3" s="1"/>
  <c r="F17" i="3" s="1"/>
  <c r="S22" i="3"/>
  <c r="T22" i="3" s="1"/>
  <c r="G22" i="3" s="1"/>
  <c r="Q22" i="3"/>
  <c r="R22" i="3" s="1"/>
  <c r="F22" i="3" s="1"/>
  <c r="S35" i="3"/>
  <c r="T35" i="3" s="1"/>
  <c r="G35" i="3" s="1"/>
  <c r="Q35" i="3"/>
  <c r="R35" i="3" s="1"/>
  <c r="F35" i="3" s="1"/>
  <c r="Q16" i="3"/>
  <c r="R16" i="3" s="1"/>
  <c r="F16" i="3" s="1"/>
  <c r="S16" i="3"/>
  <c r="T16" i="3" s="1"/>
  <c r="G16" i="3" s="1"/>
  <c r="Q7" i="3"/>
  <c r="R7" i="3" s="1"/>
  <c r="F7" i="3" s="1"/>
  <c r="S7" i="3"/>
  <c r="T7" i="3" s="1"/>
  <c r="G7" i="3" s="1"/>
  <c r="Q33" i="3"/>
  <c r="R33" i="3" s="1"/>
  <c r="F33" i="3" s="1"/>
  <c r="S33" i="3"/>
  <c r="T33" i="3" s="1"/>
  <c r="G33" i="3" s="1"/>
  <c r="Q31" i="3"/>
  <c r="R31" i="3" s="1"/>
  <c r="F31" i="3" s="1"/>
  <c r="S31" i="3"/>
  <c r="T31" i="3" s="1"/>
  <c r="G31" i="3" s="1"/>
  <c r="Q19" i="3"/>
  <c r="R19" i="3" s="1"/>
  <c r="F19" i="3" s="1"/>
  <c r="S19" i="3"/>
  <c r="T19" i="3" s="1"/>
  <c r="G19" i="3" s="1"/>
  <c r="Q6" i="3"/>
  <c r="R6" i="3" s="1"/>
  <c r="F6" i="3" s="1"/>
  <c r="S6" i="3"/>
  <c r="T6" i="3" s="1"/>
  <c r="G6" i="3" s="1"/>
  <c r="S25" i="3"/>
  <c r="T25" i="3" s="1"/>
  <c r="G25" i="3" s="1"/>
  <c r="Q25" i="3"/>
  <c r="R25" i="3" s="1"/>
  <c r="F25" i="3" s="1"/>
  <c r="Q23" i="3"/>
  <c r="R23" i="3" s="1"/>
  <c r="F23" i="3" s="1"/>
  <c r="S23" i="3"/>
  <c r="T23" i="3" s="1"/>
  <c r="G23" i="3" s="1"/>
  <c r="Q14" i="3"/>
  <c r="R14" i="3" s="1"/>
  <c r="F14" i="3" s="1"/>
  <c r="S14" i="3"/>
  <c r="T14" i="3" s="1"/>
  <c r="G14" i="3" s="1"/>
  <c r="S32" i="3"/>
  <c r="T32" i="3" s="1"/>
  <c r="G32" i="3" s="1"/>
  <c r="Q32" i="3"/>
  <c r="R32" i="3" s="1"/>
  <c r="F32" i="3" s="1"/>
  <c r="Q27" i="3"/>
  <c r="R27" i="3" s="1"/>
  <c r="F27" i="3" s="1"/>
  <c r="S27" i="3"/>
  <c r="T27" i="3" s="1"/>
  <c r="G27" i="3" s="1"/>
  <c r="Q37" i="3"/>
  <c r="R37" i="3" s="1"/>
  <c r="F37" i="3" s="1"/>
  <c r="S37" i="3"/>
  <c r="T37" i="3" s="1"/>
  <c r="G37" i="3" s="1"/>
  <c r="S21" i="3"/>
  <c r="T21" i="3" s="1"/>
  <c r="G21" i="3" s="1"/>
  <c r="Q21" i="3"/>
  <c r="R21" i="3" s="1"/>
  <c r="F21" i="3" s="1"/>
  <c r="Q15" i="3"/>
  <c r="R15" i="3" s="1"/>
  <c r="F15" i="3" s="1"/>
  <c r="S15" i="3"/>
  <c r="T15" i="3" s="1"/>
  <c r="G15" i="3" s="1"/>
  <c r="Q29" i="3"/>
  <c r="R29" i="3" s="1"/>
  <c r="F29" i="3" s="1"/>
  <c r="S29" i="3"/>
  <c r="T29" i="3" s="1"/>
  <c r="G29" i="3" s="1"/>
</calcChain>
</file>

<file path=xl/sharedStrings.xml><?xml version="1.0" encoding="utf-8"?>
<sst xmlns="http://schemas.openxmlformats.org/spreadsheetml/2006/main" count="175" uniqueCount="110">
  <si>
    <r>
      <rPr>
        <sz val="18"/>
        <color theme="1"/>
        <rFont val="Calibri"/>
        <family val="2"/>
        <scheme val="minor"/>
      </rPr>
      <t>BRAKE ANALYSIS</t>
    </r>
    <r>
      <rPr>
        <sz val="12"/>
        <color theme="1"/>
        <rFont val="Calibri"/>
        <family val="2"/>
        <scheme val="minor"/>
      </rPr>
      <t xml:space="preserve">
BNR NITK RACING</t>
    </r>
  </si>
  <si>
    <t>Inputs</t>
  </si>
  <si>
    <t>Mass of the car (kg)</t>
  </si>
  <si>
    <t>Expected rear weight bias</t>
  </si>
  <si>
    <t>Expected front weight bias</t>
  </si>
  <si>
    <t>Wheelbase (m)</t>
  </si>
  <si>
    <t>Height of CG(m)</t>
  </si>
  <si>
    <t>Coeff. Of friction between road and tyres</t>
  </si>
  <si>
    <t>Coeff. Of friction between pad and disc</t>
  </si>
  <si>
    <t>Rear brake biasing</t>
  </si>
  <si>
    <t>Front brake biasing</t>
  </si>
  <si>
    <t>Radius of tyre</t>
  </si>
  <si>
    <t>Master cylinder dia (m)</t>
  </si>
  <si>
    <t>Front Piston dia(m)</t>
  </si>
  <si>
    <t>Rear piston dia(m)</t>
  </si>
  <si>
    <t>Number of front calliper pistons</t>
  </si>
  <si>
    <t>Number of rear calliper pistons</t>
  </si>
  <si>
    <t>Pedal Ratio</t>
  </si>
  <si>
    <t>Longitudinal Distance from center of gravity to front axle:</t>
  </si>
  <si>
    <t>Longitudinal Distance from center of gravity to rear axle:</t>
  </si>
  <si>
    <t>Weight of the car (N)</t>
  </si>
  <si>
    <t>BASIC CALCULATIONS</t>
  </si>
  <si>
    <t>Max Pedal Force applied by driver:</t>
  </si>
  <si>
    <t>STATIC</t>
  </si>
  <si>
    <t>Front Axle Weight Load</t>
  </si>
  <si>
    <t>Rear Axle Weight Load</t>
  </si>
  <si>
    <t xml:space="preserve">Dynamic </t>
  </si>
  <si>
    <t>Weight Transfer</t>
  </si>
  <si>
    <t>Max Deceleration</t>
  </si>
  <si>
    <t>Dynamic Front Weight Load</t>
  </si>
  <si>
    <t>Dynamic Rear Weight Load</t>
  </si>
  <si>
    <t>Dynamic Load on single front wheel</t>
  </si>
  <si>
    <t>Dynamic Load on single rear wheel</t>
  </si>
  <si>
    <t>Frictional force on single front wheel</t>
  </si>
  <si>
    <t>Frictional force on single rear wheel</t>
  </si>
  <si>
    <t>Calliper Pressure and Force Calculations</t>
  </si>
  <si>
    <t>Force applied to master cylinder</t>
  </si>
  <si>
    <t>Pressure generated at master cylinder</t>
  </si>
  <si>
    <t>Area of master cylinder</t>
  </si>
  <si>
    <t>Area of Front piston</t>
  </si>
  <si>
    <t>Area of Rear piston</t>
  </si>
  <si>
    <t>Pressure at front wheels</t>
  </si>
  <si>
    <t>Force generated at front calliper</t>
  </si>
  <si>
    <t>Pressure at rear wheels</t>
  </si>
  <si>
    <t>Force generated at rear calliper</t>
  </si>
  <si>
    <t>Clamping force at front calliper</t>
  </si>
  <si>
    <t>Clamping force at rear calliper</t>
  </si>
  <si>
    <t>Frictional force on both front wheels</t>
  </si>
  <si>
    <t>Frictional force on both rear wheels</t>
  </si>
  <si>
    <t>Front Single wheel braking torque</t>
  </si>
  <si>
    <t>Frictional Force on tyres</t>
  </si>
  <si>
    <t>Frictional force on front disc</t>
  </si>
  <si>
    <t>Rear wheels braking torque</t>
  </si>
  <si>
    <t>Frictional force on rear disc</t>
  </si>
  <si>
    <t>Effective Radius of Front disc</t>
  </si>
  <si>
    <t>Effective Radius on Rear disc</t>
  </si>
  <si>
    <t>RESULTS</t>
  </si>
  <si>
    <t xml:space="preserve">Effective Radius for front disc: </t>
  </si>
  <si>
    <t>Effective Dia for front wheels</t>
  </si>
  <si>
    <t>Effective Radius for rear disc:</t>
  </si>
  <si>
    <t xml:space="preserve">Prefered Radius: </t>
  </si>
  <si>
    <t>Effective Dia for rear wheels</t>
  </si>
  <si>
    <r>
      <rPr>
        <sz val="18"/>
        <color theme="1"/>
        <rFont val="Calibri"/>
        <family val="2"/>
        <scheme val="minor"/>
      </rPr>
      <t>BRAKE ANALYSIS</t>
    </r>
    <r>
      <rPr>
        <sz val="11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BNR NITK RACING</t>
    </r>
  </si>
  <si>
    <t>Max Pedal force</t>
  </si>
  <si>
    <t>Force on master cylinder</t>
  </si>
  <si>
    <t>Force on front piston</t>
  </si>
  <si>
    <t>Frictional Force on front</t>
  </si>
  <si>
    <t>Static Front</t>
  </si>
  <si>
    <t>Static Rear</t>
  </si>
  <si>
    <t>Dynamic Weight Transfer</t>
  </si>
  <si>
    <t>Total Front</t>
  </si>
  <si>
    <t>Total Rear</t>
  </si>
  <si>
    <t>Brake Torque on front wheel (single)</t>
  </si>
  <si>
    <t>Brake Torque on rear wheels</t>
  </si>
  <si>
    <t>Force on Rear piston</t>
  </si>
  <si>
    <t>Frictional force on rear</t>
  </si>
  <si>
    <t>Front Effective Radii</t>
  </si>
  <si>
    <t>Rear Effective Radii</t>
  </si>
  <si>
    <r>
      <rPr>
        <sz val="18"/>
        <color theme="1"/>
        <rFont val="Calibri"/>
        <family val="2"/>
        <scheme val="minor"/>
      </rPr>
      <t>Brake Analysis</t>
    </r>
    <r>
      <rPr>
        <sz val="11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BAJA NITK RACING</t>
    </r>
  </si>
  <si>
    <t xml:space="preserve">Max Applied force by driver: </t>
  </si>
  <si>
    <t>Adjusted Front disc radius (Optional)</t>
  </si>
  <si>
    <t>Adjusted Rear disc radius (Optional)</t>
  </si>
  <si>
    <t>Basic Calculations for Effective Radius</t>
  </si>
  <si>
    <t>(Using) Rear Disc Radius</t>
  </si>
  <si>
    <t>(Using) Front Disc Radius</t>
  </si>
  <si>
    <t>Weight of car:</t>
  </si>
  <si>
    <t>Loads and dynamic transfer</t>
  </si>
  <si>
    <t>Pressure and Clamping force</t>
  </si>
  <si>
    <t>Effective Radius Calculations</t>
  </si>
  <si>
    <t>Frictional force on disc</t>
  </si>
  <si>
    <t>Frictional force on front calliper</t>
  </si>
  <si>
    <t>Frictional force on rear callipers</t>
  </si>
  <si>
    <t>Effective Radius on front</t>
  </si>
  <si>
    <t>Effective Radius on rear</t>
  </si>
  <si>
    <t>Applied force on Pedal</t>
  </si>
  <si>
    <t>Force on front callipers</t>
  </si>
  <si>
    <t>Force on Rear Callipers</t>
  </si>
  <si>
    <t>Frictional force generated on front</t>
  </si>
  <si>
    <t>Frictional force generated on rear</t>
  </si>
  <si>
    <t>Disc Braking Torque on Front</t>
  </si>
  <si>
    <t>Disc Braking Torque on Rear</t>
  </si>
  <si>
    <t>Total Braking Deceleration</t>
  </si>
  <si>
    <t>Front Wheel Friction generated</t>
  </si>
  <si>
    <t>Friction braking torque (Front)</t>
  </si>
  <si>
    <t>Rear Wheels Friction generated</t>
  </si>
  <si>
    <t>Rear Torque Generated</t>
  </si>
  <si>
    <t xml:space="preserve">Front Wheels Locking: </t>
  </si>
  <si>
    <t>Rear Wheels Locking:</t>
  </si>
  <si>
    <t>ITERATION TABLE</t>
  </si>
  <si>
    <t>Break Torque andd Effective Radius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</si>
</sst>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zoomScale="86" zoomScaleNormal="86" workbookViewId="0">
      <selection activeCell="I21" sqref="I21:J21"/>
    </sheetView>
  </sheetViews>
  <sheetFormatPr defaultRowHeight="14.4" x14ac:dyDescent="0.3"/>
  <cols>
    <col min="1" max="1" width="36" bestFit="1" customWidth="1"/>
    <col min="2" max="2" width="17.6640625" customWidth="1"/>
    <col min="5" max="5" width="34" customWidth="1"/>
    <col min="6" max="6" width="10.6640625" customWidth="1"/>
    <col min="9" max="9" width="33.44140625" bestFit="1" customWidth="1"/>
    <col min="10" max="10" width="11.33203125" customWidth="1"/>
    <col min="13" max="13" width="27.21875" bestFit="1" customWidth="1"/>
    <col min="14" max="14" width="12.21875" bestFit="1" customWidth="1"/>
  </cols>
  <sheetData>
    <row r="1" spans="1:18" ht="14.4" customHeight="1" x14ac:dyDescent="0.3">
      <c r="A1" s="5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30" customHeigh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4" spans="1:18" x14ac:dyDescent="0.3">
      <c r="A4" s="4" t="s">
        <v>1</v>
      </c>
      <c r="B4" s="4"/>
      <c r="E4" s="5" t="s">
        <v>22</v>
      </c>
      <c r="F4" s="6">
        <v>160</v>
      </c>
    </row>
    <row r="5" spans="1:18" x14ac:dyDescent="0.3">
      <c r="A5" t="s">
        <v>2</v>
      </c>
      <c r="B5">
        <v>220</v>
      </c>
      <c r="E5" s="5"/>
      <c r="F5" s="6"/>
    </row>
    <row r="6" spans="1:18" x14ac:dyDescent="0.3">
      <c r="A6" t="s">
        <v>3</v>
      </c>
      <c r="B6">
        <v>0.55000000000000004</v>
      </c>
    </row>
    <row r="7" spans="1:18" x14ac:dyDescent="0.3">
      <c r="A7" t="s">
        <v>4</v>
      </c>
      <c r="B7">
        <f>1-B6</f>
        <v>0.44999999999999996</v>
      </c>
    </row>
    <row r="8" spans="1:18" x14ac:dyDescent="0.3">
      <c r="A8" t="s">
        <v>5</v>
      </c>
      <c r="B8">
        <v>1.5</v>
      </c>
    </row>
    <row r="9" spans="1:18" x14ac:dyDescent="0.3">
      <c r="A9" t="s">
        <v>6</v>
      </c>
      <c r="B9">
        <v>0.6</v>
      </c>
      <c r="E9" s="4" t="s">
        <v>23</v>
      </c>
      <c r="F9" s="4"/>
      <c r="I9" s="4" t="s">
        <v>35</v>
      </c>
      <c r="J9" s="4"/>
    </row>
    <row r="10" spans="1:18" x14ac:dyDescent="0.3">
      <c r="A10" t="s">
        <v>7</v>
      </c>
      <c r="B10">
        <v>0.7</v>
      </c>
      <c r="E10" t="s">
        <v>24</v>
      </c>
      <c r="F10">
        <f>B25*B7</f>
        <v>971.19</v>
      </c>
      <c r="I10" t="s">
        <v>36</v>
      </c>
      <c r="J10">
        <f>F4*B20</f>
        <v>800</v>
      </c>
    </row>
    <row r="11" spans="1:18" x14ac:dyDescent="0.3">
      <c r="A11" t="s">
        <v>8</v>
      </c>
      <c r="B11">
        <v>0.4</v>
      </c>
      <c r="E11" t="s">
        <v>25</v>
      </c>
      <c r="F11">
        <f>B25*B6</f>
        <v>1187.0100000000002</v>
      </c>
      <c r="I11" t="s">
        <v>37</v>
      </c>
      <c r="J11">
        <f>J10/B28</f>
        <v>2806791.4544213121</v>
      </c>
    </row>
    <row r="12" spans="1:18" x14ac:dyDescent="0.3">
      <c r="A12" t="s">
        <v>10</v>
      </c>
      <c r="B12">
        <v>1</v>
      </c>
      <c r="I12" t="s">
        <v>41</v>
      </c>
      <c r="J12">
        <f>J11*B12</f>
        <v>2806791.4544213121</v>
      </c>
    </row>
    <row r="13" spans="1:18" x14ac:dyDescent="0.3">
      <c r="A13" t="s">
        <v>9</v>
      </c>
      <c r="B13">
        <v>1</v>
      </c>
      <c r="I13" t="s">
        <v>42</v>
      </c>
      <c r="J13">
        <f>J12*B29*B17</f>
        <v>2257.355625822363</v>
      </c>
      <c r="M13" s="4" t="s">
        <v>56</v>
      </c>
      <c r="N13" s="4"/>
    </row>
    <row r="14" spans="1:18" x14ac:dyDescent="0.3">
      <c r="A14" t="s">
        <v>11</v>
      </c>
      <c r="B14">
        <v>0.29210000000000003</v>
      </c>
      <c r="I14" t="s">
        <v>45</v>
      </c>
      <c r="J14">
        <f>J13*2</f>
        <v>4514.711251644726</v>
      </c>
      <c r="M14" t="s">
        <v>57</v>
      </c>
      <c r="N14">
        <f>J24*1000</f>
        <v>89.191646061152667</v>
      </c>
    </row>
    <row r="15" spans="1:18" x14ac:dyDescent="0.3">
      <c r="A15" t="s">
        <v>12</v>
      </c>
      <c r="B15">
        <v>1.9050000000000001E-2</v>
      </c>
      <c r="E15" s="4" t="s">
        <v>26</v>
      </c>
      <c r="F15" s="4"/>
      <c r="I15" t="s">
        <v>43</v>
      </c>
      <c r="J15">
        <f>J11*B13</f>
        <v>2806791.4544213121</v>
      </c>
      <c r="M15" t="s">
        <v>60</v>
      </c>
      <c r="N15">
        <f>N14+15</f>
        <v>104.19164606115267</v>
      </c>
    </row>
    <row r="16" spans="1:18" x14ac:dyDescent="0.3">
      <c r="A16" t="s">
        <v>13</v>
      </c>
      <c r="B16">
        <v>3.2000000000000001E-2</v>
      </c>
      <c r="E16" t="s">
        <v>27</v>
      </c>
      <c r="F16">
        <f>B25*B21*B9/B8</f>
        <v>604.29599999999994</v>
      </c>
      <c r="I16" t="s">
        <v>44</v>
      </c>
      <c r="J16">
        <f>J15*B30*B19</f>
        <v>1984.003968007936</v>
      </c>
      <c r="M16" t="s">
        <v>58</v>
      </c>
      <c r="N16" s="2">
        <f>N15*2</f>
        <v>208.38329212230533</v>
      </c>
    </row>
    <row r="17" spans="1:14" x14ac:dyDescent="0.3">
      <c r="A17" t="s">
        <v>15</v>
      </c>
      <c r="B17">
        <v>1</v>
      </c>
      <c r="E17" t="s">
        <v>29</v>
      </c>
      <c r="F17">
        <f>F10+F16</f>
        <v>1575.4859999999999</v>
      </c>
      <c r="I17" t="s">
        <v>46</v>
      </c>
      <c r="J17">
        <f>J16*2</f>
        <v>3968.007936015872</v>
      </c>
    </row>
    <row r="18" spans="1:14" x14ac:dyDescent="0.3">
      <c r="A18" t="s">
        <v>14</v>
      </c>
      <c r="B18">
        <v>0.03</v>
      </c>
      <c r="E18" t="s">
        <v>30</v>
      </c>
      <c r="F18">
        <f>F11-F16</f>
        <v>582.71400000000028</v>
      </c>
      <c r="M18" t="s">
        <v>59</v>
      </c>
      <c r="N18">
        <f>J27*1000</f>
        <v>75.067599095852387</v>
      </c>
    </row>
    <row r="19" spans="1:14" x14ac:dyDescent="0.3">
      <c r="A19" t="s">
        <v>16</v>
      </c>
      <c r="B19">
        <v>1</v>
      </c>
      <c r="M19" t="s">
        <v>60</v>
      </c>
      <c r="N19">
        <f>N18+15</f>
        <v>90.067599095852387</v>
      </c>
    </row>
    <row r="20" spans="1:14" x14ac:dyDescent="0.3">
      <c r="A20" t="s">
        <v>17</v>
      </c>
      <c r="B20">
        <v>5</v>
      </c>
      <c r="M20" t="s">
        <v>61</v>
      </c>
      <c r="N20" s="2">
        <f>N19*2</f>
        <v>180.13519819170477</v>
      </c>
    </row>
    <row r="21" spans="1:14" x14ac:dyDescent="0.3">
      <c r="A21" t="s">
        <v>28</v>
      </c>
      <c r="B21">
        <v>0.7</v>
      </c>
      <c r="I21" s="7" t="s">
        <v>109</v>
      </c>
      <c r="J21" s="8"/>
    </row>
    <row r="22" spans="1:14" x14ac:dyDescent="0.3">
      <c r="E22" s="4" t="s">
        <v>50</v>
      </c>
      <c r="F22" s="4"/>
      <c r="I22" t="s">
        <v>49</v>
      </c>
      <c r="J22">
        <f>F25*B14</f>
        <v>161.06981120999998</v>
      </c>
    </row>
    <row r="23" spans="1:14" x14ac:dyDescent="0.3">
      <c r="E23" t="s">
        <v>47</v>
      </c>
      <c r="F23">
        <f>F17*B10</f>
        <v>1102.8401999999999</v>
      </c>
      <c r="I23" t="s">
        <v>51</v>
      </c>
      <c r="J23">
        <f>J14*B11</f>
        <v>1805.8845006578904</v>
      </c>
    </row>
    <row r="24" spans="1:14" x14ac:dyDescent="0.3">
      <c r="A24" s="4" t="s">
        <v>21</v>
      </c>
      <c r="B24" s="4"/>
      <c r="E24" t="s">
        <v>31</v>
      </c>
      <c r="F24">
        <f>F17/2</f>
        <v>787.74299999999994</v>
      </c>
      <c r="I24" t="s">
        <v>54</v>
      </c>
      <c r="J24">
        <f>J22/J23</f>
        <v>8.9191646061152666E-2</v>
      </c>
    </row>
    <row r="25" spans="1:14" x14ac:dyDescent="0.3">
      <c r="A25" t="s">
        <v>20</v>
      </c>
      <c r="B25">
        <f>B5*9.81</f>
        <v>2158.2000000000003</v>
      </c>
      <c r="E25" t="s">
        <v>33</v>
      </c>
      <c r="F25">
        <f>F24*B10</f>
        <v>551.42009999999993</v>
      </c>
      <c r="I25" t="s">
        <v>52</v>
      </c>
      <c r="J25">
        <f>F26*B14</f>
        <v>119.14753158000006</v>
      </c>
    </row>
    <row r="26" spans="1:14" ht="28.8" x14ac:dyDescent="0.3">
      <c r="A26" s="1" t="s">
        <v>18</v>
      </c>
      <c r="B26">
        <f>B8*B6</f>
        <v>0.82500000000000007</v>
      </c>
      <c r="E26" t="s">
        <v>48</v>
      </c>
      <c r="F26">
        <f>F18*B10</f>
        <v>407.8998000000002</v>
      </c>
      <c r="I26" t="s">
        <v>53</v>
      </c>
      <c r="J26">
        <f>J17*B11</f>
        <v>1587.2031744063488</v>
      </c>
    </row>
    <row r="27" spans="1:14" ht="28.8" x14ac:dyDescent="0.3">
      <c r="A27" s="1" t="s">
        <v>19</v>
      </c>
      <c r="B27">
        <f>B8*B7</f>
        <v>0.67499999999999993</v>
      </c>
      <c r="E27" t="s">
        <v>32</v>
      </c>
      <c r="F27">
        <f>F18/2</f>
        <v>291.35700000000014</v>
      </c>
      <c r="I27" t="s">
        <v>55</v>
      </c>
      <c r="J27">
        <f>J25/J26</f>
        <v>7.506759909585238E-2</v>
      </c>
    </row>
    <row r="28" spans="1:14" x14ac:dyDescent="0.3">
      <c r="A28" t="s">
        <v>38</v>
      </c>
      <c r="B28">
        <f>PI()*B15*B15/4</f>
        <v>2.8502295699234248E-4</v>
      </c>
      <c r="E28" t="s">
        <v>34</v>
      </c>
      <c r="F28">
        <f>F27*B10</f>
        <v>203.9499000000001</v>
      </c>
    </row>
    <row r="29" spans="1:14" x14ac:dyDescent="0.3">
      <c r="A29" t="s">
        <v>39</v>
      </c>
      <c r="B29">
        <f>B16*PI()*B16/4</f>
        <v>8.0424771931898709E-4</v>
      </c>
    </row>
    <row r="30" spans="1:14" x14ac:dyDescent="0.3">
      <c r="A30" t="s">
        <v>40</v>
      </c>
      <c r="B30">
        <f>B18*PI()*B18/4</f>
        <v>7.0685834705770342E-4</v>
      </c>
    </row>
  </sheetData>
  <mergeCells count="11">
    <mergeCell ref="I9:J9"/>
    <mergeCell ref="M13:N13"/>
    <mergeCell ref="I21:J21"/>
    <mergeCell ref="A1:R2"/>
    <mergeCell ref="A4:B4"/>
    <mergeCell ref="A24:B24"/>
    <mergeCell ref="E4:E5"/>
    <mergeCell ref="F4:F5"/>
    <mergeCell ref="E9:F9"/>
    <mergeCell ref="E15:F15"/>
    <mergeCell ref="E22:F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417DE-A8D6-4864-8E4A-7D328098329E}">
  <dimension ref="A1:M40"/>
  <sheetViews>
    <sheetView tabSelected="1" zoomScale="82" zoomScaleNormal="90" workbookViewId="0">
      <selection activeCell="E6" sqref="E6"/>
    </sheetView>
  </sheetViews>
  <sheetFormatPr defaultRowHeight="14.4" x14ac:dyDescent="0.3"/>
  <cols>
    <col min="1" max="1" width="37.6640625" bestFit="1" customWidth="1"/>
    <col min="2" max="2" width="17.6640625" customWidth="1"/>
    <col min="5" max="5" width="14.33203125" bestFit="1" customWidth="1"/>
    <col min="6" max="6" width="21.44140625" bestFit="1" customWidth="1"/>
    <col min="7" max="7" width="18.33203125" bestFit="1" customWidth="1"/>
    <col min="8" max="8" width="20.88671875" bestFit="1" customWidth="1"/>
    <col min="9" max="9" width="26.33203125" bestFit="1" customWidth="1"/>
    <col min="10" max="10" width="24.44140625" customWidth="1"/>
    <col min="11" max="11" width="22.88671875" customWidth="1"/>
    <col min="12" max="12" width="19.21875" customWidth="1"/>
  </cols>
  <sheetData>
    <row r="1" spans="1:13" ht="14.4" customHeight="1" x14ac:dyDescent="0.3">
      <c r="A1" s="5" t="s">
        <v>62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33.6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4" spans="1:13" x14ac:dyDescent="0.3">
      <c r="A4" s="4" t="s">
        <v>1</v>
      </c>
      <c r="B4" s="4"/>
    </row>
    <row r="5" spans="1:13" x14ac:dyDescent="0.3">
      <c r="A5" t="s">
        <v>2</v>
      </c>
      <c r="B5">
        <f>'Effective Radius Calculation'!B5</f>
        <v>220</v>
      </c>
      <c r="E5" s="4" t="s">
        <v>108</v>
      </c>
      <c r="F5" s="4"/>
      <c r="G5" s="4"/>
      <c r="H5" s="4"/>
      <c r="I5" s="4"/>
      <c r="J5" s="4"/>
      <c r="K5" s="4"/>
      <c r="L5" s="4"/>
    </row>
    <row r="6" spans="1:13" x14ac:dyDescent="0.3">
      <c r="A6" t="s">
        <v>3</v>
      </c>
      <c r="B6">
        <f>'Effective Radius Calculation'!B6</f>
        <v>0.55000000000000004</v>
      </c>
      <c r="E6" t="s">
        <v>63</v>
      </c>
      <c r="F6" t="s">
        <v>64</v>
      </c>
      <c r="G6" t="s">
        <v>65</v>
      </c>
      <c r="H6" t="s">
        <v>66</v>
      </c>
      <c r="I6" t="s">
        <v>74</v>
      </c>
      <c r="J6" t="s">
        <v>75</v>
      </c>
      <c r="K6" t="s">
        <v>76</v>
      </c>
      <c r="L6" t="s">
        <v>77</v>
      </c>
    </row>
    <row r="7" spans="1:13" x14ac:dyDescent="0.3">
      <c r="A7" t="s">
        <v>4</v>
      </c>
      <c r="B7">
        <f>'Effective Radius Calculation'!B7</f>
        <v>0.44999999999999996</v>
      </c>
      <c r="E7">
        <v>150</v>
      </c>
      <c r="F7">
        <f>E7*$B$20</f>
        <v>750</v>
      </c>
      <c r="G7">
        <f>F7/$B$28*$B$29*$B$12</f>
        <v>2116.2708992084654</v>
      </c>
      <c r="H7">
        <f>G7*$B$11*2</f>
        <v>1693.0167193667723</v>
      </c>
      <c r="I7">
        <f>(F7/$B$28)*$B$30*$B$13</f>
        <v>1860.0037200074401</v>
      </c>
      <c r="J7">
        <f>I7*$B$11*2</f>
        <v>1488.0029760059522</v>
      </c>
      <c r="K7">
        <f>$B$39/H7*1000</f>
        <v>95.13775579856285</v>
      </c>
      <c r="L7">
        <f>$B$40/J7*1000</f>
        <v>80.072105702242524</v>
      </c>
    </row>
    <row r="8" spans="1:13" x14ac:dyDescent="0.3">
      <c r="A8" t="s">
        <v>5</v>
      </c>
      <c r="B8">
        <f>'Effective Radius Calculation'!B8</f>
        <v>1.5</v>
      </c>
      <c r="E8">
        <v>155</v>
      </c>
      <c r="F8">
        <f t="shared" ref="F8:F40" si="0">E8*$B$20</f>
        <v>775</v>
      </c>
      <c r="G8">
        <f t="shared" ref="G8:G40" si="1">F8/$B$28*$B$29*$B$12</f>
        <v>2186.813262515414</v>
      </c>
      <c r="H8">
        <f t="shared" ref="H8" si="2">G8*$B$11*2</f>
        <v>1749.4506100123313</v>
      </c>
      <c r="I8">
        <f t="shared" ref="I8" si="3">F8/$B$28*$B$30*$B$13</f>
        <v>1922.003844007688</v>
      </c>
      <c r="J8">
        <f t="shared" ref="J8:J40" si="4">I8*$B$11*2</f>
        <v>1537.6030752061506</v>
      </c>
      <c r="K8">
        <f t="shared" ref="K8:K9" si="5">$B$39/H8*1000</f>
        <v>92.068795934093075</v>
      </c>
      <c r="L8">
        <f t="shared" ref="L8:L9" si="6">$B$40/J8*1000</f>
        <v>77.489134550557282</v>
      </c>
    </row>
    <row r="9" spans="1:13" x14ac:dyDescent="0.3">
      <c r="A9" t="s">
        <v>6</v>
      </c>
      <c r="B9">
        <f>'Effective Radius Calculation'!B9</f>
        <v>0.6</v>
      </c>
      <c r="E9">
        <v>160</v>
      </c>
      <c r="F9">
        <f t="shared" si="0"/>
        <v>800</v>
      </c>
      <c r="G9">
        <f t="shared" si="1"/>
        <v>2257.355625822363</v>
      </c>
      <c r="H9">
        <f t="shared" ref="H9" si="7">G9*$B$11*2</f>
        <v>1805.8845006578904</v>
      </c>
      <c r="I9">
        <f t="shared" ref="I9" si="8">(F9/$B$28)*$B$30*$B$13</f>
        <v>1984.003968007936</v>
      </c>
      <c r="J9">
        <f t="shared" si="4"/>
        <v>1587.2031744063488</v>
      </c>
      <c r="K9">
        <f t="shared" si="5"/>
        <v>89.191646061152667</v>
      </c>
      <c r="L9">
        <f t="shared" si="6"/>
        <v>75.067599095852387</v>
      </c>
    </row>
    <row r="10" spans="1:13" x14ac:dyDescent="0.3">
      <c r="A10" t="s">
        <v>7</v>
      </c>
      <c r="B10">
        <f>'Effective Radius Calculation'!B10</f>
        <v>0.7</v>
      </c>
      <c r="E10">
        <v>165</v>
      </c>
      <c r="F10">
        <f t="shared" si="0"/>
        <v>825</v>
      </c>
      <c r="G10">
        <f t="shared" si="1"/>
        <v>2327.8979891293116</v>
      </c>
      <c r="H10">
        <f t="shared" ref="H10" si="9">G10*$B$11*2</f>
        <v>1862.3183913034493</v>
      </c>
      <c r="I10">
        <f t="shared" ref="I10" si="10">F10/$B$28*$B$30*$B$13</f>
        <v>2046.004092008184</v>
      </c>
      <c r="J10">
        <f t="shared" si="4"/>
        <v>1636.8032736065472</v>
      </c>
      <c r="K10">
        <f t="shared" ref="K10:K32" si="11">$B$39/H10*1000</f>
        <v>86.488868907784408</v>
      </c>
      <c r="L10">
        <f t="shared" ref="L10:L32" si="12">$B$40/J10*1000</f>
        <v>72.792823365675019</v>
      </c>
    </row>
    <row r="11" spans="1:13" x14ac:dyDescent="0.3">
      <c r="A11" t="s">
        <v>8</v>
      </c>
      <c r="B11">
        <f>'Effective Radius Calculation'!B11</f>
        <v>0.4</v>
      </c>
      <c r="E11">
        <v>170</v>
      </c>
      <c r="F11">
        <f t="shared" si="0"/>
        <v>850</v>
      </c>
      <c r="G11">
        <f t="shared" si="1"/>
        <v>2398.4403524362606</v>
      </c>
      <c r="H11">
        <f t="shared" ref="H11" si="13">G11*$B$11*2</f>
        <v>1918.7522819490086</v>
      </c>
      <c r="I11">
        <f t="shared" ref="I11" si="14">(F11/$B$28)*$B$30*$B$13</f>
        <v>2108.0042160084317</v>
      </c>
      <c r="J11">
        <f t="shared" si="4"/>
        <v>1686.4033728067454</v>
      </c>
      <c r="K11">
        <f t="shared" si="11"/>
        <v>83.945078645790744</v>
      </c>
      <c r="L11">
        <f t="shared" si="12"/>
        <v>70.651857972566944</v>
      </c>
    </row>
    <row r="12" spans="1:13" x14ac:dyDescent="0.3">
      <c r="A12" t="s">
        <v>10</v>
      </c>
      <c r="B12">
        <f>'Effective Radius Calculation'!B12</f>
        <v>1</v>
      </c>
      <c r="E12">
        <v>175</v>
      </c>
      <c r="F12">
        <f t="shared" si="0"/>
        <v>875</v>
      </c>
      <c r="G12">
        <f t="shared" si="1"/>
        <v>2468.9827157432096</v>
      </c>
      <c r="H12">
        <f t="shared" ref="H12" si="15">G12*$B$11*2</f>
        <v>1975.1861725945678</v>
      </c>
      <c r="I12">
        <f t="shared" ref="I12" si="16">F12/$B$28*$B$30*$B$13</f>
        <v>2170.0043400086797</v>
      </c>
      <c r="J12">
        <f t="shared" si="4"/>
        <v>1736.0034720069439</v>
      </c>
      <c r="K12">
        <f t="shared" si="11"/>
        <v>81.546647827339569</v>
      </c>
      <c r="L12">
        <f t="shared" si="12"/>
        <v>68.633233459065039</v>
      </c>
    </row>
    <row r="13" spans="1:13" x14ac:dyDescent="0.3">
      <c r="A13" t="s">
        <v>9</v>
      </c>
      <c r="B13">
        <f>'Effective Radius Calculation'!B13</f>
        <v>1</v>
      </c>
      <c r="E13">
        <v>180</v>
      </c>
      <c r="F13">
        <f t="shared" si="0"/>
        <v>900</v>
      </c>
      <c r="G13">
        <f t="shared" si="1"/>
        <v>2539.5250790501582</v>
      </c>
      <c r="H13">
        <f t="shared" ref="H13" si="17">G13*$B$11*2</f>
        <v>2031.6200632401267</v>
      </c>
      <c r="I13">
        <f t="shared" ref="I13" si="18">(F13/$B$28)*$B$30*$B$13</f>
        <v>2232.0044640089277</v>
      </c>
      <c r="J13">
        <f t="shared" si="4"/>
        <v>1785.6035712071423</v>
      </c>
      <c r="K13">
        <f t="shared" si="11"/>
        <v>79.281463165469034</v>
      </c>
      <c r="L13">
        <f t="shared" si="12"/>
        <v>66.726754751868782</v>
      </c>
    </row>
    <row r="14" spans="1:13" x14ac:dyDescent="0.3">
      <c r="A14" t="s">
        <v>11</v>
      </c>
      <c r="B14">
        <f>'Effective Radius Calculation'!B14</f>
        <v>0.29210000000000003</v>
      </c>
      <c r="E14">
        <v>185</v>
      </c>
      <c r="F14">
        <f t="shared" si="0"/>
        <v>925</v>
      </c>
      <c r="G14">
        <f t="shared" si="1"/>
        <v>2610.0674423571072</v>
      </c>
      <c r="H14">
        <f t="shared" ref="H14" si="19">G14*$B$11*2</f>
        <v>2088.053953885686</v>
      </c>
      <c r="I14">
        <f t="shared" ref="I14" si="20">F14/$B$28*$B$30*$B$13</f>
        <v>2294.0045880091757</v>
      </c>
      <c r="J14">
        <f t="shared" si="4"/>
        <v>1835.2036704073407</v>
      </c>
      <c r="K14">
        <f t="shared" si="11"/>
        <v>77.138720917753645</v>
      </c>
      <c r="L14">
        <f t="shared" si="12"/>
        <v>64.923328947764219</v>
      </c>
    </row>
    <row r="15" spans="1:13" x14ac:dyDescent="0.3">
      <c r="A15" t="s">
        <v>12</v>
      </c>
      <c r="B15">
        <f>'Effective Radius Calculation'!B15</f>
        <v>1.9050000000000001E-2</v>
      </c>
      <c r="E15">
        <v>190</v>
      </c>
      <c r="F15">
        <f t="shared" si="0"/>
        <v>950</v>
      </c>
      <c r="G15">
        <f t="shared" si="1"/>
        <v>2680.6098056640558</v>
      </c>
      <c r="H15">
        <f t="shared" ref="H15" si="21">G15*$B$11*2</f>
        <v>2144.4878445312447</v>
      </c>
      <c r="I15">
        <f t="shared" ref="I15" si="22">(F15/$B$28)*$B$30*$B$13</f>
        <v>2356.0047120094241</v>
      </c>
      <c r="J15">
        <f t="shared" si="4"/>
        <v>1884.8037696075394</v>
      </c>
      <c r="K15">
        <f t="shared" si="11"/>
        <v>75.108754577812789</v>
      </c>
      <c r="L15">
        <f t="shared" si="12"/>
        <v>63.214820291244102</v>
      </c>
    </row>
    <row r="16" spans="1:13" x14ac:dyDescent="0.3">
      <c r="A16" t="s">
        <v>13</v>
      </c>
      <c r="B16">
        <f>'Effective Radius Calculation'!B16</f>
        <v>3.2000000000000001E-2</v>
      </c>
      <c r="E16">
        <v>195</v>
      </c>
      <c r="F16">
        <f t="shared" si="0"/>
        <v>975</v>
      </c>
      <c r="G16">
        <f t="shared" si="1"/>
        <v>2751.1521689710048</v>
      </c>
      <c r="H16">
        <f t="shared" ref="H16" si="23">G16*$B$11*2</f>
        <v>2200.9217351768038</v>
      </c>
      <c r="I16">
        <f t="shared" ref="I16" si="24">F16/$B$28*$B$30*$B$13</f>
        <v>2418.0048360096721</v>
      </c>
      <c r="J16">
        <f t="shared" si="4"/>
        <v>1934.4038688077378</v>
      </c>
      <c r="K16">
        <f t="shared" si="11"/>
        <v>73.18288907581757</v>
      </c>
      <c r="L16">
        <f t="shared" si="12"/>
        <v>61.593927463263483</v>
      </c>
    </row>
    <row r="17" spans="1:12" x14ac:dyDescent="0.3">
      <c r="A17" t="s">
        <v>15</v>
      </c>
      <c r="B17">
        <f>'Effective Radius Calculation'!B17</f>
        <v>1</v>
      </c>
      <c r="E17">
        <v>200</v>
      </c>
      <c r="F17">
        <f t="shared" si="0"/>
        <v>1000</v>
      </c>
      <c r="G17">
        <f t="shared" si="1"/>
        <v>2821.6945322779534</v>
      </c>
      <c r="H17">
        <f t="shared" ref="H17" si="25">G17*$B$11*2</f>
        <v>2257.355625822363</v>
      </c>
      <c r="I17">
        <f t="shared" ref="I17" si="26">(F17/$B$28)*$B$30*$B$13</f>
        <v>2480.0049600099201</v>
      </c>
      <c r="J17">
        <f t="shared" si="4"/>
        <v>1984.0039680079362</v>
      </c>
      <c r="K17">
        <f t="shared" si="11"/>
        <v>71.353316848922134</v>
      </c>
      <c r="L17">
        <f t="shared" si="12"/>
        <v>60.054079276681897</v>
      </c>
    </row>
    <row r="18" spans="1:12" x14ac:dyDescent="0.3">
      <c r="A18" t="s">
        <v>14</v>
      </c>
      <c r="B18">
        <f>'Effective Radius Calculation'!B18</f>
        <v>0.03</v>
      </c>
      <c r="E18">
        <v>205</v>
      </c>
      <c r="F18">
        <f t="shared" si="0"/>
        <v>1025</v>
      </c>
      <c r="G18">
        <f t="shared" si="1"/>
        <v>2892.2368955849024</v>
      </c>
      <c r="H18">
        <f t="shared" ref="H18" si="27">G18*$B$11*2</f>
        <v>2313.7895164679221</v>
      </c>
      <c r="I18">
        <f t="shared" ref="I18" si="28">F18/$B$28*$B$30*$B$13</f>
        <v>2542.005084010168</v>
      </c>
      <c r="J18">
        <f t="shared" si="4"/>
        <v>2033.6040672081344</v>
      </c>
      <c r="K18">
        <f t="shared" si="11"/>
        <v>69.612992047728923</v>
      </c>
      <c r="L18">
        <f t="shared" si="12"/>
        <v>58.589345635787218</v>
      </c>
    </row>
    <row r="19" spans="1:12" x14ac:dyDescent="0.3">
      <c r="A19" t="s">
        <v>16</v>
      </c>
      <c r="B19">
        <f>'Effective Radius Calculation'!B19</f>
        <v>1</v>
      </c>
      <c r="E19">
        <v>210</v>
      </c>
      <c r="F19">
        <f t="shared" si="0"/>
        <v>1050</v>
      </c>
      <c r="G19">
        <f t="shared" si="1"/>
        <v>2962.7792588918514</v>
      </c>
      <c r="H19">
        <f t="shared" ref="H19" si="29">G19*$B$11*2</f>
        <v>2370.2234071134812</v>
      </c>
      <c r="I19">
        <f t="shared" ref="I19" si="30">(F19/$B$28)*$B$30*$B$13</f>
        <v>2604.005208010416</v>
      </c>
      <c r="J19">
        <f t="shared" si="4"/>
        <v>2083.2041664083331</v>
      </c>
      <c r="K19">
        <f t="shared" si="11"/>
        <v>67.955539856116317</v>
      </c>
      <c r="L19">
        <f t="shared" si="12"/>
        <v>57.194361215887518</v>
      </c>
    </row>
    <row r="20" spans="1:12" x14ac:dyDescent="0.3">
      <c r="A20" t="s">
        <v>17</v>
      </c>
      <c r="B20">
        <f>'Effective Radius Calculation'!B20</f>
        <v>5</v>
      </c>
      <c r="E20">
        <v>215</v>
      </c>
      <c r="F20">
        <f t="shared" si="0"/>
        <v>1075</v>
      </c>
      <c r="G20">
        <f t="shared" si="1"/>
        <v>3033.3216221988</v>
      </c>
      <c r="H20">
        <f t="shared" ref="H20" si="31">G20*$B$11*2</f>
        <v>2426.6572977590399</v>
      </c>
      <c r="I20">
        <f t="shared" ref="I20" si="32">F20/$B$28*$B$30*$B$13</f>
        <v>2666.005332010664</v>
      </c>
      <c r="J20">
        <f t="shared" si="4"/>
        <v>2132.8042656085313</v>
      </c>
      <c r="K20">
        <f t="shared" si="11"/>
        <v>66.375178464113617</v>
      </c>
      <c r="L20">
        <f t="shared" si="12"/>
        <v>55.864259792262224</v>
      </c>
    </row>
    <row r="21" spans="1:12" x14ac:dyDescent="0.3">
      <c r="A21" t="s">
        <v>28</v>
      </c>
      <c r="B21">
        <f>'Effective Radius Calculation'!B21</f>
        <v>0.7</v>
      </c>
      <c r="E21">
        <v>220</v>
      </c>
      <c r="F21">
        <f t="shared" si="0"/>
        <v>1100</v>
      </c>
      <c r="G21">
        <f t="shared" si="1"/>
        <v>3103.863985505749</v>
      </c>
      <c r="H21">
        <f t="shared" ref="H21" si="33">G21*$B$11*2</f>
        <v>2483.0911884045995</v>
      </c>
      <c r="I21">
        <f t="shared" ref="I21" si="34">(F21/$B$28)*$B$30*$B$13</f>
        <v>2728.005456010912</v>
      </c>
      <c r="J21">
        <f t="shared" si="4"/>
        <v>2182.4043648087295</v>
      </c>
      <c r="K21">
        <f t="shared" si="11"/>
        <v>64.866651680838302</v>
      </c>
      <c r="L21">
        <f t="shared" si="12"/>
        <v>54.594617524256279</v>
      </c>
    </row>
    <row r="22" spans="1:12" x14ac:dyDescent="0.3">
      <c r="E22">
        <v>225</v>
      </c>
      <c r="F22">
        <f t="shared" si="0"/>
        <v>1125</v>
      </c>
      <c r="G22">
        <f t="shared" si="1"/>
        <v>3174.4063488126976</v>
      </c>
      <c r="H22">
        <f t="shared" ref="H22" si="35">G22*$B$11*2</f>
        <v>2539.5250790501582</v>
      </c>
      <c r="I22">
        <f t="shared" ref="I22" si="36">F22/$B$28*$B$30*$B$13</f>
        <v>2790.00558001116</v>
      </c>
      <c r="J22">
        <f t="shared" si="4"/>
        <v>2232.0044640089282</v>
      </c>
      <c r="K22">
        <f t="shared" si="11"/>
        <v>63.425170532375233</v>
      </c>
      <c r="L22">
        <f t="shared" si="12"/>
        <v>53.381403801495019</v>
      </c>
    </row>
    <row r="23" spans="1:12" x14ac:dyDescent="0.3">
      <c r="E23">
        <v>230</v>
      </c>
      <c r="F23">
        <f t="shared" si="0"/>
        <v>1150</v>
      </c>
      <c r="G23">
        <f t="shared" si="1"/>
        <v>3244.9487121196466</v>
      </c>
      <c r="H23">
        <f t="shared" ref="H23" si="37">G23*$B$11*2</f>
        <v>2595.9589696957173</v>
      </c>
      <c r="I23">
        <f t="shared" ref="I23" si="38">(F23/$B$28)*$B$30*$B$13</f>
        <v>2852.0057040114079</v>
      </c>
      <c r="J23">
        <f t="shared" si="4"/>
        <v>2281.6045632091264</v>
      </c>
      <c r="K23">
        <f t="shared" si="11"/>
        <v>62.046362477323598</v>
      </c>
      <c r="L23">
        <f t="shared" si="12"/>
        <v>52.220938501462527</v>
      </c>
    </row>
    <row r="24" spans="1:12" x14ac:dyDescent="0.3">
      <c r="A24" s="4" t="s">
        <v>21</v>
      </c>
      <c r="B24" s="4"/>
      <c r="E24">
        <v>235</v>
      </c>
      <c r="F24">
        <f t="shared" si="0"/>
        <v>1175</v>
      </c>
      <c r="G24">
        <f t="shared" si="1"/>
        <v>3315.4910754265952</v>
      </c>
      <c r="H24">
        <f t="shared" ref="H24" si="39">G24*$B$11*2</f>
        <v>2652.3928603412764</v>
      </c>
      <c r="I24">
        <f t="shared" ref="I24" si="40">F24/$B$28*$B$30*$B$13</f>
        <v>2914.0058280116559</v>
      </c>
      <c r="J24">
        <f t="shared" si="4"/>
        <v>2331.204662409325</v>
      </c>
      <c r="K24">
        <f t="shared" si="11"/>
        <v>60.726227105465654</v>
      </c>
      <c r="L24">
        <f t="shared" si="12"/>
        <v>51.109854703559058</v>
      </c>
    </row>
    <row r="25" spans="1:12" x14ac:dyDescent="0.3">
      <c r="A25" t="s">
        <v>20</v>
      </c>
      <c r="B25">
        <f>B5*9.81</f>
        <v>2158.2000000000003</v>
      </c>
      <c r="E25">
        <v>240</v>
      </c>
      <c r="F25">
        <f t="shared" si="0"/>
        <v>1200</v>
      </c>
      <c r="G25">
        <f t="shared" si="1"/>
        <v>3386.0334387335447</v>
      </c>
      <c r="H25">
        <f t="shared" ref="H25" si="41">G25*$B$11*2</f>
        <v>2708.826750986836</v>
      </c>
      <c r="I25">
        <f t="shared" ref="I25" si="42">(F25/$B$28)*$B$30*$B$13</f>
        <v>2976.0059520119039</v>
      </c>
      <c r="J25">
        <f t="shared" si="4"/>
        <v>2380.8047616095232</v>
      </c>
      <c r="K25">
        <f t="shared" si="11"/>
        <v>59.461097374101769</v>
      </c>
      <c r="L25">
        <f t="shared" si="12"/>
        <v>50.045066063901587</v>
      </c>
    </row>
    <row r="26" spans="1:12" ht="28.8" x14ac:dyDescent="0.3">
      <c r="A26" s="1" t="s">
        <v>18</v>
      </c>
      <c r="B26">
        <f>B8*B6</f>
        <v>0.82500000000000007</v>
      </c>
      <c r="E26">
        <v>245</v>
      </c>
      <c r="F26">
        <f t="shared" si="0"/>
        <v>1225</v>
      </c>
      <c r="G26">
        <f t="shared" si="1"/>
        <v>3456.5758020404933</v>
      </c>
      <c r="H26">
        <f t="shared" ref="H26" si="43">G26*$B$11*2</f>
        <v>2765.2606416323947</v>
      </c>
      <c r="I26">
        <f t="shared" ref="I26" si="44">F26/$B$28*$B$30*$B$13</f>
        <v>3038.0060760121519</v>
      </c>
      <c r="J26">
        <f t="shared" si="4"/>
        <v>2430.4048608097214</v>
      </c>
      <c r="K26">
        <f t="shared" si="11"/>
        <v>58.247605590956844</v>
      </c>
      <c r="L26">
        <f t="shared" si="12"/>
        <v>49.023738185046454</v>
      </c>
    </row>
    <row r="27" spans="1:12" ht="28.8" x14ac:dyDescent="0.3">
      <c r="A27" s="1" t="s">
        <v>19</v>
      </c>
      <c r="B27">
        <f>B8*B7</f>
        <v>0.67499999999999993</v>
      </c>
      <c r="E27">
        <v>250</v>
      </c>
      <c r="F27">
        <f t="shared" si="0"/>
        <v>1250</v>
      </c>
      <c r="G27">
        <f t="shared" si="1"/>
        <v>3527.1181653474423</v>
      </c>
      <c r="H27">
        <f t="shared" ref="H27" si="45">G27*$B$11*2</f>
        <v>2821.6945322779538</v>
      </c>
      <c r="I27">
        <f t="shared" ref="I27" si="46">(F27/$B$28)*$B$30*$B$13</f>
        <v>3100.0062000123999</v>
      </c>
      <c r="J27">
        <f t="shared" si="4"/>
        <v>2480.0049600099201</v>
      </c>
      <c r="K27">
        <f t="shared" si="11"/>
        <v>57.082653479137704</v>
      </c>
      <c r="L27">
        <f t="shared" si="12"/>
        <v>48.043263421345515</v>
      </c>
    </row>
    <row r="28" spans="1:12" x14ac:dyDescent="0.3">
      <c r="A28" t="s">
        <v>38</v>
      </c>
      <c r="B28">
        <f>PI()*B15*B15/4</f>
        <v>2.8502295699234248E-4</v>
      </c>
      <c r="E28">
        <v>255</v>
      </c>
      <c r="F28">
        <f t="shared" si="0"/>
        <v>1275</v>
      </c>
      <c r="G28">
        <f t="shared" si="1"/>
        <v>3597.6605286543913</v>
      </c>
      <c r="H28">
        <f t="shared" ref="H28" si="47">G28*$B$11*2</f>
        <v>2878.1284229235134</v>
      </c>
      <c r="I28">
        <f t="shared" ref="I28" si="48">F28/$B$28*$B$30*$B$13</f>
        <v>3162.0063240126483</v>
      </c>
      <c r="J28">
        <f t="shared" si="4"/>
        <v>2529.6050592101187</v>
      </c>
      <c r="K28">
        <f t="shared" si="11"/>
        <v>55.963385763860487</v>
      </c>
      <c r="L28">
        <f t="shared" si="12"/>
        <v>47.101238648377951</v>
      </c>
    </row>
    <row r="29" spans="1:12" x14ac:dyDescent="0.3">
      <c r="A29" t="s">
        <v>39</v>
      </c>
      <c r="B29">
        <f>B16*PI()*B16/4</f>
        <v>8.0424771931898709E-4</v>
      </c>
      <c r="E29">
        <v>260</v>
      </c>
      <c r="F29">
        <f t="shared" si="0"/>
        <v>1300</v>
      </c>
      <c r="G29">
        <f t="shared" si="1"/>
        <v>3668.2028919613399</v>
      </c>
      <c r="H29">
        <f t="shared" ref="H29" si="49">G29*$B$11*2</f>
        <v>2934.5623135690721</v>
      </c>
      <c r="I29">
        <f t="shared" ref="I29" si="50">(F29/$B$28)*$B$30*$B$13</f>
        <v>3224.0064480128963</v>
      </c>
      <c r="J29">
        <f t="shared" si="4"/>
        <v>2579.2051584103174</v>
      </c>
      <c r="K29">
        <f t="shared" si="11"/>
        <v>54.887166806863178</v>
      </c>
      <c r="L29">
        <f t="shared" si="12"/>
        <v>46.195445597447609</v>
      </c>
    </row>
    <row r="30" spans="1:12" x14ac:dyDescent="0.3">
      <c r="A30" t="s">
        <v>40</v>
      </c>
      <c r="B30">
        <f>B18*PI()*B18/4</f>
        <v>7.0685834705770342E-4</v>
      </c>
      <c r="E30">
        <v>265</v>
      </c>
      <c r="F30">
        <f t="shared" si="0"/>
        <v>1325</v>
      </c>
      <c r="G30">
        <f t="shared" si="1"/>
        <v>3738.7452552682889</v>
      </c>
      <c r="H30">
        <f t="shared" ref="H30" si="51">G30*$B$11*2</f>
        <v>2990.9962042146312</v>
      </c>
      <c r="I30">
        <f t="shared" ref="I30" si="52">F30/$B$28*$B$30*$B$13</f>
        <v>3286.0065720131443</v>
      </c>
      <c r="J30">
        <f t="shared" si="4"/>
        <v>2628.8052576105156</v>
      </c>
      <c r="K30">
        <f t="shared" si="11"/>
        <v>53.851559885978965</v>
      </c>
      <c r="L30">
        <f t="shared" si="12"/>
        <v>45.323833416363698</v>
      </c>
    </row>
    <row r="31" spans="1:12" x14ac:dyDescent="0.3">
      <c r="E31">
        <v>270</v>
      </c>
      <c r="F31">
        <f t="shared" si="0"/>
        <v>1350</v>
      </c>
      <c r="G31">
        <f t="shared" si="1"/>
        <v>3809.2876185752375</v>
      </c>
      <c r="H31">
        <f t="shared" ref="H31" si="53">G31*$B$11*2</f>
        <v>3047.4300948601904</v>
      </c>
      <c r="I31">
        <f t="shared" ref="I31" si="54">(F31/$B$28)*$B$30*$B$13</f>
        <v>3348.0066960133922</v>
      </c>
      <c r="J31">
        <f t="shared" si="4"/>
        <v>2678.4053568107138</v>
      </c>
      <c r="K31">
        <f t="shared" si="11"/>
        <v>52.854308776979352</v>
      </c>
      <c r="L31">
        <f t="shared" si="12"/>
        <v>44.484503167912521</v>
      </c>
    </row>
    <row r="32" spans="1:12" x14ac:dyDescent="0.3">
      <c r="E32">
        <v>275</v>
      </c>
      <c r="F32">
        <f t="shared" si="0"/>
        <v>1375</v>
      </c>
      <c r="G32">
        <f t="shared" si="1"/>
        <v>3879.8299818821865</v>
      </c>
      <c r="H32">
        <f t="shared" ref="H32" si="55">G32*$B$11*2</f>
        <v>3103.8639855057495</v>
      </c>
      <c r="I32">
        <f t="shared" ref="I32" si="56">F32/$B$28*$B$30*$B$13</f>
        <v>3410.0068200136402</v>
      </c>
      <c r="J32">
        <f t="shared" si="4"/>
        <v>2728.0054560109124</v>
      </c>
      <c r="K32">
        <f t="shared" si="11"/>
        <v>51.893321344670639</v>
      </c>
      <c r="L32">
        <f t="shared" si="12"/>
        <v>43.675694019405015</v>
      </c>
    </row>
    <row r="33" spans="1:12" x14ac:dyDescent="0.3">
      <c r="A33" s="4" t="s">
        <v>27</v>
      </c>
      <c r="B33" s="4"/>
      <c r="E33">
        <v>280</v>
      </c>
      <c r="F33">
        <f>E33*$B$20</f>
        <v>1400</v>
      </c>
      <c r="G33">
        <f>F33/$B$28*$B$29*$B$12</f>
        <v>3950.3723451891351</v>
      </c>
      <c r="H33">
        <f>G33*$B$11*2</f>
        <v>3160.2978761513082</v>
      </c>
      <c r="I33">
        <f>(F33/$B$28)*$B$30*$B$13</f>
        <v>3472.0069440138882</v>
      </c>
      <c r="J33">
        <f>I33*$B$11*2</f>
        <v>2777.6055552111106</v>
      </c>
      <c r="K33">
        <f>$B$39/H33*1000</f>
        <v>50.966654892087234</v>
      </c>
      <c r="L33">
        <f>$B$40/J33*1000</f>
        <v>42.895770911915641</v>
      </c>
    </row>
    <row r="34" spans="1:12" x14ac:dyDescent="0.3">
      <c r="A34" t="s">
        <v>67</v>
      </c>
      <c r="B34">
        <f>B25*B7</f>
        <v>971.19</v>
      </c>
      <c r="E34">
        <v>285</v>
      </c>
      <c r="F34">
        <f t="shared" si="0"/>
        <v>1425</v>
      </c>
      <c r="G34">
        <f t="shared" si="1"/>
        <v>4020.9147084960841</v>
      </c>
      <c r="H34">
        <f t="shared" ref="H34:H35" si="57">G34*$B$11*2</f>
        <v>3216.7317667968673</v>
      </c>
      <c r="I34">
        <f t="shared" ref="I34" si="58">F34/$B$28*$B$30*$B$13</f>
        <v>3534.0070680141362</v>
      </c>
      <c r="J34">
        <f t="shared" si="4"/>
        <v>2827.2056544113093</v>
      </c>
      <c r="K34">
        <f t="shared" ref="K34:K40" si="59">$B$39/H34*1000</f>
        <v>50.072503051875181</v>
      </c>
      <c r="L34">
        <f t="shared" ref="L34:L40" si="60">$B$40/J34*1000</f>
        <v>42.143213527496059</v>
      </c>
    </row>
    <row r="35" spans="1:12" x14ac:dyDescent="0.3">
      <c r="A35" t="s">
        <v>68</v>
      </c>
      <c r="B35">
        <f>B25*B6</f>
        <v>1187.0100000000002</v>
      </c>
      <c r="E35">
        <v>290</v>
      </c>
      <c r="F35">
        <f t="shared" si="0"/>
        <v>1450</v>
      </c>
      <c r="G35">
        <f t="shared" si="1"/>
        <v>4091.4570718030327</v>
      </c>
      <c r="H35">
        <f t="shared" si="57"/>
        <v>3273.1656574424264</v>
      </c>
      <c r="I35">
        <f t="shared" ref="I35" si="61">(F35/$B$28)*$B$30*$B$13</f>
        <v>3596.0071920143841</v>
      </c>
      <c r="J35">
        <f t="shared" si="4"/>
        <v>2876.8057536115075</v>
      </c>
      <c r="K35">
        <f t="shared" si="59"/>
        <v>49.209184033739405</v>
      </c>
      <c r="L35">
        <f t="shared" si="60"/>
        <v>41.416606397711647</v>
      </c>
    </row>
    <row r="36" spans="1:12" x14ac:dyDescent="0.3">
      <c r="A36" t="s">
        <v>69</v>
      </c>
      <c r="B36">
        <f>B25*B21*B9/B8</f>
        <v>604.29599999999994</v>
      </c>
      <c r="E36">
        <v>295</v>
      </c>
      <c r="F36">
        <f t="shared" si="0"/>
        <v>1475</v>
      </c>
      <c r="G36">
        <f t="shared" si="1"/>
        <v>4161.9994351099822</v>
      </c>
      <c r="H36">
        <f t="shared" ref="H36:H37" si="62">G36*$B$11*2</f>
        <v>3329.599548087986</v>
      </c>
      <c r="I36">
        <f t="shared" ref="I36" si="63">F36/$B$28*$B$30*$B$13</f>
        <v>3658.0073160146321</v>
      </c>
      <c r="J36">
        <f t="shared" si="4"/>
        <v>2926.4058528117057</v>
      </c>
      <c r="K36">
        <f t="shared" si="59"/>
        <v>48.375130067065847</v>
      </c>
      <c r="L36">
        <f t="shared" si="60"/>
        <v>40.714630018089423</v>
      </c>
    </row>
    <row r="37" spans="1:12" x14ac:dyDescent="0.3">
      <c r="A37" t="s">
        <v>70</v>
      </c>
      <c r="B37">
        <f>B34+B36</f>
        <v>1575.4859999999999</v>
      </c>
      <c r="E37">
        <v>300</v>
      </c>
      <c r="F37">
        <f t="shared" si="0"/>
        <v>1500</v>
      </c>
      <c r="G37">
        <f t="shared" si="1"/>
        <v>4232.5417984169308</v>
      </c>
      <c r="H37">
        <f t="shared" si="62"/>
        <v>3386.0334387335447</v>
      </c>
      <c r="I37">
        <f t="shared" ref="I37" si="64">(F37/$B$28)*$B$30*$B$13</f>
        <v>3720.0074400148801</v>
      </c>
      <c r="J37">
        <f t="shared" si="4"/>
        <v>2976.0059520119044</v>
      </c>
      <c r="K37">
        <f t="shared" si="59"/>
        <v>47.568877899281425</v>
      </c>
      <c r="L37">
        <f t="shared" si="60"/>
        <v>40.036052851121262</v>
      </c>
    </row>
    <row r="38" spans="1:12" x14ac:dyDescent="0.3">
      <c r="A38" t="s">
        <v>71</v>
      </c>
      <c r="B38">
        <f>B35-B36</f>
        <v>582.71400000000028</v>
      </c>
      <c r="E38">
        <v>305</v>
      </c>
      <c r="F38">
        <f t="shared" si="0"/>
        <v>1525</v>
      </c>
      <c r="G38">
        <f t="shared" si="1"/>
        <v>4303.0841617238793</v>
      </c>
      <c r="H38">
        <f t="shared" ref="H38:H39" si="65">G38*$B$11*2</f>
        <v>3442.4673293791038</v>
      </c>
      <c r="I38">
        <f t="shared" ref="I38" si="66">F38/$B$28*$B$30*$B$13</f>
        <v>3782.0075640151281</v>
      </c>
      <c r="J38">
        <f t="shared" si="4"/>
        <v>3025.6060512121026</v>
      </c>
      <c r="K38">
        <f t="shared" si="59"/>
        <v>46.789060228801397</v>
      </c>
      <c r="L38">
        <f t="shared" si="60"/>
        <v>39.37972411585698</v>
      </c>
    </row>
    <row r="39" spans="1:12" x14ac:dyDescent="0.3">
      <c r="A39" t="s">
        <v>72</v>
      </c>
      <c r="B39">
        <f>B37/2*B14*B10</f>
        <v>161.06981120999998</v>
      </c>
      <c r="E39">
        <v>310</v>
      </c>
      <c r="F39">
        <f t="shared" si="0"/>
        <v>1550</v>
      </c>
      <c r="G39">
        <f t="shared" si="1"/>
        <v>4373.6265250308279</v>
      </c>
      <c r="H39">
        <f t="shared" si="65"/>
        <v>3498.9012200246625</v>
      </c>
      <c r="I39">
        <f t="shared" ref="I39" si="67">(F39/$B$28)*$B$30*$B$13</f>
        <v>3844.0076880153761</v>
      </c>
      <c r="J39">
        <f t="shared" si="4"/>
        <v>3075.2061504123012</v>
      </c>
      <c r="K39">
        <f t="shared" si="59"/>
        <v>46.034397967046537</v>
      </c>
      <c r="L39">
        <f t="shared" si="60"/>
        <v>38.744567275278641</v>
      </c>
    </row>
    <row r="40" spans="1:12" x14ac:dyDescent="0.3">
      <c r="A40" t="s">
        <v>73</v>
      </c>
      <c r="B40">
        <f>B38*B14*B10</f>
        <v>119.14753158000005</v>
      </c>
      <c r="E40">
        <v>315</v>
      </c>
      <c r="F40">
        <f t="shared" si="0"/>
        <v>1575</v>
      </c>
      <c r="G40">
        <f t="shared" si="1"/>
        <v>4444.1688883377774</v>
      </c>
      <c r="H40">
        <f t="shared" ref="H40" si="68">G40*$B$11*2</f>
        <v>3555.3351106702221</v>
      </c>
      <c r="I40">
        <f t="shared" ref="I40" si="69">F40/$B$28*$B$30*$B$13</f>
        <v>3906.007812015624</v>
      </c>
      <c r="J40">
        <f t="shared" si="4"/>
        <v>3124.8062496124994</v>
      </c>
      <c r="K40">
        <f t="shared" si="59"/>
        <v>45.303693237410876</v>
      </c>
      <c r="L40">
        <f t="shared" si="60"/>
        <v>38.129574143925012</v>
      </c>
    </row>
  </sheetData>
  <mergeCells count="5">
    <mergeCell ref="A24:B24"/>
    <mergeCell ref="A33:B33"/>
    <mergeCell ref="E5:L5"/>
    <mergeCell ref="A1:M2"/>
    <mergeCell ref="A4:B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46BB-F14E-41D7-AD1D-355FE284A704}">
  <dimension ref="A1:T63"/>
  <sheetViews>
    <sheetView zoomScale="70" zoomScaleNormal="70" workbookViewId="0">
      <selection activeCell="C62" sqref="C62"/>
    </sheetView>
  </sheetViews>
  <sheetFormatPr defaultRowHeight="14.4" x14ac:dyDescent="0.3"/>
  <cols>
    <col min="1" max="1" width="49.6640625" customWidth="1"/>
    <col min="2" max="2" width="17.6640625" customWidth="1"/>
    <col min="3" max="3" width="9.33203125" customWidth="1"/>
    <col min="4" max="4" width="8.88671875" customWidth="1"/>
    <col min="5" max="7" width="24.88671875" customWidth="1"/>
    <col min="8" max="8" width="14.21875" customWidth="1"/>
    <col min="9" max="9" width="22.21875" customWidth="1"/>
    <col min="10" max="10" width="23" customWidth="1"/>
    <col min="11" max="11" width="30.44140625" bestFit="1" customWidth="1"/>
    <col min="12" max="12" width="29.77734375" bestFit="1" customWidth="1"/>
    <col min="13" max="13" width="27" customWidth="1"/>
    <col min="14" max="14" width="25.88671875" customWidth="1"/>
    <col min="15" max="15" width="23.88671875" bestFit="1" customWidth="1"/>
    <col min="16" max="16" width="17.109375" customWidth="1"/>
    <col min="17" max="17" width="28.33203125" bestFit="1" customWidth="1"/>
    <col min="18" max="18" width="27.6640625" bestFit="1" customWidth="1"/>
    <col min="19" max="19" width="28.5546875" bestFit="1" customWidth="1"/>
    <col min="20" max="20" width="23.21875" customWidth="1"/>
  </cols>
  <sheetData>
    <row r="1" spans="1:20" ht="14.4" customHeight="1" x14ac:dyDescent="0.3">
      <c r="A1" s="5" t="s">
        <v>78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27.6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4" spans="1:20" x14ac:dyDescent="0.3">
      <c r="A4" s="4" t="s">
        <v>1</v>
      </c>
      <c r="B4" s="4"/>
      <c r="E4" s="4" t="s">
        <v>108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3">
      <c r="A5" t="s">
        <v>2</v>
      </c>
      <c r="B5">
        <f>'Effective Radius Calculation'!B5</f>
        <v>220</v>
      </c>
      <c r="E5" t="s">
        <v>94</v>
      </c>
      <c r="F5" t="s">
        <v>106</v>
      </c>
      <c r="G5" t="s">
        <v>107</v>
      </c>
      <c r="H5" t="s">
        <v>64</v>
      </c>
      <c r="I5" t="s">
        <v>95</v>
      </c>
      <c r="J5" t="s">
        <v>96</v>
      </c>
      <c r="K5" t="s">
        <v>97</v>
      </c>
      <c r="L5" t="s">
        <v>98</v>
      </c>
      <c r="M5" t="s">
        <v>99</v>
      </c>
      <c r="N5" t="s">
        <v>100</v>
      </c>
      <c r="O5" t="s">
        <v>101</v>
      </c>
      <c r="P5" t="s">
        <v>27</v>
      </c>
      <c r="Q5" t="s">
        <v>102</v>
      </c>
      <c r="R5" t="s">
        <v>103</v>
      </c>
      <c r="S5" t="s">
        <v>104</v>
      </c>
      <c r="T5" t="s">
        <v>105</v>
      </c>
    </row>
    <row r="6" spans="1:20" x14ac:dyDescent="0.3">
      <c r="A6" t="s">
        <v>3</v>
      </c>
      <c r="B6">
        <f>'Effective Radius Calculation'!B6</f>
        <v>0.55000000000000004</v>
      </c>
      <c r="E6">
        <v>10</v>
      </c>
      <c r="F6" t="str">
        <f t="shared" ref="F6:F37" si="0">IF(R6&gt;M6,"No","Yes")</f>
        <v>No</v>
      </c>
      <c r="G6" t="str">
        <f t="shared" ref="G6:G37" si="1">IF(T6&gt;N6,"No","Yes")</f>
        <v>No</v>
      </c>
      <c r="H6">
        <f>E6*$B$20</f>
        <v>50</v>
      </c>
      <c r="I6">
        <f>H6/$B$35*$B$36*$B$12</f>
        <v>141.08472661389769</v>
      </c>
      <c r="J6">
        <f>H6/$B$35*$B$37*$B$13</f>
        <v>124.000248000496</v>
      </c>
      <c r="K6">
        <f>I6*2*$B$11</f>
        <v>112.86778129111815</v>
      </c>
      <c r="L6">
        <f>J6*$B$11*2</f>
        <v>99.2001984003968</v>
      </c>
      <c r="M6">
        <f>K6*$B$26</f>
        <v>10.066863200624999</v>
      </c>
      <c r="N6">
        <f>L6*$B$28</f>
        <v>7.4467207237500039</v>
      </c>
      <c r="O6">
        <f>(M6*2+N6)/($B$14*$B$32)</f>
        <v>4.3749999999999997E-2</v>
      </c>
      <c r="P6">
        <f t="shared" ref="P6:P20" si="2">O6*$B$32*$B$9/$B$8</f>
        <v>37.768499999999996</v>
      </c>
      <c r="Q6">
        <f>($B$41+P6)*$B$10/2</f>
        <v>353.13547499999999</v>
      </c>
      <c r="R6">
        <f>Q6*$B$14</f>
        <v>103.1508722475</v>
      </c>
      <c r="S6">
        <f>($B$42-P6)*$B$10</f>
        <v>804.46905000000015</v>
      </c>
      <c r="T6">
        <f>S6*$B$14</f>
        <v>234.98540950500006</v>
      </c>
    </row>
    <row r="7" spans="1:20" x14ac:dyDescent="0.3">
      <c r="A7" t="s">
        <v>4</v>
      </c>
      <c r="B7">
        <f>'Effective Radius Calculation'!B7</f>
        <v>0.44999999999999996</v>
      </c>
      <c r="E7">
        <v>20</v>
      </c>
      <c r="F7" t="str">
        <f t="shared" si="0"/>
        <v>No</v>
      </c>
      <c r="G7" t="str">
        <f t="shared" si="1"/>
        <v>No</v>
      </c>
      <c r="H7">
        <f t="shared" ref="H7:H37" si="3">E7*$B$20</f>
        <v>100</v>
      </c>
      <c r="I7">
        <f t="shared" ref="I7:I37" si="4">H7/$B$35*$B$36*$B$12</f>
        <v>282.16945322779537</v>
      </c>
      <c r="J7">
        <f t="shared" ref="J7:J37" si="5">H7/$B$35*$B$37*$B$13</f>
        <v>248.000496000992</v>
      </c>
      <c r="K7">
        <f t="shared" ref="K7:K37" si="6">I7*2*$B$11</f>
        <v>225.7355625822363</v>
      </c>
      <c r="L7">
        <f t="shared" ref="L7:L37" si="7">J7*$B$11*2</f>
        <v>198.4003968007936</v>
      </c>
      <c r="M7">
        <f t="shared" ref="M7:M37" si="8">K7*$B$26</f>
        <v>20.133726401249998</v>
      </c>
      <c r="N7">
        <f t="shared" ref="N7:N37" si="9">L7*$B$28</f>
        <v>14.893441447500008</v>
      </c>
      <c r="O7">
        <f t="shared" ref="O7:O37" si="10">(M7*2+N7)/($B$14*$B$32)</f>
        <v>8.7499999999999994E-2</v>
      </c>
      <c r="P7">
        <f t="shared" si="2"/>
        <v>75.536999999999992</v>
      </c>
      <c r="Q7">
        <f t="shared" ref="Q7:Q37" si="11">($B$41+P7)*$B$10/2</f>
        <v>366.35444999999999</v>
      </c>
      <c r="R7">
        <f t="shared" ref="R7:R37" si="12">Q7*$B$14</f>
        <v>107.01213484500001</v>
      </c>
      <c r="S7">
        <f t="shared" ref="S7:S37" si="13">($B$42-P7)*$B$10</f>
        <v>778.03110000000004</v>
      </c>
      <c r="T7">
        <f t="shared" ref="T7:T37" si="14">S7*$B$14</f>
        <v>227.26288431000003</v>
      </c>
    </row>
    <row r="8" spans="1:20" x14ac:dyDescent="0.3">
      <c r="A8" t="s">
        <v>5</v>
      </c>
      <c r="B8">
        <f>'Effective Radius Calculation'!B8</f>
        <v>1.5</v>
      </c>
      <c r="E8">
        <v>30</v>
      </c>
      <c r="F8" t="str">
        <f t="shared" si="0"/>
        <v>No</v>
      </c>
      <c r="G8" t="str">
        <f t="shared" si="1"/>
        <v>No</v>
      </c>
      <c r="H8">
        <f t="shared" si="3"/>
        <v>150</v>
      </c>
      <c r="I8">
        <f t="shared" si="4"/>
        <v>423.25417984169309</v>
      </c>
      <c r="J8">
        <f t="shared" si="5"/>
        <v>372.00074400148799</v>
      </c>
      <c r="K8">
        <f t="shared" si="6"/>
        <v>338.6033438733545</v>
      </c>
      <c r="L8">
        <f t="shared" si="7"/>
        <v>297.6005952011904</v>
      </c>
      <c r="M8">
        <f t="shared" si="8"/>
        <v>30.200589601875002</v>
      </c>
      <c r="N8">
        <f t="shared" si="9"/>
        <v>22.340162171250011</v>
      </c>
      <c r="O8">
        <f t="shared" si="10"/>
        <v>0.13125000000000001</v>
      </c>
      <c r="P8">
        <f t="shared" si="2"/>
        <v>113.30550000000004</v>
      </c>
      <c r="Q8">
        <f t="shared" si="11"/>
        <v>379.57342499999999</v>
      </c>
      <c r="R8">
        <f t="shared" si="12"/>
        <v>110.87339744250001</v>
      </c>
      <c r="S8">
        <f t="shared" si="13"/>
        <v>751.59315000000015</v>
      </c>
      <c r="T8">
        <f t="shared" si="14"/>
        <v>219.54035911500006</v>
      </c>
    </row>
    <row r="9" spans="1:20" x14ac:dyDescent="0.3">
      <c r="A9" t="s">
        <v>6</v>
      </c>
      <c r="B9">
        <f>'Effective Radius Calculation'!B9</f>
        <v>0.6</v>
      </c>
      <c r="E9">
        <v>40</v>
      </c>
      <c r="F9" t="str">
        <f t="shared" si="0"/>
        <v>No</v>
      </c>
      <c r="G9" t="str">
        <f t="shared" si="1"/>
        <v>No</v>
      </c>
      <c r="H9">
        <f t="shared" si="3"/>
        <v>200</v>
      </c>
      <c r="I9">
        <f t="shared" si="4"/>
        <v>564.33890645559075</v>
      </c>
      <c r="J9">
        <f t="shared" si="5"/>
        <v>496.000992001984</v>
      </c>
      <c r="K9">
        <f t="shared" si="6"/>
        <v>451.4711251644726</v>
      </c>
      <c r="L9">
        <f t="shared" si="7"/>
        <v>396.8007936015872</v>
      </c>
      <c r="M9">
        <f t="shared" si="8"/>
        <v>40.267452802499996</v>
      </c>
      <c r="N9">
        <f t="shared" si="9"/>
        <v>29.786882895000016</v>
      </c>
      <c r="O9">
        <f t="shared" si="10"/>
        <v>0.17499999999999999</v>
      </c>
      <c r="P9">
        <f t="shared" si="2"/>
        <v>151.07399999999998</v>
      </c>
      <c r="Q9">
        <f t="shared" si="11"/>
        <v>392.79240000000004</v>
      </c>
      <c r="R9">
        <f t="shared" si="12"/>
        <v>114.73466004000002</v>
      </c>
      <c r="S9">
        <f t="shared" si="13"/>
        <v>725.15520000000004</v>
      </c>
      <c r="T9">
        <f t="shared" si="14"/>
        <v>211.81783392000003</v>
      </c>
    </row>
    <row r="10" spans="1:20" x14ac:dyDescent="0.3">
      <c r="A10" t="s">
        <v>7</v>
      </c>
      <c r="B10">
        <f>'Effective Radius Calculation'!B10</f>
        <v>0.7</v>
      </c>
      <c r="E10">
        <v>50</v>
      </c>
      <c r="F10" t="str">
        <f t="shared" si="0"/>
        <v>No</v>
      </c>
      <c r="G10" t="str">
        <f t="shared" si="1"/>
        <v>No</v>
      </c>
      <c r="H10">
        <f t="shared" si="3"/>
        <v>250</v>
      </c>
      <c r="I10">
        <f t="shared" si="4"/>
        <v>705.42363306948835</v>
      </c>
      <c r="J10">
        <f t="shared" si="5"/>
        <v>620.00124000248002</v>
      </c>
      <c r="K10">
        <f t="shared" si="6"/>
        <v>564.33890645559075</v>
      </c>
      <c r="L10">
        <f t="shared" si="7"/>
        <v>496.00099200198406</v>
      </c>
      <c r="M10">
        <f t="shared" si="8"/>
        <v>50.334316003124989</v>
      </c>
      <c r="N10">
        <f t="shared" si="9"/>
        <v>37.233603618750024</v>
      </c>
      <c r="O10">
        <f t="shared" si="10"/>
        <v>0.21874999999999997</v>
      </c>
      <c r="P10">
        <f t="shared" si="2"/>
        <v>188.84249999999997</v>
      </c>
      <c r="Q10">
        <f t="shared" si="11"/>
        <v>406.01137499999999</v>
      </c>
      <c r="R10">
        <f t="shared" si="12"/>
        <v>118.59592263750001</v>
      </c>
      <c r="S10">
        <f t="shared" si="13"/>
        <v>698.71725000000015</v>
      </c>
      <c r="T10">
        <f t="shared" si="14"/>
        <v>204.09530872500005</v>
      </c>
    </row>
    <row r="11" spans="1:20" x14ac:dyDescent="0.3">
      <c r="A11" t="s">
        <v>8</v>
      </c>
      <c r="B11">
        <f>'Effective Radius Calculation'!B11</f>
        <v>0.4</v>
      </c>
      <c r="E11">
        <v>60</v>
      </c>
      <c r="F11" t="str">
        <f t="shared" si="0"/>
        <v>No</v>
      </c>
      <c r="G11" t="str">
        <f t="shared" si="1"/>
        <v>No</v>
      </c>
      <c r="H11">
        <f t="shared" si="3"/>
        <v>300</v>
      </c>
      <c r="I11">
        <f t="shared" si="4"/>
        <v>846.50835968338617</v>
      </c>
      <c r="J11">
        <f t="shared" si="5"/>
        <v>744.00148800297598</v>
      </c>
      <c r="K11">
        <f t="shared" si="6"/>
        <v>677.20668774670901</v>
      </c>
      <c r="L11">
        <f t="shared" si="7"/>
        <v>595.2011904023808</v>
      </c>
      <c r="M11">
        <f t="shared" si="8"/>
        <v>60.401179203750004</v>
      </c>
      <c r="N11">
        <f t="shared" si="9"/>
        <v>44.680324342500022</v>
      </c>
      <c r="O11">
        <f t="shared" si="10"/>
        <v>0.26250000000000001</v>
      </c>
      <c r="P11">
        <f t="shared" si="2"/>
        <v>226.61100000000008</v>
      </c>
      <c r="Q11">
        <f t="shared" si="11"/>
        <v>419.23035000000004</v>
      </c>
      <c r="R11">
        <f t="shared" si="12"/>
        <v>122.45718523500003</v>
      </c>
      <c r="S11">
        <f t="shared" si="13"/>
        <v>672.27930000000003</v>
      </c>
      <c r="T11">
        <f t="shared" si="14"/>
        <v>196.37278353000002</v>
      </c>
    </row>
    <row r="12" spans="1:20" x14ac:dyDescent="0.3">
      <c r="A12" t="s">
        <v>10</v>
      </c>
      <c r="B12">
        <f>'Effective Radius Calculation'!B12</f>
        <v>1</v>
      </c>
      <c r="E12">
        <v>70</v>
      </c>
      <c r="F12" t="str">
        <f t="shared" si="0"/>
        <v>No</v>
      </c>
      <c r="G12" t="str">
        <f t="shared" si="1"/>
        <v>No</v>
      </c>
      <c r="H12">
        <f t="shared" si="3"/>
        <v>350</v>
      </c>
      <c r="I12">
        <f t="shared" si="4"/>
        <v>987.59308629728378</v>
      </c>
      <c r="J12">
        <f t="shared" si="5"/>
        <v>868.00173600347205</v>
      </c>
      <c r="K12">
        <f t="shared" si="6"/>
        <v>790.07446903782704</v>
      </c>
      <c r="L12">
        <f t="shared" si="7"/>
        <v>694.40138880277766</v>
      </c>
      <c r="M12">
        <f t="shared" si="8"/>
        <v>70.468042404374984</v>
      </c>
      <c r="N12">
        <f t="shared" si="9"/>
        <v>52.127045066250027</v>
      </c>
      <c r="O12">
        <f t="shared" si="10"/>
        <v>0.30624999999999991</v>
      </c>
      <c r="P12">
        <f t="shared" si="2"/>
        <v>264.37949999999995</v>
      </c>
      <c r="Q12">
        <f t="shared" si="11"/>
        <v>432.44932499999999</v>
      </c>
      <c r="R12">
        <f t="shared" si="12"/>
        <v>126.31844783250001</v>
      </c>
      <c r="S12">
        <f t="shared" si="13"/>
        <v>645.84135000000015</v>
      </c>
      <c r="T12">
        <f t="shared" si="14"/>
        <v>188.65025833500005</v>
      </c>
    </row>
    <row r="13" spans="1:20" x14ac:dyDescent="0.3">
      <c r="A13" t="s">
        <v>9</v>
      </c>
      <c r="B13">
        <f>'Effective Radius Calculation'!B13</f>
        <v>1</v>
      </c>
      <c r="E13">
        <v>80</v>
      </c>
      <c r="F13" t="str">
        <f t="shared" si="0"/>
        <v>No</v>
      </c>
      <c r="G13" t="str">
        <f t="shared" si="1"/>
        <v>No</v>
      </c>
      <c r="H13">
        <f t="shared" si="3"/>
        <v>400</v>
      </c>
      <c r="I13">
        <f t="shared" si="4"/>
        <v>1128.6778129111815</v>
      </c>
      <c r="J13">
        <f t="shared" si="5"/>
        <v>992.001984003968</v>
      </c>
      <c r="K13">
        <f t="shared" si="6"/>
        <v>902.94225032894519</v>
      </c>
      <c r="L13">
        <f t="shared" si="7"/>
        <v>793.6015872031744</v>
      </c>
      <c r="M13">
        <f t="shared" si="8"/>
        <v>80.534905604999992</v>
      </c>
      <c r="N13">
        <f t="shared" si="9"/>
        <v>59.573765790000031</v>
      </c>
      <c r="O13">
        <f t="shared" si="10"/>
        <v>0.35</v>
      </c>
      <c r="P13">
        <f t="shared" si="2"/>
        <v>302.14799999999997</v>
      </c>
      <c r="Q13">
        <f t="shared" si="11"/>
        <v>445.66829999999999</v>
      </c>
      <c r="R13">
        <f t="shared" si="12"/>
        <v>130.17971043</v>
      </c>
      <c r="S13">
        <f t="shared" si="13"/>
        <v>619.40340000000015</v>
      </c>
      <c r="T13">
        <f t="shared" si="14"/>
        <v>180.92773314000007</v>
      </c>
    </row>
    <row r="14" spans="1:20" x14ac:dyDescent="0.3">
      <c r="A14" t="s">
        <v>11</v>
      </c>
      <c r="B14">
        <f>'Effective Radius Calculation'!B14</f>
        <v>0.29210000000000003</v>
      </c>
      <c r="E14">
        <v>90</v>
      </c>
      <c r="F14" t="str">
        <f t="shared" si="0"/>
        <v>No</v>
      </c>
      <c r="G14" t="str">
        <f t="shared" si="1"/>
        <v>No</v>
      </c>
      <c r="H14">
        <f t="shared" si="3"/>
        <v>450</v>
      </c>
      <c r="I14">
        <f t="shared" si="4"/>
        <v>1269.7625395250791</v>
      </c>
      <c r="J14">
        <f t="shared" si="5"/>
        <v>1116.0022320044638</v>
      </c>
      <c r="K14">
        <f t="shared" si="6"/>
        <v>1015.8100316200633</v>
      </c>
      <c r="L14">
        <f t="shared" si="7"/>
        <v>892.80178560357115</v>
      </c>
      <c r="M14">
        <f t="shared" si="8"/>
        <v>90.601768805624985</v>
      </c>
      <c r="N14">
        <f t="shared" si="9"/>
        <v>67.020486513750029</v>
      </c>
      <c r="O14">
        <f t="shared" si="10"/>
        <v>0.39374999999999993</v>
      </c>
      <c r="P14">
        <f t="shared" si="2"/>
        <v>339.91649999999998</v>
      </c>
      <c r="Q14">
        <f t="shared" si="11"/>
        <v>458.88727499999999</v>
      </c>
      <c r="R14">
        <f t="shared" si="12"/>
        <v>134.0409730275</v>
      </c>
      <c r="S14">
        <f t="shared" si="13"/>
        <v>592.96545000000003</v>
      </c>
      <c r="T14">
        <f t="shared" si="14"/>
        <v>173.20520794500001</v>
      </c>
    </row>
    <row r="15" spans="1:20" x14ac:dyDescent="0.3">
      <c r="A15" t="s">
        <v>12</v>
      </c>
      <c r="B15">
        <f>'Effective Radius Calculation'!B15</f>
        <v>1.9050000000000001E-2</v>
      </c>
      <c r="E15">
        <v>100</v>
      </c>
      <c r="F15" t="str">
        <f t="shared" si="0"/>
        <v>No</v>
      </c>
      <c r="G15" t="str">
        <f t="shared" si="1"/>
        <v>No</v>
      </c>
      <c r="H15">
        <f t="shared" si="3"/>
        <v>500</v>
      </c>
      <c r="I15">
        <f t="shared" si="4"/>
        <v>1410.8472661389767</v>
      </c>
      <c r="J15">
        <f t="shared" si="5"/>
        <v>1240.00248000496</v>
      </c>
      <c r="K15">
        <f t="shared" si="6"/>
        <v>1128.6778129111815</v>
      </c>
      <c r="L15">
        <f t="shared" si="7"/>
        <v>992.00198400396812</v>
      </c>
      <c r="M15">
        <f t="shared" si="8"/>
        <v>100.66863200624998</v>
      </c>
      <c r="N15">
        <f t="shared" si="9"/>
        <v>74.467207237500048</v>
      </c>
      <c r="O15">
        <f t="shared" si="10"/>
        <v>0.43749999999999994</v>
      </c>
      <c r="P15">
        <f t="shared" si="2"/>
        <v>377.68499999999995</v>
      </c>
      <c r="Q15">
        <f t="shared" si="11"/>
        <v>472.10624999999999</v>
      </c>
      <c r="R15">
        <f t="shared" si="12"/>
        <v>137.902235625</v>
      </c>
      <c r="S15">
        <f t="shared" si="13"/>
        <v>566.52750000000015</v>
      </c>
      <c r="T15">
        <f t="shared" si="14"/>
        <v>165.48268275000007</v>
      </c>
    </row>
    <row r="16" spans="1:20" x14ac:dyDescent="0.3">
      <c r="A16" t="s">
        <v>13</v>
      </c>
      <c r="B16">
        <f>'Effective Radius Calculation'!B16</f>
        <v>3.2000000000000001E-2</v>
      </c>
      <c r="E16">
        <v>110</v>
      </c>
      <c r="F16" t="str">
        <f t="shared" si="0"/>
        <v>No</v>
      </c>
      <c r="G16" t="str">
        <f t="shared" si="1"/>
        <v>No</v>
      </c>
      <c r="H16">
        <f t="shared" si="3"/>
        <v>550</v>
      </c>
      <c r="I16">
        <f t="shared" si="4"/>
        <v>1551.9319927528745</v>
      </c>
      <c r="J16">
        <f t="shared" si="5"/>
        <v>1364.002728005456</v>
      </c>
      <c r="K16">
        <f t="shared" si="6"/>
        <v>1241.5455942022998</v>
      </c>
      <c r="L16">
        <f t="shared" si="7"/>
        <v>1091.2021824043647</v>
      </c>
      <c r="M16">
        <f t="shared" si="8"/>
        <v>110.735495206875</v>
      </c>
      <c r="N16">
        <f t="shared" si="9"/>
        <v>81.913927961250039</v>
      </c>
      <c r="O16">
        <f t="shared" si="10"/>
        <v>0.48125000000000001</v>
      </c>
      <c r="P16">
        <f t="shared" si="2"/>
        <v>415.45350000000008</v>
      </c>
      <c r="Q16">
        <f t="shared" si="11"/>
        <v>485.32522499999999</v>
      </c>
      <c r="R16">
        <f t="shared" si="12"/>
        <v>141.7634982225</v>
      </c>
      <c r="S16">
        <f t="shared" si="13"/>
        <v>540.08955000000003</v>
      </c>
      <c r="T16">
        <f t="shared" si="14"/>
        <v>157.76015755500003</v>
      </c>
    </row>
    <row r="17" spans="1:20" x14ac:dyDescent="0.3">
      <c r="A17" t="s">
        <v>15</v>
      </c>
      <c r="B17">
        <f>'Effective Radius Calculation'!B17</f>
        <v>1</v>
      </c>
      <c r="E17">
        <v>120</v>
      </c>
      <c r="F17" t="str">
        <f t="shared" si="0"/>
        <v>No</v>
      </c>
      <c r="G17" t="str">
        <f t="shared" si="1"/>
        <v>No</v>
      </c>
      <c r="H17">
        <f t="shared" si="3"/>
        <v>600</v>
      </c>
      <c r="I17">
        <f t="shared" si="4"/>
        <v>1693.0167193667723</v>
      </c>
      <c r="J17">
        <f t="shared" si="5"/>
        <v>1488.002976005952</v>
      </c>
      <c r="K17">
        <f t="shared" si="6"/>
        <v>1354.413375493418</v>
      </c>
      <c r="L17">
        <f t="shared" si="7"/>
        <v>1190.4023808047616</v>
      </c>
      <c r="M17">
        <f t="shared" si="8"/>
        <v>120.80235840750001</v>
      </c>
      <c r="N17">
        <f t="shared" si="9"/>
        <v>89.360648685000044</v>
      </c>
      <c r="O17">
        <f t="shared" si="10"/>
        <v>0.52500000000000002</v>
      </c>
      <c r="P17">
        <f t="shared" si="2"/>
        <v>453.22200000000015</v>
      </c>
      <c r="Q17">
        <f t="shared" si="11"/>
        <v>498.54420000000005</v>
      </c>
      <c r="R17">
        <f t="shared" si="12"/>
        <v>145.62476082000003</v>
      </c>
      <c r="S17">
        <f t="shared" si="13"/>
        <v>513.65160000000003</v>
      </c>
      <c r="T17">
        <f t="shared" si="14"/>
        <v>150.03763236000003</v>
      </c>
    </row>
    <row r="18" spans="1:20" x14ac:dyDescent="0.3">
      <c r="A18" t="s">
        <v>14</v>
      </c>
      <c r="B18">
        <f>'Effective Radius Calculation'!B18</f>
        <v>0.03</v>
      </c>
      <c r="E18">
        <v>130</v>
      </c>
      <c r="F18" t="str">
        <f t="shared" si="0"/>
        <v>No</v>
      </c>
      <c r="G18" t="str">
        <f t="shared" si="1"/>
        <v>No</v>
      </c>
      <c r="H18">
        <f t="shared" si="3"/>
        <v>650</v>
      </c>
      <c r="I18">
        <f t="shared" si="4"/>
        <v>1834.10144598067</v>
      </c>
      <c r="J18">
        <f t="shared" si="5"/>
        <v>1612.0032240064481</v>
      </c>
      <c r="K18">
        <f t="shared" si="6"/>
        <v>1467.2811567845361</v>
      </c>
      <c r="L18">
        <f t="shared" si="7"/>
        <v>1289.6025792051587</v>
      </c>
      <c r="M18">
        <f t="shared" si="8"/>
        <v>130.869221608125</v>
      </c>
      <c r="N18">
        <f t="shared" si="9"/>
        <v>96.807369408750063</v>
      </c>
      <c r="O18">
        <f t="shared" si="10"/>
        <v>0.56874999999999998</v>
      </c>
      <c r="P18">
        <f t="shared" si="2"/>
        <v>490.99050000000005</v>
      </c>
      <c r="Q18">
        <f t="shared" si="11"/>
        <v>511.76317500000005</v>
      </c>
      <c r="R18">
        <f t="shared" si="12"/>
        <v>149.48602341750004</v>
      </c>
      <c r="S18">
        <f t="shared" si="13"/>
        <v>487.21365000000003</v>
      </c>
      <c r="T18">
        <f t="shared" si="14"/>
        <v>142.31510716500003</v>
      </c>
    </row>
    <row r="19" spans="1:20" x14ac:dyDescent="0.3">
      <c r="A19" t="s">
        <v>16</v>
      </c>
      <c r="B19">
        <f>'Effective Radius Calculation'!B19</f>
        <v>1</v>
      </c>
      <c r="E19">
        <v>140</v>
      </c>
      <c r="F19" t="str">
        <f t="shared" si="0"/>
        <v>No</v>
      </c>
      <c r="G19" t="str">
        <f t="shared" si="1"/>
        <v>No</v>
      </c>
      <c r="H19">
        <f t="shared" si="3"/>
        <v>700</v>
      </c>
      <c r="I19">
        <f t="shared" si="4"/>
        <v>1975.1861725945676</v>
      </c>
      <c r="J19">
        <f t="shared" si="5"/>
        <v>1736.0034720069441</v>
      </c>
      <c r="K19">
        <f t="shared" si="6"/>
        <v>1580.1489380756541</v>
      </c>
      <c r="L19">
        <f t="shared" si="7"/>
        <v>1388.8027776055553</v>
      </c>
      <c r="M19">
        <f t="shared" si="8"/>
        <v>140.93608480874997</v>
      </c>
      <c r="N19">
        <f t="shared" si="9"/>
        <v>104.25409013250005</v>
      </c>
      <c r="O19">
        <f t="shared" si="10"/>
        <v>0.61249999999999982</v>
      </c>
      <c r="P19">
        <f t="shared" si="2"/>
        <v>528.7589999999999</v>
      </c>
      <c r="Q19">
        <f t="shared" si="11"/>
        <v>524.98215000000005</v>
      </c>
      <c r="R19">
        <f t="shared" si="12"/>
        <v>153.34728601500004</v>
      </c>
      <c r="S19">
        <f t="shared" si="13"/>
        <v>460.7757000000002</v>
      </c>
      <c r="T19">
        <f t="shared" si="14"/>
        <v>134.59258197000008</v>
      </c>
    </row>
    <row r="20" spans="1:20" x14ac:dyDescent="0.3">
      <c r="A20" t="s">
        <v>17</v>
      </c>
      <c r="B20">
        <f>'Effective Radius Calculation'!B20</f>
        <v>5</v>
      </c>
      <c r="E20">
        <v>150</v>
      </c>
      <c r="F20" t="str">
        <f t="shared" si="0"/>
        <v>No</v>
      </c>
      <c r="G20" t="str">
        <f t="shared" si="1"/>
        <v>No</v>
      </c>
      <c r="H20">
        <f t="shared" si="3"/>
        <v>750</v>
      </c>
      <c r="I20">
        <f t="shared" si="4"/>
        <v>2116.2708992084654</v>
      </c>
      <c r="J20">
        <f t="shared" si="5"/>
        <v>1860.0037200074401</v>
      </c>
      <c r="K20">
        <f t="shared" si="6"/>
        <v>1693.0167193667723</v>
      </c>
      <c r="L20">
        <f t="shared" si="7"/>
        <v>1488.0029760059522</v>
      </c>
      <c r="M20">
        <f t="shared" si="8"/>
        <v>151.00294800937499</v>
      </c>
      <c r="N20">
        <f t="shared" si="9"/>
        <v>111.70081085625007</v>
      </c>
      <c r="O20">
        <f t="shared" si="10"/>
        <v>0.65625</v>
      </c>
      <c r="P20">
        <f t="shared" si="2"/>
        <v>566.52750000000003</v>
      </c>
      <c r="Q20">
        <f t="shared" si="11"/>
        <v>538.20112500000005</v>
      </c>
      <c r="R20">
        <f t="shared" si="12"/>
        <v>157.20854861250004</v>
      </c>
      <c r="S20">
        <f t="shared" si="13"/>
        <v>434.33775000000009</v>
      </c>
      <c r="T20">
        <f t="shared" si="14"/>
        <v>126.87005677500004</v>
      </c>
    </row>
    <row r="21" spans="1:20" x14ac:dyDescent="0.3">
      <c r="A21" t="s">
        <v>28</v>
      </c>
      <c r="B21">
        <f>'Effective Radius Calculation'!B21</f>
        <v>0.7</v>
      </c>
      <c r="E21" s="3">
        <v>160</v>
      </c>
      <c r="F21" s="3" t="str">
        <f t="shared" si="0"/>
        <v>Yes</v>
      </c>
      <c r="G21" s="3" t="str">
        <f t="shared" si="1"/>
        <v>Yes</v>
      </c>
      <c r="H21" s="3">
        <f t="shared" si="3"/>
        <v>800</v>
      </c>
      <c r="I21" s="3">
        <f t="shared" si="4"/>
        <v>2257.355625822363</v>
      </c>
      <c r="J21" s="3">
        <f t="shared" si="5"/>
        <v>1984.003968007936</v>
      </c>
      <c r="K21" s="3">
        <f t="shared" si="6"/>
        <v>1805.8845006578904</v>
      </c>
      <c r="L21" s="3">
        <f t="shared" si="7"/>
        <v>1587.2031744063488</v>
      </c>
      <c r="M21" s="3">
        <f t="shared" si="8"/>
        <v>161.06981120999998</v>
      </c>
      <c r="N21" s="3">
        <f t="shared" si="9"/>
        <v>119.14753158000006</v>
      </c>
      <c r="O21" s="3">
        <f t="shared" si="10"/>
        <v>0.7</v>
      </c>
      <c r="P21" s="3">
        <f t="shared" ref="P21" si="15">O21*$B$32*$B$9/$B$8</f>
        <v>604.29599999999994</v>
      </c>
      <c r="Q21" s="3">
        <f t="shared" si="11"/>
        <v>551.42009999999993</v>
      </c>
      <c r="R21" s="3">
        <f t="shared" si="12"/>
        <v>161.06981120999998</v>
      </c>
      <c r="S21" s="3">
        <f t="shared" si="13"/>
        <v>407.8998000000002</v>
      </c>
      <c r="T21" s="3">
        <f t="shared" si="14"/>
        <v>119.14753158000006</v>
      </c>
    </row>
    <row r="22" spans="1:20" x14ac:dyDescent="0.3">
      <c r="E22">
        <v>170</v>
      </c>
      <c r="F22" t="str">
        <f t="shared" si="0"/>
        <v>Yes</v>
      </c>
      <c r="G22" t="str">
        <f t="shared" si="1"/>
        <v>Yes</v>
      </c>
      <c r="H22">
        <f t="shared" si="3"/>
        <v>850</v>
      </c>
      <c r="I22">
        <f t="shared" si="4"/>
        <v>2398.4403524362606</v>
      </c>
      <c r="J22">
        <f t="shared" si="5"/>
        <v>2108.0042160084317</v>
      </c>
      <c r="K22">
        <f t="shared" si="6"/>
        <v>1918.7522819490086</v>
      </c>
      <c r="L22">
        <f t="shared" si="7"/>
        <v>1686.4033728067454</v>
      </c>
      <c r="M22">
        <f t="shared" si="8"/>
        <v>171.13667441062498</v>
      </c>
      <c r="N22">
        <f t="shared" si="9"/>
        <v>126.59425230375005</v>
      </c>
      <c r="O22">
        <f t="shared" si="10"/>
        <v>0.74374999999999991</v>
      </c>
      <c r="P22">
        <f t="shared" ref="P22:P37" si="16">O22*$B$32*$B$9/$B$8</f>
        <v>642.06450000000007</v>
      </c>
      <c r="Q22">
        <f t="shared" si="11"/>
        <v>564.63907499999993</v>
      </c>
      <c r="R22">
        <f t="shared" si="12"/>
        <v>164.93107380749998</v>
      </c>
      <c r="S22">
        <f t="shared" si="13"/>
        <v>381.46185000000008</v>
      </c>
      <c r="T22">
        <f t="shared" si="14"/>
        <v>111.42500638500003</v>
      </c>
    </row>
    <row r="23" spans="1:20" x14ac:dyDescent="0.3">
      <c r="A23" s="10" t="s">
        <v>79</v>
      </c>
      <c r="B23" s="10">
        <v>160</v>
      </c>
      <c r="E23">
        <v>180</v>
      </c>
      <c r="F23" t="str">
        <f t="shared" si="0"/>
        <v>Yes</v>
      </c>
      <c r="G23" t="str">
        <f t="shared" si="1"/>
        <v>Yes</v>
      </c>
      <c r="H23">
        <f t="shared" si="3"/>
        <v>900</v>
      </c>
      <c r="I23">
        <f t="shared" si="4"/>
        <v>2539.5250790501582</v>
      </c>
      <c r="J23">
        <f t="shared" si="5"/>
        <v>2232.0044640089277</v>
      </c>
      <c r="K23">
        <f t="shared" si="6"/>
        <v>2031.6200632401267</v>
      </c>
      <c r="L23">
        <f t="shared" si="7"/>
        <v>1785.6035712071423</v>
      </c>
      <c r="M23">
        <f t="shared" si="8"/>
        <v>181.20353761124997</v>
      </c>
      <c r="N23">
        <f t="shared" si="9"/>
        <v>134.04097302750006</v>
      </c>
      <c r="O23">
        <f t="shared" si="10"/>
        <v>0.78749999999999987</v>
      </c>
      <c r="P23">
        <f t="shared" si="16"/>
        <v>679.83299999999997</v>
      </c>
      <c r="Q23">
        <f t="shared" si="11"/>
        <v>577.85805000000005</v>
      </c>
      <c r="R23">
        <f t="shared" si="12"/>
        <v>168.79233640500004</v>
      </c>
      <c r="S23">
        <f t="shared" si="13"/>
        <v>355.02390000000014</v>
      </c>
      <c r="T23">
        <f t="shared" si="14"/>
        <v>103.70248119000006</v>
      </c>
    </row>
    <row r="24" spans="1:20" x14ac:dyDescent="0.3">
      <c r="A24" s="10"/>
      <c r="B24" s="10"/>
      <c r="E24">
        <v>190</v>
      </c>
      <c r="F24" t="str">
        <f t="shared" si="0"/>
        <v>Yes</v>
      </c>
      <c r="G24" t="str">
        <f t="shared" si="1"/>
        <v>Yes</v>
      </c>
      <c r="H24">
        <f t="shared" si="3"/>
        <v>950</v>
      </c>
      <c r="I24">
        <f t="shared" si="4"/>
        <v>2680.6098056640558</v>
      </c>
      <c r="J24">
        <f t="shared" si="5"/>
        <v>2356.0047120094241</v>
      </c>
      <c r="K24">
        <f t="shared" si="6"/>
        <v>2144.4878445312447</v>
      </c>
      <c r="L24">
        <f t="shared" si="7"/>
        <v>1884.8037696075394</v>
      </c>
      <c r="M24">
        <f t="shared" si="8"/>
        <v>191.27040081187496</v>
      </c>
      <c r="N24">
        <f t="shared" si="9"/>
        <v>141.48769375125008</v>
      </c>
      <c r="O24">
        <f t="shared" si="10"/>
        <v>0.83124999999999993</v>
      </c>
      <c r="P24">
        <f t="shared" si="16"/>
        <v>717.6015000000001</v>
      </c>
      <c r="Q24">
        <f t="shared" si="11"/>
        <v>591.07702500000005</v>
      </c>
      <c r="R24">
        <f t="shared" si="12"/>
        <v>172.65359900250002</v>
      </c>
      <c r="S24">
        <f t="shared" si="13"/>
        <v>328.58595000000008</v>
      </c>
      <c r="T24">
        <f t="shared" si="14"/>
        <v>95.979955995000026</v>
      </c>
    </row>
    <row r="25" spans="1:20" x14ac:dyDescent="0.3">
      <c r="A25" t="s">
        <v>80</v>
      </c>
      <c r="E25">
        <v>200</v>
      </c>
      <c r="F25" t="str">
        <f t="shared" si="0"/>
        <v>Yes</v>
      </c>
      <c r="G25" t="str">
        <f t="shared" si="1"/>
        <v>Yes</v>
      </c>
      <c r="H25">
        <f t="shared" si="3"/>
        <v>1000</v>
      </c>
      <c r="I25">
        <f t="shared" si="4"/>
        <v>2821.6945322779534</v>
      </c>
      <c r="J25">
        <f t="shared" si="5"/>
        <v>2480.0049600099201</v>
      </c>
      <c r="K25">
        <f t="shared" si="6"/>
        <v>2257.355625822363</v>
      </c>
      <c r="L25">
        <f t="shared" si="7"/>
        <v>1984.0039680079362</v>
      </c>
      <c r="M25">
        <f t="shared" si="8"/>
        <v>201.33726401249996</v>
      </c>
      <c r="N25">
        <f t="shared" si="9"/>
        <v>148.9344144750001</v>
      </c>
      <c r="O25">
        <f t="shared" si="10"/>
        <v>0.87499999999999989</v>
      </c>
      <c r="P25">
        <f t="shared" si="16"/>
        <v>755.36999999999989</v>
      </c>
      <c r="Q25">
        <f t="shared" si="11"/>
        <v>604.29599999999994</v>
      </c>
      <c r="R25">
        <f t="shared" si="12"/>
        <v>176.51486159999999</v>
      </c>
      <c r="S25">
        <f t="shared" si="13"/>
        <v>302.1480000000002</v>
      </c>
      <c r="T25">
        <f t="shared" si="14"/>
        <v>88.257430800000066</v>
      </c>
    </row>
    <row r="26" spans="1:20" x14ac:dyDescent="0.3">
      <c r="A26" t="s">
        <v>84</v>
      </c>
      <c r="B26">
        <f>IF(B25&gt;0,B25,B62)</f>
        <v>8.9191646061152666E-2</v>
      </c>
      <c r="E26">
        <v>210</v>
      </c>
      <c r="F26" t="str">
        <f t="shared" si="0"/>
        <v>Yes</v>
      </c>
      <c r="G26" t="str">
        <f t="shared" si="1"/>
        <v>Yes</v>
      </c>
      <c r="H26">
        <f t="shared" si="3"/>
        <v>1050</v>
      </c>
      <c r="I26">
        <f t="shared" si="4"/>
        <v>2962.7792588918514</v>
      </c>
      <c r="J26">
        <f t="shared" si="5"/>
        <v>2604.005208010416</v>
      </c>
      <c r="K26">
        <f t="shared" si="6"/>
        <v>2370.2234071134812</v>
      </c>
      <c r="L26">
        <f t="shared" si="7"/>
        <v>2083.2041664083331</v>
      </c>
      <c r="M26">
        <f t="shared" si="8"/>
        <v>211.40412721312498</v>
      </c>
      <c r="N26">
        <f t="shared" si="9"/>
        <v>156.38113519875009</v>
      </c>
      <c r="O26">
        <f t="shared" si="10"/>
        <v>0.91875000000000007</v>
      </c>
      <c r="P26">
        <f t="shared" si="16"/>
        <v>793.13850000000002</v>
      </c>
      <c r="Q26">
        <f t="shared" si="11"/>
        <v>617.51497499999994</v>
      </c>
      <c r="R26">
        <f t="shared" si="12"/>
        <v>180.37612419749999</v>
      </c>
      <c r="S26">
        <f t="shared" si="13"/>
        <v>275.71005000000014</v>
      </c>
      <c r="T26">
        <f t="shared" si="14"/>
        <v>80.534905605000048</v>
      </c>
    </row>
    <row r="27" spans="1:20" x14ac:dyDescent="0.3">
      <c r="A27" t="s">
        <v>81</v>
      </c>
      <c r="E27">
        <v>220</v>
      </c>
      <c r="F27" t="str">
        <f t="shared" si="0"/>
        <v>Yes</v>
      </c>
      <c r="G27" t="str">
        <f t="shared" si="1"/>
        <v>Yes</v>
      </c>
      <c r="H27">
        <f t="shared" si="3"/>
        <v>1100</v>
      </c>
      <c r="I27">
        <f t="shared" si="4"/>
        <v>3103.863985505749</v>
      </c>
      <c r="J27">
        <f t="shared" si="5"/>
        <v>2728.005456010912</v>
      </c>
      <c r="K27">
        <f t="shared" si="6"/>
        <v>2483.0911884045995</v>
      </c>
      <c r="L27">
        <f t="shared" si="7"/>
        <v>2182.4043648087295</v>
      </c>
      <c r="M27">
        <f t="shared" si="8"/>
        <v>221.47099041375</v>
      </c>
      <c r="N27">
        <f t="shared" si="9"/>
        <v>163.82785592250008</v>
      </c>
      <c r="O27">
        <f t="shared" si="10"/>
        <v>0.96250000000000002</v>
      </c>
      <c r="P27">
        <f t="shared" si="16"/>
        <v>830.90700000000015</v>
      </c>
      <c r="Q27">
        <f t="shared" si="11"/>
        <v>630.73395000000005</v>
      </c>
      <c r="R27">
        <f t="shared" si="12"/>
        <v>184.23738679500002</v>
      </c>
      <c r="S27">
        <f t="shared" si="13"/>
        <v>249.27210000000002</v>
      </c>
      <c r="T27">
        <f t="shared" si="14"/>
        <v>72.812380410000017</v>
      </c>
    </row>
    <row r="28" spans="1:20" x14ac:dyDescent="0.3">
      <c r="A28" t="s">
        <v>83</v>
      </c>
      <c r="B28">
        <f>IF(B27&gt;0,B27,B63)</f>
        <v>7.506759909585238E-2</v>
      </c>
      <c r="E28">
        <v>230</v>
      </c>
      <c r="F28" t="str">
        <f t="shared" si="0"/>
        <v>Yes</v>
      </c>
      <c r="G28" t="str">
        <f t="shared" si="1"/>
        <v>Yes</v>
      </c>
      <c r="H28">
        <f t="shared" si="3"/>
        <v>1150</v>
      </c>
      <c r="I28">
        <f t="shared" si="4"/>
        <v>3244.9487121196466</v>
      </c>
      <c r="J28">
        <f t="shared" si="5"/>
        <v>2852.0057040114079</v>
      </c>
      <c r="K28">
        <f t="shared" si="6"/>
        <v>2595.9589696957173</v>
      </c>
      <c r="L28">
        <f t="shared" si="7"/>
        <v>2281.6045632091264</v>
      </c>
      <c r="M28">
        <f t="shared" si="8"/>
        <v>231.53785361437497</v>
      </c>
      <c r="N28">
        <f t="shared" si="9"/>
        <v>171.27457664625007</v>
      </c>
      <c r="O28">
        <f t="shared" si="10"/>
        <v>1.0062499999999999</v>
      </c>
      <c r="P28">
        <f t="shared" si="16"/>
        <v>868.67549999999983</v>
      </c>
      <c r="Q28">
        <f t="shared" si="11"/>
        <v>643.95292499999994</v>
      </c>
      <c r="R28">
        <f t="shared" si="12"/>
        <v>188.09864939249999</v>
      </c>
      <c r="S28">
        <f t="shared" si="13"/>
        <v>222.83415000000025</v>
      </c>
      <c r="T28">
        <f t="shared" si="14"/>
        <v>65.089855215000085</v>
      </c>
    </row>
    <row r="29" spans="1:20" x14ac:dyDescent="0.3">
      <c r="E29">
        <v>240</v>
      </c>
      <c r="F29" t="str">
        <f t="shared" si="0"/>
        <v>Yes</v>
      </c>
      <c r="G29" t="str">
        <f t="shared" si="1"/>
        <v>Yes</v>
      </c>
      <c r="H29">
        <f t="shared" si="3"/>
        <v>1200</v>
      </c>
      <c r="I29">
        <f t="shared" si="4"/>
        <v>3386.0334387335447</v>
      </c>
      <c r="J29">
        <f t="shared" si="5"/>
        <v>2976.0059520119039</v>
      </c>
      <c r="K29">
        <f t="shared" si="6"/>
        <v>2708.826750986836</v>
      </c>
      <c r="L29">
        <f t="shared" si="7"/>
        <v>2380.8047616095232</v>
      </c>
      <c r="M29">
        <f t="shared" si="8"/>
        <v>241.60471681500002</v>
      </c>
      <c r="N29">
        <f t="shared" si="9"/>
        <v>178.72129737000009</v>
      </c>
      <c r="O29">
        <f t="shared" si="10"/>
        <v>1.05</v>
      </c>
      <c r="P29">
        <f t="shared" si="16"/>
        <v>906.4440000000003</v>
      </c>
      <c r="Q29">
        <f t="shared" si="11"/>
        <v>657.17190000000016</v>
      </c>
      <c r="R29">
        <f t="shared" si="12"/>
        <v>191.95991199000005</v>
      </c>
      <c r="S29">
        <f t="shared" si="13"/>
        <v>196.39619999999994</v>
      </c>
      <c r="T29">
        <f t="shared" si="14"/>
        <v>57.36733001999999</v>
      </c>
    </row>
    <row r="30" spans="1:20" x14ac:dyDescent="0.3">
      <c r="E30">
        <v>250</v>
      </c>
      <c r="F30" t="str">
        <f t="shared" si="0"/>
        <v>Yes</v>
      </c>
      <c r="G30" t="str">
        <f t="shared" si="1"/>
        <v>Yes</v>
      </c>
      <c r="H30">
        <f t="shared" si="3"/>
        <v>1250</v>
      </c>
      <c r="I30">
        <f t="shared" si="4"/>
        <v>3527.1181653474423</v>
      </c>
      <c r="J30">
        <f t="shared" si="5"/>
        <v>3100.0062000123999</v>
      </c>
      <c r="K30">
        <f t="shared" si="6"/>
        <v>2821.6945322779538</v>
      </c>
      <c r="L30">
        <f t="shared" si="7"/>
        <v>2480.0049600099201</v>
      </c>
      <c r="M30">
        <f t="shared" si="8"/>
        <v>251.67158001562498</v>
      </c>
      <c r="N30">
        <f t="shared" si="9"/>
        <v>186.16801809375011</v>
      </c>
      <c r="O30">
        <f t="shared" si="10"/>
        <v>1.0937499999999998</v>
      </c>
      <c r="P30">
        <f t="shared" si="16"/>
        <v>944.21249999999998</v>
      </c>
      <c r="Q30">
        <f t="shared" si="11"/>
        <v>670.39087500000005</v>
      </c>
      <c r="R30">
        <f t="shared" si="12"/>
        <v>195.82117458750002</v>
      </c>
      <c r="S30">
        <f t="shared" si="13"/>
        <v>169.95825000000016</v>
      </c>
      <c r="T30">
        <f t="shared" si="14"/>
        <v>49.644804825000051</v>
      </c>
    </row>
    <row r="31" spans="1:20" x14ac:dyDescent="0.3">
      <c r="A31" s="4" t="s">
        <v>82</v>
      </c>
      <c r="B31" s="4"/>
      <c r="E31">
        <v>260</v>
      </c>
      <c r="F31" t="str">
        <f t="shared" si="0"/>
        <v>Yes</v>
      </c>
      <c r="G31" t="str">
        <f t="shared" si="1"/>
        <v>Yes</v>
      </c>
      <c r="H31">
        <f t="shared" si="3"/>
        <v>1300</v>
      </c>
      <c r="I31">
        <f t="shared" si="4"/>
        <v>3668.2028919613399</v>
      </c>
      <c r="J31">
        <f t="shared" si="5"/>
        <v>3224.0064480128963</v>
      </c>
      <c r="K31">
        <f t="shared" si="6"/>
        <v>2934.5623135690721</v>
      </c>
      <c r="L31">
        <f t="shared" si="7"/>
        <v>2579.2051584103174</v>
      </c>
      <c r="M31">
        <f t="shared" si="8"/>
        <v>261.73844321625</v>
      </c>
      <c r="N31">
        <f t="shared" si="9"/>
        <v>193.61473881750013</v>
      </c>
      <c r="O31">
        <f t="shared" si="10"/>
        <v>1.1375</v>
      </c>
      <c r="P31">
        <f t="shared" si="16"/>
        <v>981.98100000000011</v>
      </c>
      <c r="Q31">
        <f t="shared" si="11"/>
        <v>683.60985000000005</v>
      </c>
      <c r="R31">
        <f t="shared" si="12"/>
        <v>199.68243718500003</v>
      </c>
      <c r="S31">
        <f t="shared" si="13"/>
        <v>143.52030000000008</v>
      </c>
      <c r="T31">
        <f t="shared" si="14"/>
        <v>41.922279630000027</v>
      </c>
    </row>
    <row r="32" spans="1:20" x14ac:dyDescent="0.3">
      <c r="A32" t="s">
        <v>85</v>
      </c>
      <c r="B32">
        <f>B5*9.81</f>
        <v>2158.2000000000003</v>
      </c>
      <c r="E32">
        <v>270</v>
      </c>
      <c r="F32" t="str">
        <f t="shared" si="0"/>
        <v>Yes</v>
      </c>
      <c r="G32" t="str">
        <f t="shared" si="1"/>
        <v>Yes</v>
      </c>
      <c r="H32">
        <f t="shared" si="3"/>
        <v>1350</v>
      </c>
      <c r="I32">
        <f t="shared" si="4"/>
        <v>3809.2876185752375</v>
      </c>
      <c r="J32">
        <f t="shared" si="5"/>
        <v>3348.0066960133922</v>
      </c>
      <c r="K32">
        <f t="shared" si="6"/>
        <v>3047.4300948601904</v>
      </c>
      <c r="L32">
        <f t="shared" si="7"/>
        <v>2678.4053568107138</v>
      </c>
      <c r="M32">
        <f t="shared" si="8"/>
        <v>271.805306416875</v>
      </c>
      <c r="N32">
        <f t="shared" si="9"/>
        <v>201.06145954125012</v>
      </c>
      <c r="O32">
        <f t="shared" si="10"/>
        <v>1.1812499999999999</v>
      </c>
      <c r="P32">
        <f t="shared" si="16"/>
        <v>1019.7495</v>
      </c>
      <c r="Q32">
        <f t="shared" si="11"/>
        <v>696.82882499999994</v>
      </c>
      <c r="R32">
        <f t="shared" si="12"/>
        <v>203.5436997825</v>
      </c>
      <c r="S32">
        <f t="shared" si="13"/>
        <v>117.08235000000013</v>
      </c>
      <c r="T32">
        <f t="shared" si="14"/>
        <v>34.199754435000045</v>
      </c>
    </row>
    <row r="33" spans="1:20" ht="15.6" customHeight="1" x14ac:dyDescent="0.3">
      <c r="A33" s="1" t="s">
        <v>18</v>
      </c>
      <c r="B33">
        <f>B8*B6</f>
        <v>0.82500000000000007</v>
      </c>
      <c r="E33">
        <v>280</v>
      </c>
      <c r="F33" t="str">
        <f t="shared" si="0"/>
        <v>Yes</v>
      </c>
      <c r="G33" t="str">
        <f t="shared" si="1"/>
        <v>Yes</v>
      </c>
      <c r="H33">
        <f t="shared" si="3"/>
        <v>1400</v>
      </c>
      <c r="I33">
        <f t="shared" si="4"/>
        <v>3950.3723451891351</v>
      </c>
      <c r="J33">
        <f t="shared" si="5"/>
        <v>3472.0069440138882</v>
      </c>
      <c r="K33">
        <f t="shared" si="6"/>
        <v>3160.2978761513082</v>
      </c>
      <c r="L33">
        <f t="shared" si="7"/>
        <v>2777.6055552111106</v>
      </c>
      <c r="M33">
        <f t="shared" si="8"/>
        <v>281.87216961749994</v>
      </c>
      <c r="N33">
        <f t="shared" si="9"/>
        <v>208.50818026500011</v>
      </c>
      <c r="O33">
        <f t="shared" si="10"/>
        <v>1.2249999999999996</v>
      </c>
      <c r="P33">
        <f t="shared" si="16"/>
        <v>1057.5179999999998</v>
      </c>
      <c r="Q33">
        <f t="shared" si="11"/>
        <v>710.04779999999994</v>
      </c>
      <c r="R33">
        <f t="shared" si="12"/>
        <v>207.40496238</v>
      </c>
      <c r="S33">
        <f t="shared" si="13"/>
        <v>90.644400000000289</v>
      </c>
      <c r="T33">
        <f t="shared" si="14"/>
        <v>26.477229240000085</v>
      </c>
    </row>
    <row r="34" spans="1:20" ht="15.6" customHeight="1" x14ac:dyDescent="0.3">
      <c r="A34" s="1" t="s">
        <v>19</v>
      </c>
      <c r="B34">
        <f>B8*B7</f>
        <v>0.67499999999999993</v>
      </c>
      <c r="E34">
        <v>290</v>
      </c>
      <c r="F34" t="str">
        <f t="shared" si="0"/>
        <v>Yes</v>
      </c>
      <c r="G34" t="str">
        <f t="shared" si="1"/>
        <v>Yes</v>
      </c>
      <c r="H34">
        <f t="shared" si="3"/>
        <v>1450</v>
      </c>
      <c r="I34">
        <f t="shared" si="4"/>
        <v>4091.4570718030327</v>
      </c>
      <c r="J34">
        <f t="shared" si="5"/>
        <v>3596.0071920143841</v>
      </c>
      <c r="K34">
        <f t="shared" si="6"/>
        <v>3273.1656574424264</v>
      </c>
      <c r="L34">
        <f t="shared" si="7"/>
        <v>2876.8057536115075</v>
      </c>
      <c r="M34">
        <f t="shared" si="8"/>
        <v>291.93903281812499</v>
      </c>
      <c r="N34">
        <f t="shared" si="9"/>
        <v>215.95490098875013</v>
      </c>
      <c r="O34">
        <f t="shared" si="10"/>
        <v>1.26875</v>
      </c>
      <c r="P34">
        <f t="shared" si="16"/>
        <v>1095.2865000000002</v>
      </c>
      <c r="Q34">
        <f t="shared" si="11"/>
        <v>723.26677500000005</v>
      </c>
      <c r="R34">
        <f t="shared" si="12"/>
        <v>211.26622497750003</v>
      </c>
      <c r="S34">
        <f t="shared" si="13"/>
        <v>64.206450000000032</v>
      </c>
      <c r="T34">
        <f t="shared" si="14"/>
        <v>18.754704045000011</v>
      </c>
    </row>
    <row r="35" spans="1:20" x14ac:dyDescent="0.3">
      <c r="A35" t="s">
        <v>38</v>
      </c>
      <c r="B35">
        <f>PI()*B15*B15/4</f>
        <v>2.8502295699234248E-4</v>
      </c>
      <c r="E35">
        <v>300</v>
      </c>
      <c r="F35" t="str">
        <f t="shared" si="0"/>
        <v>Yes</v>
      </c>
      <c r="G35" t="str">
        <f t="shared" si="1"/>
        <v>Yes</v>
      </c>
      <c r="H35">
        <f t="shared" si="3"/>
        <v>1500</v>
      </c>
      <c r="I35">
        <f t="shared" si="4"/>
        <v>4232.5417984169308</v>
      </c>
      <c r="J35">
        <f t="shared" si="5"/>
        <v>3720.0074400148801</v>
      </c>
      <c r="K35">
        <f t="shared" si="6"/>
        <v>3386.0334387335447</v>
      </c>
      <c r="L35">
        <f t="shared" si="7"/>
        <v>2976.0059520119044</v>
      </c>
      <c r="M35">
        <f t="shared" si="8"/>
        <v>302.00589601874998</v>
      </c>
      <c r="N35">
        <f t="shared" si="9"/>
        <v>223.40162171250014</v>
      </c>
      <c r="O35">
        <f t="shared" si="10"/>
        <v>1.3125</v>
      </c>
      <c r="P35">
        <f t="shared" si="16"/>
        <v>1133.0550000000001</v>
      </c>
      <c r="Q35">
        <f t="shared" si="11"/>
        <v>736.48574999999994</v>
      </c>
      <c r="R35">
        <f t="shared" si="12"/>
        <v>215.127487575</v>
      </c>
      <c r="S35">
        <f t="shared" si="13"/>
        <v>37.768500000000103</v>
      </c>
      <c r="T35">
        <f t="shared" si="14"/>
        <v>11.032178850000031</v>
      </c>
    </row>
    <row r="36" spans="1:20" x14ac:dyDescent="0.3">
      <c r="A36" t="s">
        <v>39</v>
      </c>
      <c r="B36">
        <f>PI()*B16*B16/4</f>
        <v>8.0424771931898709E-4</v>
      </c>
      <c r="E36">
        <v>310</v>
      </c>
      <c r="F36" t="str">
        <f t="shared" si="0"/>
        <v>Yes</v>
      </c>
      <c r="G36" t="str">
        <f t="shared" si="1"/>
        <v>Yes</v>
      </c>
      <c r="H36">
        <f t="shared" si="3"/>
        <v>1550</v>
      </c>
      <c r="I36">
        <f t="shared" si="4"/>
        <v>4373.6265250308279</v>
      </c>
      <c r="J36">
        <f t="shared" si="5"/>
        <v>3844.0076880153761</v>
      </c>
      <c r="K36">
        <f t="shared" si="6"/>
        <v>3498.9012200246625</v>
      </c>
      <c r="L36">
        <f t="shared" si="7"/>
        <v>3075.2061504123012</v>
      </c>
      <c r="M36">
        <f t="shared" si="8"/>
        <v>312.07275921937497</v>
      </c>
      <c r="N36">
        <f t="shared" si="9"/>
        <v>230.84834243625014</v>
      </c>
      <c r="O36">
        <f t="shared" si="10"/>
        <v>1.35625</v>
      </c>
      <c r="P36">
        <f t="shared" si="16"/>
        <v>1170.8235</v>
      </c>
      <c r="Q36">
        <f t="shared" si="11"/>
        <v>749.70472499999994</v>
      </c>
      <c r="R36">
        <f t="shared" si="12"/>
        <v>218.9887501725</v>
      </c>
      <c r="S36">
        <f t="shared" si="13"/>
        <v>11.330550000000175</v>
      </c>
      <c r="T36">
        <f t="shared" si="14"/>
        <v>3.3096536550000515</v>
      </c>
    </row>
    <row r="37" spans="1:20" x14ac:dyDescent="0.3">
      <c r="A37" t="s">
        <v>40</v>
      </c>
      <c r="B37">
        <f>B18*B18*PI()/4</f>
        <v>7.0685834705770342E-4</v>
      </c>
      <c r="E37">
        <v>320</v>
      </c>
      <c r="F37" t="str">
        <f t="shared" si="0"/>
        <v>Yes</v>
      </c>
      <c r="G37" t="str">
        <f t="shared" si="1"/>
        <v>Yes</v>
      </c>
      <c r="H37">
        <f t="shared" si="3"/>
        <v>1600</v>
      </c>
      <c r="I37">
        <f t="shared" si="4"/>
        <v>4514.711251644726</v>
      </c>
      <c r="J37">
        <f t="shared" si="5"/>
        <v>3968.007936015872</v>
      </c>
      <c r="K37">
        <f t="shared" si="6"/>
        <v>3611.7690013157808</v>
      </c>
      <c r="L37">
        <f t="shared" si="7"/>
        <v>3174.4063488126976</v>
      </c>
      <c r="M37">
        <f t="shared" si="8"/>
        <v>322.13962241999997</v>
      </c>
      <c r="N37">
        <f t="shared" si="9"/>
        <v>238.29506316000013</v>
      </c>
      <c r="O37">
        <f t="shared" si="10"/>
        <v>1.4</v>
      </c>
      <c r="P37">
        <f t="shared" si="16"/>
        <v>1208.5919999999999</v>
      </c>
      <c r="Q37">
        <f t="shared" si="11"/>
        <v>762.92370000000005</v>
      </c>
      <c r="R37">
        <f t="shared" si="12"/>
        <v>222.85001277000003</v>
      </c>
      <c r="S37">
        <f t="shared" si="13"/>
        <v>-15.107399999999755</v>
      </c>
      <c r="T37">
        <f t="shared" si="14"/>
        <v>-4.4128715399999292</v>
      </c>
    </row>
    <row r="40" spans="1:20" x14ac:dyDescent="0.3">
      <c r="A40" s="4" t="s">
        <v>86</v>
      </c>
      <c r="B40" s="4"/>
    </row>
    <row r="41" spans="1:20" x14ac:dyDescent="0.3">
      <c r="A41" t="s">
        <v>67</v>
      </c>
      <c r="B41">
        <f>B32*B7</f>
        <v>971.19</v>
      </c>
    </row>
    <row r="42" spans="1:20" x14ac:dyDescent="0.3">
      <c r="A42" t="s">
        <v>68</v>
      </c>
      <c r="B42">
        <f>B32*B6</f>
        <v>1187.0100000000002</v>
      </c>
    </row>
    <row r="43" spans="1:20" x14ac:dyDescent="0.3">
      <c r="A43" t="s">
        <v>69</v>
      </c>
      <c r="B43">
        <f>B32*B21*B9/B8</f>
        <v>604.29599999999994</v>
      </c>
    </row>
    <row r="44" spans="1:20" x14ac:dyDescent="0.3">
      <c r="A44" t="s">
        <v>70</v>
      </c>
      <c r="B44">
        <f>B41+B43</f>
        <v>1575.4859999999999</v>
      </c>
    </row>
    <row r="45" spans="1:20" x14ac:dyDescent="0.3">
      <c r="A45" t="s">
        <v>71</v>
      </c>
      <c r="B45">
        <f>B42-B43</f>
        <v>582.71400000000028</v>
      </c>
    </row>
    <row r="46" spans="1:20" x14ac:dyDescent="0.3">
      <c r="A46" t="s">
        <v>72</v>
      </c>
      <c r="B46">
        <f>B44*B10*B14/2</f>
        <v>161.06981120999998</v>
      </c>
    </row>
    <row r="47" spans="1:20" x14ac:dyDescent="0.3">
      <c r="A47" t="s">
        <v>73</v>
      </c>
      <c r="B47">
        <f>B45*B10*B14</f>
        <v>119.14753158000006</v>
      </c>
    </row>
    <row r="50" spans="1:2" x14ac:dyDescent="0.3">
      <c r="A50" s="4" t="s">
        <v>87</v>
      </c>
      <c r="B50" s="4"/>
    </row>
    <row r="51" spans="1:2" x14ac:dyDescent="0.3">
      <c r="A51" t="s">
        <v>36</v>
      </c>
      <c r="B51">
        <f>B23*B20</f>
        <v>800</v>
      </c>
    </row>
    <row r="52" spans="1:2" x14ac:dyDescent="0.3">
      <c r="A52" t="s">
        <v>42</v>
      </c>
      <c r="B52">
        <f>B51/B35*B36*B12</f>
        <v>2257.355625822363</v>
      </c>
    </row>
    <row r="53" spans="1:2" x14ac:dyDescent="0.3">
      <c r="A53" t="s">
        <v>45</v>
      </c>
      <c r="B53">
        <f>B52*2</f>
        <v>4514.711251644726</v>
      </c>
    </row>
    <row r="54" spans="1:2" x14ac:dyDescent="0.3">
      <c r="A54" t="s">
        <v>44</v>
      </c>
      <c r="B54">
        <f>B51/B35*B37*B13</f>
        <v>1984.003968007936</v>
      </c>
    </row>
    <row r="55" spans="1:2" x14ac:dyDescent="0.3">
      <c r="A55" t="s">
        <v>46</v>
      </c>
      <c r="B55">
        <f>B54*2</f>
        <v>3968.007936015872</v>
      </c>
    </row>
    <row r="56" spans="1:2" x14ac:dyDescent="0.3">
      <c r="A56" t="s">
        <v>90</v>
      </c>
      <c r="B56">
        <f>B53*B11</f>
        <v>1805.8845006578904</v>
      </c>
    </row>
    <row r="57" spans="1:2" x14ac:dyDescent="0.3">
      <c r="A57" t="s">
        <v>91</v>
      </c>
      <c r="B57">
        <f>B55*B11</f>
        <v>1587.2031744063488</v>
      </c>
    </row>
    <row r="60" spans="1:2" x14ac:dyDescent="0.3">
      <c r="A60" s="4" t="s">
        <v>88</v>
      </c>
      <c r="B60" s="4"/>
    </row>
    <row r="61" spans="1:2" x14ac:dyDescent="0.3">
      <c r="A61" t="s">
        <v>89</v>
      </c>
    </row>
    <row r="62" spans="1:2" x14ac:dyDescent="0.3">
      <c r="A62" t="s">
        <v>92</v>
      </c>
      <c r="B62">
        <f>B46/B56</f>
        <v>8.9191646061152666E-2</v>
      </c>
    </row>
    <row r="63" spans="1:2" x14ac:dyDescent="0.3">
      <c r="A63" t="s">
        <v>93</v>
      </c>
      <c r="B63">
        <f>B47/B57</f>
        <v>7.506759909585238E-2</v>
      </c>
    </row>
  </sheetData>
  <mergeCells count="9">
    <mergeCell ref="A40:B40"/>
    <mergeCell ref="A50:B50"/>
    <mergeCell ref="A60:B60"/>
    <mergeCell ref="E4:T4"/>
    <mergeCell ref="A1:T2"/>
    <mergeCell ref="A4:B4"/>
    <mergeCell ref="A23:A24"/>
    <mergeCell ref="B23:B24"/>
    <mergeCell ref="A31:B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Effective Radius Calculation</vt:lpstr>
      <vt:lpstr>Pedal force &amp; Effect. Radi vals</vt:lpstr>
      <vt:lpstr>Locking Iteration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Pranshu Shukla</dc:creator>
  <cp:lastModifiedBy>Pranshu Shukla</cp:lastModifiedBy>
  <dcterms:created xsi:type="dcterms:W3CDTF">2015-06-05T18:17:20Z</dcterms:created>
  <dcterms:modified xsi:type="dcterms:W3CDTF">2020-06-28T07:29:58Z</dcterms:modified>
</cp:coreProperties>
</file>