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04C800E968833A7F/Documents/"/>
    </mc:Choice>
  </mc:AlternateContent>
  <xr:revisionPtr revIDLastSave="583" documentId="8_{5B2178DF-338E-41ED-9597-AC24BB8722D0}" xr6:coauthVersionLast="47" xr6:coauthVersionMax="47" xr10:uidLastSave="{ABCB025F-79DC-47D9-81B6-7EBA67CFC957}"/>
  <bookViews>
    <workbookView xWindow="-108" yWindow="-108" windowWidth="23256" windowHeight="12456" firstSheet="1" activeTab="6" xr2:uid="{26D4546B-D2A1-4444-8EAF-A6228F96F0C1}"/>
  </bookViews>
  <sheets>
    <sheet name="Data" sheetId="1" r:id="rId1"/>
    <sheet name="India Staff" sheetId="2" r:id="rId2"/>
    <sheet name="All_staff" sheetId="3" r:id="rId3"/>
    <sheet name="salary_spread" sheetId="6" r:id="rId4"/>
    <sheet name="salary vs rating" sheetId="7" r:id="rId5"/>
    <sheet name="Employee Trend" sheetId="9" r:id="rId6"/>
    <sheet name="NZ vs. IND" sheetId="10" r:id="rId7"/>
    <sheet name="Sheet4" sheetId="8" r:id="rId8"/>
    <sheet name="Sheet7" sheetId="11" r:id="rId9"/>
    <sheet name="Info Finder v2.0" sheetId="4" r:id="rId10"/>
    <sheet name="Male vs Female" sheetId="5" r:id="rId11"/>
  </sheets>
  <definedNames>
    <definedName name="_xlnm._FilterDatabase" localSheetId="0" hidden="1">Data!$C$5:$I$105</definedName>
    <definedName name="_xlnm._FilterDatabase" localSheetId="1" hidden="1">'India Staff'!$B$2:$H$114</definedName>
    <definedName name="_xlchart.v1.0" hidden="1">All_staff!$G$1</definedName>
    <definedName name="_xlchart.v1.1" hidden="1">All_staff!$G$2:$G$185</definedName>
    <definedName name="_xlchart.v1.2" hidden="1">All_staff!$G$1</definedName>
    <definedName name="_xlchart.v1.3" hidden="1">All_staff!$G$2:$G$185</definedName>
    <definedName name="_xlcn.WorksheetConnection_blankdatafile.xlsxStaff1" hidden="1">Staff[]</definedName>
    <definedName name="ExternalData_1" localSheetId="2" hidden="1">All_staff!$A$1:$H$184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0" l="1"/>
  <c r="K4" i="10"/>
  <c r="I4" i="10"/>
  <c r="F4" i="10"/>
  <c r="B4" i="10"/>
  <c r="D4" i="10" s="1"/>
  <c r="AA8" i="9"/>
  <c r="AA9" i="9"/>
  <c r="AA10" i="9"/>
  <c r="AA11" i="9"/>
  <c r="AA12" i="9"/>
  <c r="AA13" i="9"/>
  <c r="AA14" i="9"/>
  <c r="AA15" i="9"/>
  <c r="AA16" i="9"/>
  <c r="AA17" i="9"/>
  <c r="AA18" i="9"/>
  <c r="AA19" i="9"/>
  <c r="AA20" i="9"/>
  <c r="AA21" i="9"/>
  <c r="AA22" i="9"/>
  <c r="AA23" i="9"/>
  <c r="AA24" i="9"/>
  <c r="AA25" i="9"/>
  <c r="AA26" i="9"/>
  <c r="AA27" i="9"/>
  <c r="AA28" i="9"/>
  <c r="AA29" i="9"/>
  <c r="AA30" i="9"/>
  <c r="AA31" i="9"/>
  <c r="AA32" i="9"/>
  <c r="AA33" i="9"/>
  <c r="AA34" i="9"/>
  <c r="AA35" i="9"/>
  <c r="AA36" i="9"/>
  <c r="AA37" i="9"/>
  <c r="AA38" i="9"/>
  <c r="AA39" i="9"/>
  <c r="AA40" i="9"/>
  <c r="AA41" i="9"/>
  <c r="AA42" i="9"/>
  <c r="AA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7" i="9"/>
  <c r="Y7" i="9" a="1"/>
  <c r="Y7" i="9" s="1"/>
  <c r="X7" i="9" a="1"/>
  <c r="X7"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I7" i="3"/>
  <c r="J7" i="3" s="1"/>
  <c r="I8" i="3"/>
  <c r="J8" i="3" s="1"/>
  <c r="I9" i="3"/>
  <c r="J9" i="3" s="1"/>
  <c r="I9" i="4"/>
  <c r="O7" i="3"/>
  <c r="O6" i="3"/>
  <c r="I18" i="3"/>
  <c r="J18" i="3" s="1"/>
  <c r="I162" i="3"/>
  <c r="J162" i="3" s="1"/>
  <c r="I142" i="3"/>
  <c r="J142" i="3" s="1"/>
  <c r="I20" i="3"/>
  <c r="J20" i="3" s="1"/>
  <c r="I175" i="3"/>
  <c r="J175" i="3" s="1"/>
  <c r="I46" i="3"/>
  <c r="J46" i="3" s="1"/>
  <c r="I130" i="3"/>
  <c r="J130" i="3" s="1"/>
  <c r="I124" i="3"/>
  <c r="J124" i="3" s="1"/>
  <c r="I90" i="3"/>
  <c r="J90" i="3" s="1"/>
  <c r="I156" i="3"/>
  <c r="J156" i="3" s="1"/>
  <c r="I146" i="3"/>
  <c r="J146" i="3" s="1"/>
  <c r="I134" i="3"/>
  <c r="J134" i="3" s="1"/>
  <c r="I24" i="3"/>
  <c r="J24"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N21" i="3" l="1" a="1"/>
  <c r="N21" i="3" s="1"/>
  <c r="B9" i="4" a="1"/>
  <c r="B9" i="4" s="1"/>
  <c r="N28" i="3" a="1"/>
  <c r="N28" i="3" s="1"/>
  <c r="N24" i="3" a="1"/>
  <c r="N24" i="3" s="1"/>
  <c r="I185" i="3"/>
  <c r="O9" i="3" s="1"/>
  <c r="P33" i="3" a="1"/>
  <c r="P33" i="3" s="1"/>
  <c r="O11" i="3"/>
  <c r="P8" i="3"/>
  <c r="P7" i="3"/>
  <c r="O8" i="3"/>
  <c r="F106" i="1"/>
  <c r="H106" i="1"/>
  <c r="I106" i="1"/>
  <c r="O12"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546590-3C51-4C36-9CA2-776082668FF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D540B761-4DC8-4EEF-A997-857A42A7CA8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B38FA445-5815-49D2-B715-7B834AF2434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B67EB57D-B05E-4B41-A3D3-7C29DDCE21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8CE82844-0075-4C1B-9158-96CE1B8E1BCF}"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NZ]}"/>
    <s v="{[Staff].[Country].&amp;[India]}"/>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<sst xmlns="http://schemas.openxmlformats.org/spreadsheetml/2006/main" count="1887" uniqueCount="253">
  <si>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</si>
  <si>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</si>
  <si>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</si>
  <si>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</si>
  <si>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</si>
  <si>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</si>
  <si>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</si>
  <si>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</si>
  <si>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</si>
  <si>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</si>
  <si>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</si>
  <si>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</si>
  <si>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</si>
  <si>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</si>
  <si>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</si>
  <si>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</si>
  <si>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</si>
  <si>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</si>
  <si>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</si>
  <si>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</si>
  <si>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</si>
  <si>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</si>
  <si>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</si>
  <si>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</si>
  <si>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</si>
  <si>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</si>
  <si>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</si>
  <si>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</si>
  <si>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</si>
  <si>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</si>
  <si>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</si>
  <si>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</si>
  <si>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</si>
  <si>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</si>
  <si>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</si>
  <si>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</si>
  <si>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</si>
  <si>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</si>
  <si>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</si>
  <si>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</si>
  <si>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</si>
  <si>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</si>
  <si>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</si>
  <si>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</si>
  <si>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</si>
  <si>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</si>
  <si>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</si>
  <si>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</si>
  <si>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</si>
  <si>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</si>
  <si>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</si>
  <si>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</si>
  <si>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</si>
  <si>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</si>
  <si>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</si>
  <si>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</si>
  <si>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</si>
  <si>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</si>
  <si>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</si>
  <si>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</si>
  <si>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</si>
  <si>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</si>
  <si>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</si>
  <si>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</si>
  <si>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</si>
  <si>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</si>
  <si>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</si>
  <si>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</si>
  <si>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</si>
  <si>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</si>
  <si>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</si>
  <si>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</si>
  <si>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</si>
  <si>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</si>
  <si>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</si>
  <si>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</si>
  <si>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</si>
  <si>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</si>
  <si>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</si>
  <si>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</si>
  <si>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</si>
  <si>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</si>
  <si>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</si>
  <si>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</si>
  <si>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</si>
  <si>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</si>
  <si>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</si>
  <si>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</si>
  <si>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</si>
  <si>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</si>
  <si>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</si>
  <si>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</si>
  <si>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</si>
  <si>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</si>
  <si>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</si>
  <si>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</si>
  <si>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</si>
  <si>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</si>
  <si>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</si>
  <si>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</si>
  <si>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</si>
  <si>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</si>
  <si>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</si>
  <si>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</si>
  <si>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</si>
  <si>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</si>
  <si>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</si>
  <si>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</si>
  <si>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</si>
  <si>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</si>
  <si>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</si>
  <si>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</si>
  <si>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</si>
  <si>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</si>
  <si>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</si>
  <si>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</si>
  <si>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</si>
  <si>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</si>
  <si>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</si>
  <si>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</si>
  <si>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</si>
  <si>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</si>
  <si>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</si>
  <si>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</si>
  <si>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</si>
  <si>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</si>
  <si>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</si>
  <si>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</si>
  <si>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</si>
  <si>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</si>
  <si>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</si>
  <si>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</si>
  <si>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</si>
  <si>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</si>
  <si>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</si>
  <si>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</si>
  <si>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</si>
  <si>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</si>
  <si>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</si>
  <si>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</si>
  <si>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</si>
  <si>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</si>
  <si>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</si>
  <si>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</si>
  <si>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</si>
  <si>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</si>
  <si>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</si>
  <si>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</si>
  <si>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</si>
  <si>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</si>
  <si>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</si>
  <si>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</si>
  <si>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</si>
  <si>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</si>
  <si>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</si>
  <si>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</si>
  <si>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</si>
  <si>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</si>
  <si>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</si>
  <si>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</si>
  <si>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</si>
  <si>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</si>
  <si>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</si>
  <si>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</si>
  <si>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</si>
  <si>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</si>
  <si>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</si>
  <si>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</si>
  <si>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</si>
  <si>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</si>
  <si>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</si>
  <si>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</si>
  <si>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</si>
  <si>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</si>
  <si>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</si>
  <si>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</si>
  <si>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</si>
  <si>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</si>
  <si>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</si>
  <si>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</si>
  <si>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</si>
  <si>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</si>
  <si>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</si>
  <si>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</si>
  <si>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</si>
  <si>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</si>
  <si>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</si>
  <si>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</si>
  <si>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</si>
  <si>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</si>
  <si>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</si>
  <si>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</si>
  <si>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</si>
  <si>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</si>
  <si>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</si>
  <si>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</si>
  <si>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</si>
  <si>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</si>
  <si>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</si>
  <si>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</si>
  <si>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</si>
  <si>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</si>
  <si>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</si>
  <si>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</si>
  <si>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</si>
  <si>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India</t>
  </si>
  <si>
    <t>other</t>
  </si>
  <si>
    <t>NZ</t>
  </si>
  <si>
    <t>Count of Employee</t>
  </si>
  <si>
    <t>Average salary</t>
  </si>
  <si>
    <t>Average Age</t>
  </si>
  <si>
    <t>Average Tenure</t>
  </si>
  <si>
    <t>Female Ratio %</t>
  </si>
  <si>
    <t>Tenure</t>
  </si>
  <si>
    <t>Female Count</t>
  </si>
  <si>
    <t>Ratio</t>
  </si>
  <si>
    <t>XLOOKUP</t>
  </si>
  <si>
    <t>VLOOKUP</t>
  </si>
  <si>
    <t>Date of Join</t>
  </si>
  <si>
    <t>information finder</t>
  </si>
  <si>
    <t xml:space="preserve">Department Name  </t>
  </si>
  <si>
    <t>Number of People</t>
  </si>
  <si>
    <t>Male vs Female</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</si>
  <si>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</si>
  <si>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</si>
  <si>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</si>
  <si>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</si>
  <si>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</si>
  <si>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</si>
  <si>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</si>
  <si>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</si>
  <si>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</si>
  <si>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</si>
  <si>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</si>
  <si>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</si>
  <si>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</si>
  <si>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</si>
  <si>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</si>
  <si>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</si>
  <si>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</si>
  <si>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</si>
  <si>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</si>
  <si>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</si>
  <si>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</si>
  <si>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</si>
  <si>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</si>
  <si>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</si>
  <si>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</si>
  <si>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</si>
  <si>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</si>
  <si>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</si>
  <si>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</si>
  <si>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 xml:space="preserve">Headcount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</si>
</sst>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 #,##0;[Red]&quot;₹&quot;\ \-#,##0"/>
    <numFmt numFmtId="44" formatCode="_ &quot;₹&quot;\ * #,##0.00_ ;_ &quot;₹&quot;\ * \-#,##0.00_ ;_ &quot;₹&quot;\ * &quot;-&quot;??_ ;_ @_ "/>
    <numFmt numFmtId="164" formatCode="0.0"/>
    <numFmt numFmtId="165" formatCode="&quot;₹&quot;\ #,##0.0"/>
    <numFmt numFmtId="166" formatCode="&quot;₹&quot;\ #,##0"/>
    <numFmt numFmtId="167" formatCode="_ &quot;₹&quot;\ * #,##0_ ;_ &quot;₹&quot;\ * \-#,##0_ ;_ &quot;₹&quot;\ * &quot;-&quot;??_ ;_ @_ "/>
  </numFmts>
  <fonts count="12" x14ac:knownFonts="1">
    <font>
      <sz val="11"/>
      <color theme="1"/>
      <name val="Calibri"/>
      <family val="2"/>
      <scheme val="minor"/>
    </font>
    <font>
      <sz val="28"/>
      <color theme="1"/>
      <name val="Segoe UI Light"/>
      <family val="2"/>
    </font>
    <font>
      <b/>
      <sz val="20"/>
      <color rgb="FFFF0000"/>
      <name val="Calibri"/>
      <family val="2"/>
      <scheme val="minor"/>
    </font>
    <font>
      <sz val="11"/>
      <color theme="1"/>
      <name val="Calibri"/>
      <family val="2"/>
      <scheme val="minor"/>
    </font>
    <font>
      <sz val="48"/>
      <color theme="0"/>
      <name val="Arial Black"/>
      <family val="2"/>
    </font>
    <font>
      <sz val="36"/>
      <color theme="0"/>
      <name val="Arial Black"/>
      <family val="2"/>
    </font>
    <font>
      <sz val="22"/>
      <color theme="0"/>
      <name val="Arial Black"/>
      <family val="2"/>
    </font>
    <font>
      <sz val="24"/>
      <color theme="0"/>
      <name val="Arial Black"/>
      <family val="2"/>
    </font>
    <font>
      <sz val="36"/>
      <color theme="2"/>
      <name val="Arial Black"/>
      <family val="2"/>
    </font>
    <font>
      <sz val="26"/>
      <color theme="2"/>
      <name val="Arial Black"/>
      <family val="2"/>
    </font>
    <font>
      <sz val="24"/>
      <color theme="2"/>
      <name val="Arial Black"/>
      <family val="2"/>
    </font>
    <font>
      <sz val="20"/>
      <color theme="1"/>
      <name val="Arial"/>
      <family val="2"/>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4" tint="-0.249977111117893"/>
        <bgColor indexed="64"/>
      </patternFill>
    </fill>
  </fills>
  <borders count="11">
    <border>
      <left/>
      <right/>
      <top/>
      <bottom/>
      <diagonal/>
    </border>
    <border>
      <left style="thin">
        <color theme="9" tint="0.39997558519241921"/>
      </left>
      <right/>
      <top style="thin">
        <color theme="9" tint="0.39997558519241921"/>
      </top>
      <bottom style="thin">
        <color theme="9"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4" fontId="3"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6" fontId="0" fillId="3" borderId="0" xfId="0" applyNumberFormat="1" applyFill="1"/>
    <xf numFmtId="6" fontId="0" fillId="0" borderId="0" xfId="0" applyNumberFormat="1"/>
    <xf numFmtId="14" fontId="0" fillId="0" borderId="0" xfId="0" applyNumberFormat="1"/>
    <xf numFmtId="2" fontId="0" fillId="0" borderId="0" xfId="0" applyNumberFormat="1"/>
    <xf numFmtId="1" fontId="0" fillId="0" borderId="0" xfId="0" applyNumberFormat="1"/>
    <xf numFmtId="9" fontId="0" fillId="0" borderId="0" xfId="0" applyNumberFormat="1"/>
    <xf numFmtId="1" fontId="2" fillId="4" borderId="0" xfId="0" applyNumberFormat="1" applyFont="1" applyFill="1" applyAlignment="1">
      <alignment horizontal="center"/>
    </xf>
    <xf numFmtId="0" fontId="0" fillId="0" borderId="0" xfId="0" applyAlignment="1">
      <alignment horizontal="center"/>
    </xf>
    <xf numFmtId="0" fontId="0" fillId="0" borderId="1" xfId="0" applyBorder="1"/>
    <xf numFmtId="0" fontId="0" fillId="5" borderId="0" xfId="0"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1" applyNumberFormat="1" applyFont="1"/>
    <xf numFmtId="0" fontId="0" fillId="0" borderId="2" xfId="0" applyBorder="1"/>
    <xf numFmtId="0" fontId="0" fillId="0" borderId="3" xfId="0" applyBorder="1" applyAlignment="1">
      <alignment horizontal="left"/>
    </xf>
    <xf numFmtId="0" fontId="0" fillId="0" borderId="3" xfId="0" applyBorder="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7" fillId="0" borderId="0" xfId="0" applyFont="1" applyAlignment="1">
      <alignment horizontal="center" vertical="center"/>
    </xf>
    <xf numFmtId="0" fontId="4" fillId="7" borderId="0" xfId="0" applyFont="1" applyFill="1" applyAlignment="1">
      <alignment horizontal="center" vertical="center"/>
    </xf>
    <xf numFmtId="9" fontId="5" fillId="7" borderId="0" xfId="0" applyNumberFormat="1" applyFont="1" applyFill="1" applyAlignment="1">
      <alignment horizontal="center" vertical="center"/>
    </xf>
    <xf numFmtId="6" fontId="6" fillId="7" borderId="0" xfId="0" applyNumberFormat="1" applyFont="1" applyFill="1" applyAlignment="1">
      <alignment horizontal="center" vertical="center"/>
    </xf>
    <xf numFmtId="0" fontId="8" fillId="6" borderId="0" xfId="0" applyFont="1" applyFill="1" applyAlignment="1">
      <alignment horizontal="center" vertical="center"/>
    </xf>
    <xf numFmtId="0" fontId="9" fillId="6" borderId="0" xfId="0" applyFont="1" applyFill="1" applyAlignment="1">
      <alignment horizontal="center" vertical="center"/>
    </xf>
    <xf numFmtId="0" fontId="10" fillId="6" borderId="0" xfId="0" applyFont="1" applyFill="1" applyAlignment="1">
      <alignment horizontal="center" vertical="center"/>
    </xf>
    <xf numFmtId="0" fontId="0" fillId="4" borderId="0" xfId="0" applyFill="1" applyAlignment="1">
      <alignment horizontal="center"/>
    </xf>
    <xf numFmtId="0" fontId="11" fillId="4" borderId="0" xfId="0" applyFont="1" applyFill="1" applyAlignment="1">
      <alignment horizontal="center"/>
    </xf>
  </cellXfs>
  <cellStyles count="2">
    <cellStyle name="Currency" xfId="1" builtinId="4"/>
    <cellStyle name="Normal" xfId="0" builtinId="0"/>
  </cellStyles>
  <dxfs count="18">
    <dxf>
      <font>
        <color rgb="FF9C0006"/>
      </font>
      <fill>
        <patternFill>
          <bgColor rgb="FFFFC7CE"/>
        </patternFill>
      </fill>
    </dxf>
    <dxf>
      <numFmt numFmtId="166" formatCode="&quot;₹&quot;\ #,##0"/>
    </dxf>
    <dxf>
      <numFmt numFmtId="164" formatCode="0.0"/>
    </dxf>
    <dxf>
      <numFmt numFmtId="164" formatCode="0.0"/>
    </dxf>
    <dxf>
      <numFmt numFmtId="1" formatCode="0"/>
    </dxf>
    <dxf>
      <numFmt numFmtId="1" formatCode="0"/>
    </dxf>
    <dxf>
      <numFmt numFmtId="166" formatCode="&quot;₹&quot;\ #,##0"/>
    </dxf>
    <dxf>
      <numFmt numFmtId="166" formatCode="&quot;₹&quot;\ #,##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67" formatCode="_ &quot;₹&quot;\ * #,##0_ ;_ &quot;₹&quot;\ * \-#,##0_ ;_ &quot;₹&quot;\ * &quot;-&quot;??_ ;_ @_ "/>
    </dxf>
    <dxf>
      <numFmt numFmtId="167" formatCode="_ &quot;₹&quot;\ * #,##0_ ;_ &quot;₹&quot;\ * \-#,##0_ ;_ &quot;₹&quot;\ * &quot;-&quot;??_ ;_ @_ "/>
    </dxf>
    <dxf>
      <numFmt numFmtId="19" formatCode="dd/mm/yyyy"/>
    </dxf>
    <dxf>
      <numFmt numFmtId="19" formatCode="dd/mm/yyyy"/>
    </dxf>
    <dxf>
      <numFmt numFmtId="0" formatCode="General"/>
    </dxf>
    <dxf>
      <numFmt numFmtId="20" formatCode="dd/mmm/yy"/>
    </dxf>
    <dxf>
      <numFmt numFmtId="10" formatCode="&quot;₹&quot;\ #,##0;[Red]&quot;₹&quot;\ \-#,##0"/>
    </dxf>
    <dxf>
      <numFmt numFmtId="10" formatCode="&quot;₹&quot;\ #,##0;[Red]&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a:t>
            </a:r>
            <a:r>
              <a:rPr lang="en-IN" baseline="0"/>
              <a:t> vs Rating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tx>
            <c:strRef>
              <c:f>All_staff!$K$1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All_staff!$G$2:$G$185</c:f>
              <c:numCache>
                <c:formatCode>_ "₹"\ * #,##0_ ;_ "₹"\ * \-#,##0_ ;_ "₹"\ * "-"??_ ;_ @_ </c:formatCode>
                <c:ptCount val="183"/>
                <c:pt idx="0">
                  <c:v>33920</c:v>
                </c:pt>
                <c:pt idx="1">
                  <c:v>33920</c:v>
                </c:pt>
                <c:pt idx="2">
                  <c:v>34980</c:v>
                </c:pt>
                <c:pt idx="3">
                  <c:v>34980</c:v>
                </c:pt>
                <c:pt idx="4">
                  <c:v>36040</c:v>
                </c:pt>
                <c:pt idx="5">
                  <c:v>25000</c:v>
                </c:pt>
                <c:pt idx="6">
                  <c:v>19320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132000</c:v>
                </c:pt>
                <c:pt idx="179">
                  <c:v>148000</c:v>
                </c:pt>
                <c:pt idx="180">
                  <c:v>137000</c:v>
                </c:pt>
                <c:pt idx="181">
                  <c:v>119110</c:v>
                </c:pt>
                <c:pt idx="182">
                  <c:v>119110</c:v>
                </c:pt>
              </c:numCache>
            </c:numRef>
          </c:xVal>
          <c:yVal>
            <c:numRef>
              <c:f>All_staff!$K$2:$K$185</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DE51-453A-AD4A-D17A6D4FA52B}"/>
            </c:ext>
          </c:extLst>
        </c:ser>
        <c:dLbls>
          <c:showLegendKey val="0"/>
          <c:showVal val="0"/>
          <c:showCatName val="0"/>
          <c:showSerName val="0"/>
          <c:showPercent val="0"/>
          <c:showBubbleSize val="0"/>
        </c:dLbls>
        <c:axId val="1680558831"/>
        <c:axId val="1680559311"/>
      </c:scatterChart>
      <c:valAx>
        <c:axId val="1680558831"/>
        <c:scaling>
          <c:orientation val="minMax"/>
        </c:scaling>
        <c:delete val="0"/>
        <c:axPos val="b"/>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559311"/>
        <c:crosses val="autoZero"/>
        <c:crossBetween val="midCat"/>
      </c:valAx>
      <c:valAx>
        <c:axId val="1680559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5588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[data_cleaning_excel.xlsx]Employee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Trend'!$D$7</c:f>
              <c:strCache>
                <c:ptCount val="1"/>
                <c:pt idx="0">
                  <c:v>Total</c:v>
                </c:pt>
              </c:strCache>
            </c:strRef>
          </c:tx>
          <c:spPr>
            <a:ln w="28575" cap="rnd">
              <a:solidFill>
                <a:schemeClr val="accent1"/>
              </a:solidFill>
              <a:round/>
            </a:ln>
            <a:effectLst/>
          </c:spPr>
          <c:marker>
            <c:symbol val="none"/>
          </c:marker>
          <c:cat>
            <c:multiLvlStrRef>
              <c:f>'Employee Trend'!$C$8:$C$44</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Trend'!$D$8:$D$44</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911F-4034-B982-3CC47DC96023}"/>
            </c:ext>
          </c:extLst>
        </c:ser>
        <c:dLbls>
          <c:showLegendKey val="0"/>
          <c:showVal val="0"/>
          <c:showCatName val="0"/>
          <c:showSerName val="0"/>
          <c:showPercent val="0"/>
          <c:showBubbleSize val="0"/>
        </c:dLbls>
        <c:smooth val="0"/>
        <c:axId val="593209167"/>
        <c:axId val="593209647"/>
      </c:lineChart>
      <c:catAx>
        <c:axId val="59320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09647"/>
        <c:crosses val="autoZero"/>
        <c:auto val="1"/>
        <c:lblAlgn val="ctr"/>
        <c:lblOffset val="100"/>
        <c:noMultiLvlLbl val="0"/>
      </c:catAx>
      <c:valAx>
        <c:axId val="59320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0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Trend'!$AA$6</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Trend'!$Y$7:$Y$42</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Trend'!$AA$7:$AA$42</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ED2B-4326-8998-BED073C762A9}"/>
            </c:ext>
          </c:extLst>
        </c:ser>
        <c:dLbls>
          <c:showLegendKey val="0"/>
          <c:showVal val="0"/>
          <c:showCatName val="0"/>
          <c:showSerName val="0"/>
          <c:showPercent val="0"/>
          <c:showBubbleSize val="0"/>
        </c:dLbls>
        <c:marker val="1"/>
        <c:smooth val="0"/>
        <c:axId val="473411743"/>
        <c:axId val="473412703"/>
      </c:lineChart>
      <c:dateAx>
        <c:axId val="473411743"/>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12703"/>
        <c:crosses val="autoZero"/>
        <c:auto val="1"/>
        <c:lblOffset val="100"/>
        <c:baseTimeUnit val="months"/>
      </c:dateAx>
      <c:valAx>
        <c:axId val="47341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41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[data_cleaning_excel.xlsx]Sheet7!PivotTable6</c:name>
    <c:fmtId val="8"/>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Sheet7!$C$7</c:f>
              <c:strCache>
                <c:ptCount val="1"/>
                <c:pt idx="0">
                  <c:v>Total</c:v>
                </c:pt>
              </c:strCache>
            </c:strRef>
          </c:tx>
          <c:spPr>
            <a:solidFill>
              <a:schemeClr val="accent6"/>
            </a:solidFill>
            <a:ln>
              <a:noFill/>
            </a:ln>
            <a:effectLst/>
          </c:spPr>
          <c:invertIfNegative val="0"/>
          <c:cat>
            <c:strRef>
              <c:f>Sheet7!$B$8:$B$13</c:f>
              <c:strCache>
                <c:ptCount val="5"/>
                <c:pt idx="0">
                  <c:v>Procurement</c:v>
                </c:pt>
                <c:pt idx="1">
                  <c:v>Website</c:v>
                </c:pt>
                <c:pt idx="2">
                  <c:v>Finance</c:v>
                </c:pt>
                <c:pt idx="3">
                  <c:v>Sales</c:v>
                </c:pt>
                <c:pt idx="4">
                  <c:v>HR</c:v>
                </c:pt>
              </c:strCache>
            </c:strRef>
          </c:cat>
          <c:val>
            <c:numRef>
              <c:f>Sheet7!$C$8:$C$13</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F3B-4CC2-B3AC-44300CBBB714}"/>
            </c:ext>
          </c:extLst>
        </c:ser>
        <c:dLbls>
          <c:showLegendKey val="0"/>
          <c:showVal val="0"/>
          <c:showCatName val="0"/>
          <c:showSerName val="0"/>
          <c:showPercent val="0"/>
          <c:showBubbleSize val="0"/>
        </c:dLbls>
        <c:gapWidth val="25"/>
        <c:axId val="527844879"/>
        <c:axId val="527854959"/>
      </c:barChart>
      <c:catAx>
        <c:axId val="52784487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54959"/>
        <c:crosses val="autoZero"/>
        <c:auto val="1"/>
        <c:lblAlgn val="ctr"/>
        <c:lblOffset val="100"/>
        <c:noMultiLvlLbl val="0"/>
      </c:catAx>
      <c:valAx>
        <c:axId val="52785495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4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[data_cleaning_excel.xlsx]Sheet7!PivotTable7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Sheet7!$G$7</c:f>
              <c:strCache>
                <c:ptCount val="1"/>
                <c:pt idx="0">
                  <c:v>Total</c:v>
                </c:pt>
              </c:strCache>
            </c:strRef>
          </c:tx>
          <c:spPr>
            <a:solidFill>
              <a:schemeClr val="accent1"/>
            </a:solidFill>
            <a:ln>
              <a:noFill/>
            </a:ln>
            <a:effectLst/>
          </c:spPr>
          <c:invertIfNegative val="0"/>
          <c:cat>
            <c:strRef>
              <c:f>Sheet7!$F$8:$F$13</c:f>
              <c:strCache>
                <c:ptCount val="5"/>
                <c:pt idx="0">
                  <c:v>Website</c:v>
                </c:pt>
                <c:pt idx="1">
                  <c:v>Procurement</c:v>
                </c:pt>
                <c:pt idx="2">
                  <c:v>Finance</c:v>
                </c:pt>
                <c:pt idx="3">
                  <c:v>Sales</c:v>
                </c:pt>
                <c:pt idx="4">
                  <c:v>HR</c:v>
                </c:pt>
              </c:strCache>
            </c:strRef>
          </c:cat>
          <c:val>
            <c:numRef>
              <c:f>Sheet7!$G$8:$G$13</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F962-40A0-BDB9-4D44B2AD3D12}"/>
            </c:ext>
          </c:extLst>
        </c:ser>
        <c:dLbls>
          <c:showLegendKey val="0"/>
          <c:showVal val="0"/>
          <c:showCatName val="0"/>
          <c:showSerName val="0"/>
          <c:showPercent val="0"/>
          <c:showBubbleSize val="0"/>
        </c:dLbls>
        <c:gapWidth val="25"/>
        <c:axId val="593208207"/>
        <c:axId val="593210607"/>
      </c:barChart>
      <c:catAx>
        <c:axId val="5932082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10607"/>
        <c:crosses val="autoZero"/>
        <c:auto val="1"/>
        <c:lblAlgn val="ctr"/>
        <c:lblOffset val="100"/>
        <c:noMultiLvlLbl val="0"/>
      </c:catAx>
      <c:valAx>
        <c:axId val="59321060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0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Rs.10k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Rs.10k</a:t>
          </a:r>
        </a:p>
      </cx:txPr>
    </cx:title>
    <cx:plotArea>
      <cx:plotAreaRegion>
        <cx:series layoutId="clusteredColumn" uniqueId="{6EB7072E-91F1-442A-849D-552064BDE99F}">
          <cx:tx>
            <cx:txData>
              <cx:f>_xlchart.v1.0</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317C57B2-75D5-4CB2-BF89-854AC1F4A6F7}">
          <cx:tx>
            <cx:txData>
              <cx:f>_xlchart.v1.2</cx:f>
              <cx:v> 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2</xdr:row>
      <xdr:rowOff>0</xdr:rowOff>
    </xdr:from>
    <xdr:to>
      <xdr:col>9</xdr:col>
      <xdr:colOff>15240</xdr:colOff>
      <xdr:row>18</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7A652F2-24E8-443B-A603-28094CEAAB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1" y="365760"/>
              <a:ext cx="4892039" cy="2971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411480</xdr:colOff>
      <xdr:row>2</xdr:row>
      <xdr:rowOff>68580</xdr:rowOff>
    </xdr:from>
    <xdr:to>
      <xdr:col>17</xdr:col>
      <xdr:colOff>297180</xdr:colOff>
      <xdr:row>22</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15C1E74-C878-4949-B9B4-9CBCD59094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97880" y="434340"/>
              <a:ext cx="4762500" cy="3726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10</xdr:row>
      <xdr:rowOff>0</xdr:rowOff>
    </xdr:from>
    <xdr:to>
      <xdr:col>15</xdr:col>
      <xdr:colOff>304800</xdr:colOff>
      <xdr:row>25</xdr:row>
      <xdr:rowOff>0</xdr:rowOff>
    </xdr:to>
    <xdr:graphicFrame macro="">
      <xdr:nvGraphicFramePr>
        <xdr:cNvPr id="2" name="Chart 1">
          <a:extLst>
            <a:ext uri="{FF2B5EF4-FFF2-40B4-BE49-F238E27FC236}">
              <a16:creationId xmlns:a16="http://schemas.microsoft.com/office/drawing/2014/main" id="{FDE10BDA-AF7D-4D83-AD0A-7E2B63BD9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601980</xdr:colOff>
      <xdr:row>3</xdr:row>
      <xdr:rowOff>19050</xdr:rowOff>
    </xdr:from>
    <xdr:to>
      <xdr:col>18</xdr:col>
      <xdr:colOff>441960</xdr:colOff>
      <xdr:row>18</xdr:row>
      <xdr:rowOff>19050</xdr:rowOff>
    </xdr:to>
    <xdr:graphicFrame macro="">
      <xdr:nvGraphicFramePr>
        <xdr:cNvPr id="2" name="Chart 1">
          <a:extLst>
            <a:ext uri="{FF2B5EF4-FFF2-40B4-BE49-F238E27FC236}">
              <a16:creationId xmlns:a16="http://schemas.microsoft.com/office/drawing/2014/main" id="{F79BEB71-2C4B-9854-CC74-6BE248D9A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198120</xdr:colOff>
      <xdr:row>18</xdr:row>
      <xdr:rowOff>26670</xdr:rowOff>
    </xdr:from>
    <xdr:to>
      <xdr:col>35</xdr:col>
      <xdr:colOff>502920</xdr:colOff>
      <xdr:row>33</xdr:row>
      <xdr:rowOff>26670</xdr:rowOff>
    </xdr:to>
    <xdr:graphicFrame macro="">
      <xdr:nvGraphicFramePr>
        <xdr:cNvPr id="3" name="Chart 2">
          <a:extLst>
            <a:ext uri="{FF2B5EF4-FFF2-40B4-BE49-F238E27FC236}">
              <a16:creationId xmlns:a16="http://schemas.microsoft.com/office/drawing/2014/main" id="{62E1E567-4086-350D-8662-021BDF4D9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7620</xdr:colOff>
      <xdr:row>9</xdr:row>
      <xdr:rowOff>15240</xdr:rowOff>
    </xdr:from>
    <xdr:to>
      <xdr:col>12</xdr:col>
      <xdr:colOff>1181100</xdr:colOff>
      <xdr:row>20</xdr:row>
      <xdr:rowOff>7620</xdr:rowOff>
    </xdr:to>
    <xdr:graphicFrame macro="">
      <xdr:nvGraphicFramePr>
        <xdr:cNvPr id="2" name="Chart 1">
          <a:extLst>
            <a:ext uri="{FF2B5EF4-FFF2-40B4-BE49-F238E27FC236}">
              <a16:creationId xmlns:a16="http://schemas.microsoft.com/office/drawing/2014/main" id="{A10371BA-868F-479F-B61C-BAA0FCD3F9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22860</xdr:colOff>
      <xdr:row>9</xdr:row>
      <xdr:rowOff>22860</xdr:rowOff>
    </xdr:from>
    <xdr:to>
      <xdr:col>5</xdr:col>
      <xdr:colOff>1463040</xdr:colOff>
      <xdr:row>19</xdr:row>
      <xdr:rowOff>167640</xdr:rowOff>
    </xdr:to>
    <xdr:graphicFrame macro="">
      <xdr:nvGraphicFramePr>
        <xdr:cNvPr id="3" name="Chart 2">
          <a:extLst>
            <a:ext uri="{FF2B5EF4-FFF2-40B4-BE49-F238E27FC236}">
              <a16:creationId xmlns:a16="http://schemas.microsoft.com/office/drawing/2014/main" id="{E684B2BF-9C2B-4457-92FE-D90F232F7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411480</xdr:colOff>
      <xdr:row>8</xdr:row>
      <xdr:rowOff>22861</xdr:rowOff>
    </xdr:from>
    <xdr:to>
      <xdr:col>6</xdr:col>
      <xdr:colOff>441960</xdr:colOff>
      <xdr:row>13</xdr:row>
      <xdr:rowOff>53341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F397A96-686B-3714-F00F-7E0793CBDD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832860" y="1630681"/>
              <a:ext cx="159258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saanth R" refreshedDate="45702.63760347222" backgroundQuery="1" createdVersion="8" refreshedVersion="8" minRefreshableVersion="3" recordCount="0" supportSubquery="1" supportAdvancedDrill="1" xr:uid="{5A60DA1A-6A0E-4D3A-ABC0-4FBAFF8ED621}">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saanth R" refreshedDate="45702.637605208336" backgroundQuery="1" createdVersion="8" refreshedVersion="8" minRefreshableVersion="3" recordCount="0" supportSubquery="1" supportAdvancedDrill="1" xr:uid="{5454D59B-C609-4B10-9B42-312B3C431B44}">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saanth R" refreshedDate="45702.639867361111" backgroundQuery="1" createdVersion="8" refreshedVersion="8" minRefreshableVersion="3" recordCount="0" supportSubquery="1" supportAdvancedDrill="1" xr:uid="{018C1AEE-7DD0-48F3-8781-86078D63F1FD}">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saanth R" refreshedDate="45702.693135185182" backgroundQuery="1" createdVersion="8" refreshedVersion="8" minRefreshableVersion="3" recordCount="0" supportSubquery="1" supportAdvancedDrill="1" xr:uid="{0B964C03-3EAE-47FC-B079-26172902F35B}">
  <cacheSource type="external" connectionId="4"/>
  <cacheFields count="3">
    <cacheField name="[Measures].[Count of Name]" caption="Count of Name" numFmtId="0" hierarchy="15"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saanth R" refreshedDate="45702.693186226854" backgroundQuery="1" createdVersion="8" refreshedVersion="8" minRefreshableVersion="3" recordCount="0" supportSubquery="1" supportAdvancedDrill="1" xr:uid="{C120A157-C028-4756-812B-435C57FD5B4F}">
  <cacheSource type="external" connectionId="4"/>
  <cacheFields count="3">
    <cacheField name="[Measures].[Count of Name]" caption="Count of Name" numFmtId="0" hierarchy="15" level="32767"/>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saanth R" refreshedDate="45702.637604050928" backgroundQuery="1" createdVersion="3" refreshedVersion="8" minRefreshableVersion="3" recordCount="0" supportSubquery="1" supportAdvancedDrill="1" xr:uid="{F7BC6D43-0EB4-4533-8BD4-D02BBCA279B1}">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45802860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96E51A-E859-4BFA-9373-A8AA0F66F81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D11"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6"/>
  </dataFields>
  <formats count="3">
    <format dxfId="3">
      <pivotArea collapsedLevelsAreSubtotals="1" fieldPosition="0">
        <references count="2">
          <reference field="4294967294" count="1" selected="0">
            <x v="1"/>
          </reference>
          <reference field="0" count="1">
            <x v="2"/>
          </reference>
        </references>
      </pivotArea>
    </format>
    <format dxfId="2">
      <pivotArea collapsedLevelsAreSubtotals="1" fieldPosition="0">
        <references count="2">
          <reference field="4294967294" count="1" selected="0">
            <x v="1"/>
          </reference>
          <reference field="0" count="1">
            <x v="4"/>
          </reference>
        </references>
      </pivotArea>
    </format>
    <format dxfId="1">
      <pivotArea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9ED077-FF3A-45D4-9066-F21B365D80D4}"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7:D44"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AF4A05-8FD4-4868-894D-D1AB47F2774F}"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7:C13"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2"/>
    </i>
    <i>
      <x v="4"/>
    </i>
    <i>
      <x/>
    </i>
    <i>
      <x v="3"/>
    </i>
    <i>
      <x v="1"/>
    </i>
    <i t="grand">
      <x/>
    </i>
  </rowItems>
  <colItems count="1">
    <i/>
  </colItems>
  <pageFields count="1">
    <pageField fld="2" hier="7" name="[Staff].[Country].&amp;[India]" cap="India"/>
  </pageFields>
  <dataFields count="1">
    <dataField name="Count of Name" fld="0" subtotal="count" baseField="0" baseItem="0"/>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ia]"/>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A7AC59-1B7D-4176-B025-A47BA29F083A}"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7:G13"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4"/>
    </i>
    <i>
      <x v="2"/>
    </i>
    <i>
      <x/>
    </i>
    <i>
      <x v="3"/>
    </i>
    <i>
      <x v="1"/>
    </i>
    <i t="grand">
      <x/>
    </i>
  </rowItems>
  <colItems count="1">
    <i/>
  </colItems>
  <pageFields count="1">
    <pageField fld="2" hier="7" name="[Staff].[Country].&amp;[NZ]" cap="NZ"/>
  </pageFields>
  <dataFields count="1">
    <dataField name="Count of Name" fld="0" subtotal="count" baseField="0"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18F4F9-84EB-491D-B34E-61A36F040EE8}" name="PivotTable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9:D14"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D800A2B-112B-4F32-AF28-794039060AD7}" autoFormatId="16" applyNumberFormats="0" applyBorderFormats="0" applyFontFormats="0" applyPatternFormats="0" applyAlignmentFormats="0" applyWidthHeightFormats="0">
  <queryTableRefresh nextId="15"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12" dataBound="0" tableColumnId="13"/>
      <queryTableField id="13" dataBound="0" tableColumnId="9"/>
      <queryTableField id="14"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211D800-1996-4DDE-9AE4-FD8DF930C634}" sourceName="[Staff].[Country]">
  <pivotTables>
    <pivotTable tabId="5" name="PivotTable1"/>
  </pivotTables>
  <data>
    <olap pivotCacheId="458028607">
      <levels count="2">
        <level uniqueName="[Staff].[Country].[(All)]" sourceCaption="(All)" count="0"/>
        <level uniqueName="[Staff].[Country].[Country]" sourceCaption="Country" count="2">
          <ranges>
            <range startItem="0">
              <i n="[Staff].[Country].&amp;[India]" c="India"/>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B7447AA-9CED-49BB-937D-DC32FE48FF38}"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24EB17-C7FC-4C33-9B54-60B38603C50E}" name="Nz_staff" displayName="Nz_staff" ref="C5:I106" totalsRowCount="1">
  <autoFilter ref="C5:I105" xr:uid="{1E24EB17-C7FC-4C33-9B54-60B38603C50E}"/>
  <tableColumns count="7">
    <tableColumn id="1" xr3:uid="{3F5F6AA5-B43E-4825-8782-D422BB75C468}" name="Name" totalsRowLabel="Total"/>
    <tableColumn id="2" xr3:uid="{F83BC043-582D-4EE3-AFB7-54352F7FFA69}" name="Gender"/>
    <tableColumn id="3" xr3:uid="{CE2BB559-B76A-46DF-B2FA-8D630B6EE962}" name="Department"/>
    <tableColumn id="4" xr3:uid="{1E688205-F726-434C-89FD-BECAFF42E504}" name="Age" totalsRowFunction="average"/>
    <tableColumn id="5" xr3:uid="{CBA0D76A-02C2-42B4-ABBA-13F1E02EECA8}" name="Date Joined"/>
    <tableColumn id="6" xr3:uid="{3AF4DDBA-DC7D-4B25-9C3E-1A87FF8585E0}" name="Salary" totalsRowFunction="average" dataDxfId="17" totalsRowDxfId="16"/>
    <tableColumn id="7" xr3:uid="{C2BF3BD8-5B63-41E6-96AD-BCE7BA6A5842}"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BD6789-C279-43A6-A617-55961A7C5DAF}" name="India_staff" displayName="India_staff" ref="B2:H114" totalsRowShown="0">
  <autoFilter ref="B2:H114" xr:uid="{BCBD6789-C279-43A6-A617-55961A7C5DAF}"/>
  <tableColumns count="7">
    <tableColumn id="1" xr3:uid="{423C7FBE-F72A-4AAC-A419-57881FACE789}" name="Name"/>
    <tableColumn id="2" xr3:uid="{1658BA6B-3A1E-4DBF-92CC-3BCD7448975D}" name="Gender"/>
    <tableColumn id="3" xr3:uid="{107435F1-905E-4DBA-8198-FFC95D7034C4}" name="Age"/>
    <tableColumn id="4" xr3:uid="{2ACC7D41-7E7B-4E2C-A697-597CA126FD5C}" name="Rating"/>
    <tableColumn id="5" xr3:uid="{DFE1431D-2E0D-46B8-81CD-408FDCF3776E}" name="Date Joined" dataDxfId="15"/>
    <tableColumn id="6" xr3:uid="{9E11E2DA-6495-437A-AE57-23D83839B33B}" name="Department"/>
    <tableColumn id="7" xr3:uid="{DC0453A8-EF34-469B-A816-85C75FAAE1D4}"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3E7046-6139-4382-8F07-BE202652571B}" name="Staff" displayName="Staff" ref="A1:K185" tableType="queryTable" totalsRowCount="1">
  <autoFilter ref="A1:K184" xr:uid="{9F3E7046-6139-4382-8F07-BE202652571B}"/>
  <sortState xmlns:xlrd2="http://schemas.microsoft.com/office/spreadsheetml/2017/richdata2" ref="A2:J184">
    <sortCondition ref="G1:G184"/>
  </sortState>
  <tableColumns count="11">
    <tableColumn id="1" xr3:uid="{0F05DF8A-3B0E-4717-A9BB-A36C5B2D0F77}" uniqueName="1" name="Name" queryTableFieldId="1"/>
    <tableColumn id="2" xr3:uid="{C2943021-557D-4770-ADEA-36DD6BAF1C1F}" uniqueName="2" name="Gender" queryTableFieldId="2" dataDxfId="14"/>
    <tableColumn id="3" xr3:uid="{9252F761-4F50-441A-B3B1-6B7FF945FA36}" uniqueName="3" name="Age" queryTableFieldId="3"/>
    <tableColumn id="4" xr3:uid="{0F4CB132-7D83-4A8F-85A9-C337DCCFAD99}" uniqueName="4" name="Rating" queryTableFieldId="4"/>
    <tableColumn id="5" xr3:uid="{1E513B56-2C07-46C3-9004-3A25C502BCEF}" uniqueName="5" name="Date Joined" queryTableFieldId="5" dataDxfId="13" totalsRowDxfId="12"/>
    <tableColumn id="6" xr3:uid="{BB6FD82D-F10A-4B22-9124-71C0A6CBECF8}" uniqueName="6" name="Department" queryTableFieldId="6"/>
    <tableColumn id="7" xr3:uid="{EDEE2A28-5BEC-4F2A-903D-39B6D5FCABBB}" uniqueName="7" name="Salary" queryTableFieldId="7" dataDxfId="11" totalsRowDxfId="10" dataCellStyle="Currency" totalsRowCellStyle="Currency"/>
    <tableColumn id="8" xr3:uid="{C809B6A5-D4DF-4A51-80AC-8529345B1E0D}" uniqueName="8" name="Country" queryTableFieldId="8"/>
    <tableColumn id="13" xr3:uid="{05F1CC22-1653-4A9F-9A46-5823D4C258CE}" uniqueName="13" name="Tenure" totalsRowFunction="custom" queryTableFieldId="12" dataDxfId="9" totalsRowDxfId="8">
      <calculatedColumnFormula>(TODAY() - Staff[[#This Row],[Date Joined]])/365</calculatedColumnFormula>
      <totalsRowFormula>SUM(I2:I184)</totalsRowFormula>
    </tableColumn>
    <tableColumn id="9" xr3:uid="{98AF34B5-7245-466E-8C5E-BF6B21CC5EC3}" uniqueName="9" name="Bonus" queryTableFieldId="13" dataDxfId="7" totalsRowDxfId="6">
      <calculatedColumnFormula>ROUNDUP(IF(Staff[[#This Row],[Tenure]]&gt;2,3%,2%)*Staff[[#This Row],[Salary]],0)</calculatedColumnFormula>
    </tableColumn>
    <tableColumn id="10" xr3:uid="{23EEA7AD-E904-4196-8E47-8AD4CB44DA2C}" uniqueName="10" name="Rating As Number" queryTableFieldId="14" dataDxfId="5" totalsRowDxfId="4">
      <calculatedColumnFormula>_xlfn.XLOOKUP(Staff[[#This Row],[Rating]],Sheet4!$B$2:$B$6,Sheet4!$C$2:$C$6)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G14" sqref="G14"/>
    </sheetView>
  </sheetViews>
  <sheetFormatPr defaultRowHeight="14.4" x14ac:dyDescent="0.3"/>
  <cols>
    <col min="1" max="1" width="1.6640625" customWidth="1"/>
    <col min="2" max="2" width="3.6640625" customWidth="1"/>
    <col min="3" max="3" width="19.21875" customWidth="1"/>
    <col min="4" max="4" width="9" customWidth="1"/>
    <col min="5" max="5" width="13" customWidth="1"/>
    <col min="6" max="6" width="6.109375" customWidth="1"/>
    <col min="7" max="7" width="12.6640625" customWidth="1"/>
    <col min="8" max="8" width="11.88671875" style="6" bestFit="1" customWidth="1"/>
    <col min="9" max="9" width="13.109375" bestFit="1" customWidth="1"/>
  </cols>
  <sheetData>
    <row r="1" spans="1:9" s="2" customFormat="1" ht="52.5" customHeight="1" x14ac:dyDescent="0.3">
      <c r="A1" s="1"/>
      <c r="C1" s="3" t="s">
        <v>110</v>
      </c>
      <c r="H1" s="5"/>
    </row>
    <row r="5" spans="1:9" x14ac:dyDescent="0.3">
      <c r="C5" t="s">
        <v>0</v>
      </c>
      <c r="D5" t="s">
        <v>1</v>
      </c>
      <c r="E5" t="s">
        <v>2</v>
      </c>
      <c r="F5" t="s">
        <v>3</v>
      </c>
      <c r="G5" s="4" t="s">
        <v>4</v>
      </c>
      <c r="H5" s="6" t="s">
        <v>5</v>
      </c>
      <c r="I5" t="s">
        <v>6</v>
      </c>
    </row>
    <row r="6" spans="1:9" x14ac:dyDescent="0.3">
      <c r="C6" t="s">
        <v>58</v>
      </c>
      <c r="D6" t="s">
        <v>15</v>
      </c>
      <c r="E6" t="s">
        <v>19</v>
      </c>
      <c r="F6">
        <v>22</v>
      </c>
      <c r="G6" s="4">
        <v>44446</v>
      </c>
      <c r="H6" s="6">
        <v>112780</v>
      </c>
      <c r="I6" t="s">
        <v>13</v>
      </c>
    </row>
    <row r="7" spans="1:9" x14ac:dyDescent="0.3">
      <c r="C7" t="s">
        <v>70</v>
      </c>
      <c r="D7" t="s">
        <v>15</v>
      </c>
      <c r="E7" t="s">
        <v>9</v>
      </c>
      <c r="F7">
        <v>46</v>
      </c>
      <c r="G7" s="4">
        <v>44758</v>
      </c>
      <c r="H7" s="6">
        <v>70610</v>
      </c>
      <c r="I7" t="s">
        <v>16</v>
      </c>
    </row>
    <row r="8" spans="1:9" x14ac:dyDescent="0.3">
      <c r="C8" t="s">
        <v>75</v>
      </c>
      <c r="D8" t="s">
        <v>8</v>
      </c>
      <c r="E8" t="s">
        <v>19</v>
      </c>
      <c r="F8">
        <v>28</v>
      </c>
      <c r="G8" s="4">
        <v>44357</v>
      </c>
      <c r="H8" s="6">
        <v>53240</v>
      </c>
      <c r="I8" t="s">
        <v>16</v>
      </c>
    </row>
    <row r="9" spans="1:9" x14ac:dyDescent="0.3">
      <c r="C9" t="s">
        <v>49</v>
      </c>
      <c r="E9" t="s">
        <v>21</v>
      </c>
      <c r="F9">
        <v>37</v>
      </c>
      <c r="G9" s="4">
        <v>44146</v>
      </c>
      <c r="H9" s="6">
        <v>115440</v>
      </c>
      <c r="I9" t="s">
        <v>24</v>
      </c>
    </row>
    <row r="10" spans="1:9" x14ac:dyDescent="0.3">
      <c r="C10" t="s">
        <v>65</v>
      </c>
      <c r="D10" t="s">
        <v>15</v>
      </c>
      <c r="E10" t="s">
        <v>19</v>
      </c>
      <c r="F10">
        <v>32</v>
      </c>
      <c r="G10" s="4">
        <v>44465</v>
      </c>
      <c r="H10" s="6">
        <v>53540</v>
      </c>
      <c r="I10" t="s">
        <v>16</v>
      </c>
    </row>
    <row r="11" spans="1:9" x14ac:dyDescent="0.3">
      <c r="C11" t="s">
        <v>81</v>
      </c>
      <c r="D11" t="s">
        <v>8</v>
      </c>
      <c r="E11" t="s">
        <v>9</v>
      </c>
      <c r="F11">
        <v>30</v>
      </c>
      <c r="G11" s="4">
        <v>44861</v>
      </c>
      <c r="H11" s="6">
        <v>112570</v>
      </c>
      <c r="I11" t="s">
        <v>16</v>
      </c>
    </row>
    <row r="12" spans="1:9" x14ac:dyDescent="0.3">
      <c r="C12" t="s">
        <v>51</v>
      </c>
      <c r="D12" t="s">
        <v>15</v>
      </c>
      <c r="E12" t="s">
        <v>9</v>
      </c>
      <c r="F12">
        <v>33</v>
      </c>
      <c r="G12" s="4">
        <v>44701</v>
      </c>
      <c r="H12" s="6">
        <v>48530</v>
      </c>
      <c r="I12" t="s">
        <v>13</v>
      </c>
    </row>
    <row r="13" spans="1:9" x14ac:dyDescent="0.3">
      <c r="C13" t="s">
        <v>61</v>
      </c>
      <c r="D13" t="s">
        <v>8</v>
      </c>
      <c r="E13" t="s">
        <v>12</v>
      </c>
      <c r="F13">
        <v>24</v>
      </c>
      <c r="G13" s="4">
        <v>44148</v>
      </c>
      <c r="H13" s="6">
        <v>62780</v>
      </c>
      <c r="I13" t="s">
        <v>16</v>
      </c>
    </row>
    <row r="14" spans="1:9" x14ac:dyDescent="0.3">
      <c r="C14" t="s">
        <v>82</v>
      </c>
      <c r="D14" t="s">
        <v>15</v>
      </c>
      <c r="E14" t="s">
        <v>12</v>
      </c>
      <c r="F14">
        <v>33</v>
      </c>
      <c r="G14" s="4">
        <v>44509</v>
      </c>
      <c r="H14" s="6">
        <v>53870</v>
      </c>
      <c r="I14" t="s">
        <v>16</v>
      </c>
    </row>
    <row r="15" spans="1:9" x14ac:dyDescent="0.3">
      <c r="C15" t="s">
        <v>60</v>
      </c>
      <c r="D15" t="s">
        <v>8</v>
      </c>
      <c r="E15" t="s">
        <v>56</v>
      </c>
      <c r="F15">
        <v>27</v>
      </c>
      <c r="G15" s="4">
        <v>44122</v>
      </c>
      <c r="H15" s="6">
        <v>119110</v>
      </c>
      <c r="I15" t="s">
        <v>16</v>
      </c>
    </row>
    <row r="16" spans="1:9" x14ac:dyDescent="0.3">
      <c r="C16" t="s">
        <v>87</v>
      </c>
      <c r="D16" t="s">
        <v>15</v>
      </c>
      <c r="E16" t="s">
        <v>12</v>
      </c>
      <c r="F16">
        <v>29</v>
      </c>
      <c r="G16" s="4">
        <v>44180</v>
      </c>
      <c r="H16" s="6">
        <v>112110</v>
      </c>
      <c r="I16" t="s">
        <v>24</v>
      </c>
    </row>
    <row r="17" spans="3:9" x14ac:dyDescent="0.3">
      <c r="C17" t="s">
        <v>76</v>
      </c>
      <c r="D17" t="s">
        <v>15</v>
      </c>
      <c r="E17" t="s">
        <v>19</v>
      </c>
      <c r="F17">
        <v>25</v>
      </c>
      <c r="G17" s="4">
        <v>44383</v>
      </c>
      <c r="H17" s="6">
        <v>65700</v>
      </c>
      <c r="I17" t="s">
        <v>16</v>
      </c>
    </row>
    <row r="18" spans="3:9" x14ac:dyDescent="0.3">
      <c r="C18" t="s">
        <v>97</v>
      </c>
      <c r="D18" t="s">
        <v>15</v>
      </c>
      <c r="E18" t="s">
        <v>12</v>
      </c>
      <c r="F18">
        <v>37</v>
      </c>
      <c r="G18" s="4">
        <v>44701</v>
      </c>
      <c r="H18" s="6">
        <v>69070</v>
      </c>
      <c r="I18" t="s">
        <v>16</v>
      </c>
    </row>
    <row r="19" spans="3:9" x14ac:dyDescent="0.3">
      <c r="C19" t="s">
        <v>22</v>
      </c>
      <c r="D19" t="s">
        <v>15</v>
      </c>
      <c r="E19" t="s">
        <v>12</v>
      </c>
      <c r="F19">
        <v>20</v>
      </c>
      <c r="G19" s="4">
        <v>44459</v>
      </c>
      <c r="H19" s="6">
        <v>107700</v>
      </c>
      <c r="I19" t="s">
        <v>16</v>
      </c>
    </row>
    <row r="20" spans="3:9" x14ac:dyDescent="0.3">
      <c r="C20" t="s">
        <v>84</v>
      </c>
      <c r="D20" t="s">
        <v>8</v>
      </c>
      <c r="E20" t="s">
        <v>12</v>
      </c>
      <c r="F20">
        <v>32</v>
      </c>
      <c r="G20" s="4">
        <v>44354</v>
      </c>
      <c r="H20" s="6">
        <v>43840</v>
      </c>
      <c r="I20" t="s">
        <v>13</v>
      </c>
    </row>
    <row r="21" spans="3:9" x14ac:dyDescent="0.3">
      <c r="C21" t="s">
        <v>105</v>
      </c>
      <c r="D21" t="s">
        <v>15</v>
      </c>
      <c r="E21" t="s">
        <v>9</v>
      </c>
      <c r="F21">
        <v>40</v>
      </c>
      <c r="G21" s="4">
        <v>44263</v>
      </c>
      <c r="H21" s="6">
        <v>99750</v>
      </c>
      <c r="I21" t="s">
        <v>16</v>
      </c>
    </row>
    <row r="22" spans="3:9" x14ac:dyDescent="0.3">
      <c r="C22" t="s">
        <v>47</v>
      </c>
      <c r="D22" t="s">
        <v>15</v>
      </c>
      <c r="E22" t="s">
        <v>9</v>
      </c>
      <c r="F22">
        <v>21</v>
      </c>
      <c r="G22" s="4">
        <v>44104</v>
      </c>
      <c r="H22" s="6">
        <v>37920</v>
      </c>
      <c r="I22" t="s">
        <v>16</v>
      </c>
    </row>
    <row r="23" spans="3:9" x14ac:dyDescent="0.3">
      <c r="C23" t="s">
        <v>31</v>
      </c>
      <c r="D23" t="s">
        <v>15</v>
      </c>
      <c r="E23" t="s">
        <v>9</v>
      </c>
      <c r="F23">
        <v>21</v>
      </c>
      <c r="G23" s="4">
        <v>44762</v>
      </c>
      <c r="H23" s="6">
        <v>57090</v>
      </c>
      <c r="I23" t="s">
        <v>16</v>
      </c>
    </row>
    <row r="24" spans="3:9" x14ac:dyDescent="0.3">
      <c r="C24" t="s">
        <v>30</v>
      </c>
      <c r="D24" t="s">
        <v>8</v>
      </c>
      <c r="E24" t="s">
        <v>12</v>
      </c>
      <c r="F24">
        <v>31</v>
      </c>
      <c r="G24" s="4">
        <v>44145</v>
      </c>
      <c r="H24" s="6">
        <v>41980</v>
      </c>
      <c r="I24" t="s">
        <v>16</v>
      </c>
    </row>
    <row r="25" spans="3:9" x14ac:dyDescent="0.3">
      <c r="C25" t="s">
        <v>78</v>
      </c>
      <c r="D25" t="s">
        <v>15</v>
      </c>
      <c r="E25" t="s">
        <v>56</v>
      </c>
      <c r="F25">
        <v>21</v>
      </c>
      <c r="G25" s="4">
        <v>44242</v>
      </c>
      <c r="H25" s="6">
        <v>75880</v>
      </c>
      <c r="I25" t="s">
        <v>16</v>
      </c>
    </row>
    <row r="26" spans="3:9" x14ac:dyDescent="0.3">
      <c r="C26" t="s">
        <v>36</v>
      </c>
      <c r="D26" t="s">
        <v>8</v>
      </c>
      <c r="E26" t="s">
        <v>21</v>
      </c>
      <c r="F26">
        <v>34</v>
      </c>
      <c r="G26" s="4">
        <v>44653</v>
      </c>
      <c r="H26" s="6">
        <v>58940</v>
      </c>
      <c r="I26" t="s">
        <v>16</v>
      </c>
    </row>
    <row r="27" spans="3:9" x14ac:dyDescent="0.3">
      <c r="C27" t="s">
        <v>27</v>
      </c>
      <c r="D27" t="s">
        <v>8</v>
      </c>
      <c r="E27" t="s">
        <v>21</v>
      </c>
      <c r="F27">
        <v>30</v>
      </c>
      <c r="G27" s="4">
        <v>44389</v>
      </c>
      <c r="H27" s="6">
        <v>67910</v>
      </c>
      <c r="I27" t="s">
        <v>24</v>
      </c>
    </row>
    <row r="28" spans="3:9" x14ac:dyDescent="0.3">
      <c r="C28" t="s">
        <v>26</v>
      </c>
      <c r="D28" t="s">
        <v>8</v>
      </c>
      <c r="E28" t="s">
        <v>12</v>
      </c>
      <c r="F28">
        <v>31</v>
      </c>
      <c r="G28" s="4">
        <v>44663</v>
      </c>
      <c r="H28" s="6">
        <v>58100</v>
      </c>
      <c r="I28" t="s">
        <v>16</v>
      </c>
    </row>
    <row r="29" spans="3:9" x14ac:dyDescent="0.3">
      <c r="C29" t="s">
        <v>53</v>
      </c>
      <c r="D29" t="s">
        <v>15</v>
      </c>
      <c r="E29" t="s">
        <v>21</v>
      </c>
      <c r="F29">
        <v>27</v>
      </c>
      <c r="G29" s="4">
        <v>44567</v>
      </c>
      <c r="H29" s="6">
        <v>48980</v>
      </c>
      <c r="I29" t="s">
        <v>16</v>
      </c>
    </row>
    <row r="30" spans="3:9" x14ac:dyDescent="0.3">
      <c r="C30" t="s">
        <v>20</v>
      </c>
      <c r="E30" t="s">
        <v>21</v>
      </c>
      <c r="F30">
        <v>30</v>
      </c>
      <c r="G30" s="4">
        <v>44597</v>
      </c>
      <c r="H30" s="6">
        <v>64000</v>
      </c>
      <c r="I30" t="s">
        <v>16</v>
      </c>
    </row>
    <row r="31" spans="3:9" x14ac:dyDescent="0.3">
      <c r="C31" t="s">
        <v>7</v>
      </c>
      <c r="D31" t="s">
        <v>8</v>
      </c>
      <c r="E31" t="s">
        <v>9</v>
      </c>
      <c r="F31">
        <v>42</v>
      </c>
      <c r="G31" s="4">
        <v>44779</v>
      </c>
      <c r="H31" s="6">
        <v>75000</v>
      </c>
      <c r="I31" t="s">
        <v>10</v>
      </c>
    </row>
    <row r="32" spans="3:9" x14ac:dyDescent="0.3">
      <c r="C32" t="s">
        <v>74</v>
      </c>
      <c r="D32" t="s">
        <v>8</v>
      </c>
      <c r="E32" t="s">
        <v>12</v>
      </c>
      <c r="F32">
        <v>40</v>
      </c>
      <c r="G32" s="4">
        <v>44337</v>
      </c>
      <c r="H32" s="6">
        <v>87620</v>
      </c>
      <c r="I32" t="s">
        <v>16</v>
      </c>
    </row>
    <row r="33" spans="3:9" x14ac:dyDescent="0.3">
      <c r="C33" t="s">
        <v>44</v>
      </c>
      <c r="D33" t="s">
        <v>8</v>
      </c>
      <c r="E33" t="s">
        <v>12</v>
      </c>
      <c r="F33">
        <v>29</v>
      </c>
      <c r="G33" s="4">
        <v>44023</v>
      </c>
      <c r="H33" s="6">
        <v>34980</v>
      </c>
      <c r="I33" t="s">
        <v>16</v>
      </c>
    </row>
    <row r="34" spans="3:9" x14ac:dyDescent="0.3">
      <c r="C34" t="s">
        <v>35</v>
      </c>
      <c r="D34" t="s">
        <v>8</v>
      </c>
      <c r="E34" t="s">
        <v>21</v>
      </c>
      <c r="F34">
        <v>28</v>
      </c>
      <c r="G34" s="4">
        <v>44185</v>
      </c>
      <c r="H34" s="6">
        <v>75970</v>
      </c>
      <c r="I34" t="s">
        <v>16</v>
      </c>
    </row>
    <row r="35" spans="3:9" x14ac:dyDescent="0.3">
      <c r="C35" t="s">
        <v>38</v>
      </c>
      <c r="D35" t="s">
        <v>8</v>
      </c>
      <c r="E35" t="s">
        <v>21</v>
      </c>
      <c r="F35">
        <v>34</v>
      </c>
      <c r="G35" s="4">
        <v>44612</v>
      </c>
      <c r="H35" s="6">
        <v>60130</v>
      </c>
      <c r="I35" t="s">
        <v>16</v>
      </c>
    </row>
    <row r="36" spans="3:9" x14ac:dyDescent="0.3">
      <c r="C36" t="s">
        <v>41</v>
      </c>
      <c r="D36" t="s">
        <v>8</v>
      </c>
      <c r="E36" t="s">
        <v>12</v>
      </c>
      <c r="F36">
        <v>33</v>
      </c>
      <c r="G36" s="4">
        <v>44374</v>
      </c>
      <c r="H36" s="6">
        <v>75480</v>
      </c>
      <c r="I36" t="s">
        <v>42</v>
      </c>
    </row>
    <row r="37" spans="3:9" x14ac:dyDescent="0.3">
      <c r="C37" t="s">
        <v>40</v>
      </c>
      <c r="D37" t="s">
        <v>15</v>
      </c>
      <c r="E37" t="s">
        <v>9</v>
      </c>
      <c r="F37">
        <v>33</v>
      </c>
      <c r="G37" s="4">
        <v>44164</v>
      </c>
      <c r="H37" s="6">
        <v>115920</v>
      </c>
      <c r="I37" t="s">
        <v>16</v>
      </c>
    </row>
    <row r="38" spans="3:9" x14ac:dyDescent="0.3">
      <c r="C38" t="s">
        <v>48</v>
      </c>
      <c r="D38" t="s">
        <v>8</v>
      </c>
      <c r="E38" t="s">
        <v>19</v>
      </c>
      <c r="F38">
        <v>36</v>
      </c>
      <c r="G38" s="4">
        <v>44494</v>
      </c>
      <c r="H38" s="6">
        <v>78540</v>
      </c>
      <c r="I38" t="s">
        <v>16</v>
      </c>
    </row>
    <row r="39" spans="3:9" x14ac:dyDescent="0.3">
      <c r="C39" t="s">
        <v>34</v>
      </c>
      <c r="D39" t="s">
        <v>15</v>
      </c>
      <c r="E39" t="s">
        <v>9</v>
      </c>
      <c r="F39">
        <v>25</v>
      </c>
      <c r="G39" s="4">
        <v>44726</v>
      </c>
      <c r="H39" s="6">
        <v>109190</v>
      </c>
      <c r="I39" t="s">
        <v>13</v>
      </c>
    </row>
    <row r="40" spans="3:9" x14ac:dyDescent="0.3">
      <c r="C40" t="s">
        <v>73</v>
      </c>
      <c r="D40" t="s">
        <v>8</v>
      </c>
      <c r="E40" t="s">
        <v>19</v>
      </c>
      <c r="F40">
        <v>34</v>
      </c>
      <c r="G40" s="4">
        <v>44721</v>
      </c>
      <c r="H40" s="6">
        <v>49630</v>
      </c>
      <c r="I40" t="s">
        <v>24</v>
      </c>
    </row>
    <row r="41" spans="3:9" x14ac:dyDescent="0.3">
      <c r="C41" t="s">
        <v>107</v>
      </c>
      <c r="D41" t="s">
        <v>8</v>
      </c>
      <c r="E41" t="s">
        <v>9</v>
      </c>
      <c r="F41">
        <v>28</v>
      </c>
      <c r="G41" s="4">
        <v>44630</v>
      </c>
      <c r="H41" s="6">
        <v>99970</v>
      </c>
      <c r="I41" t="s">
        <v>16</v>
      </c>
    </row>
    <row r="42" spans="3:9" x14ac:dyDescent="0.3">
      <c r="C42" t="s">
        <v>71</v>
      </c>
      <c r="D42" t="s">
        <v>8</v>
      </c>
      <c r="E42" t="s">
        <v>12</v>
      </c>
      <c r="F42">
        <v>33</v>
      </c>
      <c r="G42" s="4">
        <v>44190</v>
      </c>
      <c r="H42" s="6">
        <v>96140</v>
      </c>
      <c r="I42" t="s">
        <v>16</v>
      </c>
    </row>
    <row r="43" spans="3:9" x14ac:dyDescent="0.3">
      <c r="C43" t="s">
        <v>50</v>
      </c>
      <c r="D43" t="s">
        <v>15</v>
      </c>
      <c r="E43" t="s">
        <v>9</v>
      </c>
      <c r="F43">
        <v>31</v>
      </c>
      <c r="G43" s="4">
        <v>44724</v>
      </c>
      <c r="H43" s="6">
        <v>103550</v>
      </c>
      <c r="I43" t="s">
        <v>16</v>
      </c>
    </row>
    <row r="44" spans="3:9" x14ac:dyDescent="0.3">
      <c r="C44" t="s">
        <v>14</v>
      </c>
      <c r="D44" t="s">
        <v>15</v>
      </c>
      <c r="E44" t="s">
        <v>12</v>
      </c>
      <c r="F44">
        <v>31</v>
      </c>
      <c r="G44" s="4">
        <v>44511</v>
      </c>
      <c r="H44" s="6">
        <v>48950</v>
      </c>
      <c r="I44" t="s">
        <v>16</v>
      </c>
    </row>
    <row r="45" spans="3:9" x14ac:dyDescent="0.3">
      <c r="C45" t="s">
        <v>63</v>
      </c>
      <c r="D45" t="s">
        <v>15</v>
      </c>
      <c r="E45" t="s">
        <v>21</v>
      </c>
      <c r="F45">
        <v>24</v>
      </c>
      <c r="G45" s="4">
        <v>44436</v>
      </c>
      <c r="H45" s="6">
        <v>52610</v>
      </c>
      <c r="I45" t="s">
        <v>24</v>
      </c>
    </row>
    <row r="46" spans="3:9" x14ac:dyDescent="0.3">
      <c r="C46" t="s">
        <v>72</v>
      </c>
      <c r="D46" t="s">
        <v>8</v>
      </c>
      <c r="E46" t="s">
        <v>9</v>
      </c>
      <c r="F46">
        <v>36</v>
      </c>
      <c r="G46" s="4">
        <v>44529</v>
      </c>
      <c r="H46" s="6">
        <v>78390</v>
      </c>
      <c r="I46" t="s">
        <v>16</v>
      </c>
    </row>
    <row r="47" spans="3:9" x14ac:dyDescent="0.3">
      <c r="C47" t="s">
        <v>88</v>
      </c>
      <c r="D47" t="s">
        <v>8</v>
      </c>
      <c r="E47" t="s">
        <v>21</v>
      </c>
      <c r="F47">
        <v>33</v>
      </c>
      <c r="G47" s="4">
        <v>44809</v>
      </c>
      <c r="H47" s="6">
        <v>86570</v>
      </c>
      <c r="I47" t="s">
        <v>16</v>
      </c>
    </row>
    <row r="48" spans="3:9" x14ac:dyDescent="0.3">
      <c r="C48" t="s">
        <v>92</v>
      </c>
      <c r="D48" t="s">
        <v>8</v>
      </c>
      <c r="E48" t="s">
        <v>12</v>
      </c>
      <c r="F48">
        <v>27</v>
      </c>
      <c r="G48" s="4">
        <v>44686</v>
      </c>
      <c r="H48" s="6">
        <v>83750</v>
      </c>
      <c r="I48" t="s">
        <v>16</v>
      </c>
    </row>
    <row r="49" spans="3:9" x14ac:dyDescent="0.3">
      <c r="C49" t="s">
        <v>102</v>
      </c>
      <c r="D49" t="s">
        <v>8</v>
      </c>
      <c r="E49" t="s">
        <v>21</v>
      </c>
      <c r="F49">
        <v>34</v>
      </c>
      <c r="G49" s="4">
        <v>44445</v>
      </c>
      <c r="H49" s="6">
        <v>92450</v>
      </c>
      <c r="I49" t="s">
        <v>16</v>
      </c>
    </row>
    <row r="50" spans="3:9" x14ac:dyDescent="0.3">
      <c r="C50" t="s">
        <v>64</v>
      </c>
      <c r="D50" t="s">
        <v>15</v>
      </c>
      <c r="E50" t="s">
        <v>12</v>
      </c>
      <c r="F50">
        <v>20</v>
      </c>
      <c r="G50" s="4">
        <v>44183</v>
      </c>
      <c r="H50" s="6">
        <v>112650</v>
      </c>
      <c r="I50" t="s">
        <v>16</v>
      </c>
    </row>
    <row r="51" spans="3:9" x14ac:dyDescent="0.3">
      <c r="C51" t="s">
        <v>104</v>
      </c>
      <c r="D51" t="s">
        <v>15</v>
      </c>
      <c r="E51" t="s">
        <v>9</v>
      </c>
      <c r="F51">
        <v>20</v>
      </c>
      <c r="G51" s="4">
        <v>44744</v>
      </c>
      <c r="H51" s="6">
        <v>79570</v>
      </c>
      <c r="I51" t="s">
        <v>16</v>
      </c>
    </row>
    <row r="52" spans="3:9" x14ac:dyDescent="0.3">
      <c r="C52" t="s">
        <v>91</v>
      </c>
      <c r="D52" t="s">
        <v>8</v>
      </c>
      <c r="E52" t="s">
        <v>19</v>
      </c>
      <c r="F52">
        <v>20</v>
      </c>
      <c r="G52" s="4">
        <v>44537</v>
      </c>
      <c r="H52" s="6">
        <v>68900</v>
      </c>
      <c r="I52" t="s">
        <v>24</v>
      </c>
    </row>
    <row r="53" spans="3:9" x14ac:dyDescent="0.3">
      <c r="C53" t="s">
        <v>39</v>
      </c>
      <c r="D53" t="s">
        <v>8</v>
      </c>
      <c r="E53" t="s">
        <v>12</v>
      </c>
      <c r="F53">
        <v>25</v>
      </c>
      <c r="G53" s="4">
        <v>44694</v>
      </c>
      <c r="H53" s="6">
        <v>80700</v>
      </c>
      <c r="I53" t="s">
        <v>13</v>
      </c>
    </row>
    <row r="54" spans="3:9" x14ac:dyDescent="0.3">
      <c r="C54" t="s">
        <v>100</v>
      </c>
      <c r="D54" t="s">
        <v>15</v>
      </c>
      <c r="E54" t="s">
        <v>9</v>
      </c>
      <c r="F54">
        <v>19</v>
      </c>
      <c r="G54" s="4">
        <v>44277</v>
      </c>
      <c r="H54" s="6">
        <v>58960</v>
      </c>
      <c r="I54" t="s">
        <v>16</v>
      </c>
    </row>
    <row r="55" spans="3:9" x14ac:dyDescent="0.3">
      <c r="C55" t="s">
        <v>106</v>
      </c>
      <c r="D55" t="s">
        <v>15</v>
      </c>
      <c r="E55" t="s">
        <v>12</v>
      </c>
      <c r="F55">
        <v>36</v>
      </c>
      <c r="G55" s="4">
        <v>44019</v>
      </c>
      <c r="H55" s="6">
        <v>118840</v>
      </c>
      <c r="I55" t="s">
        <v>16</v>
      </c>
    </row>
    <row r="56" spans="3:9" x14ac:dyDescent="0.3">
      <c r="C56" t="s">
        <v>29</v>
      </c>
      <c r="D56" t="s">
        <v>15</v>
      </c>
      <c r="E56" t="s">
        <v>21</v>
      </c>
      <c r="F56">
        <v>28</v>
      </c>
      <c r="G56" s="4">
        <v>44041</v>
      </c>
      <c r="H56" s="6">
        <v>48170</v>
      </c>
      <c r="I56" t="s">
        <v>13</v>
      </c>
    </row>
    <row r="57" spans="3:9" x14ac:dyDescent="0.3">
      <c r="C57" t="s">
        <v>108</v>
      </c>
      <c r="D57" t="s">
        <v>8</v>
      </c>
      <c r="E57" t="s">
        <v>56</v>
      </c>
      <c r="F57">
        <v>32</v>
      </c>
      <c r="G57" s="4">
        <v>44400</v>
      </c>
      <c r="H57" s="6">
        <v>45510</v>
      </c>
      <c r="I57" t="s">
        <v>16</v>
      </c>
    </row>
    <row r="58" spans="3:9" x14ac:dyDescent="0.3">
      <c r="C58" t="s">
        <v>64</v>
      </c>
      <c r="D58" t="s">
        <v>15</v>
      </c>
      <c r="E58" t="s">
        <v>9</v>
      </c>
      <c r="F58">
        <v>34</v>
      </c>
      <c r="G58" s="4">
        <v>44703</v>
      </c>
      <c r="H58" s="6">
        <v>112650</v>
      </c>
      <c r="I58" t="s">
        <v>16</v>
      </c>
    </row>
    <row r="59" spans="3:9" x14ac:dyDescent="0.3">
      <c r="C59" t="s">
        <v>83</v>
      </c>
      <c r="D59" t="s">
        <v>8</v>
      </c>
      <c r="E59" t="s">
        <v>9</v>
      </c>
      <c r="F59">
        <v>36</v>
      </c>
      <c r="G59" s="4">
        <v>44085</v>
      </c>
      <c r="H59" s="6">
        <v>114890</v>
      </c>
      <c r="I59" t="s">
        <v>16</v>
      </c>
    </row>
    <row r="60" spans="3:9" x14ac:dyDescent="0.3">
      <c r="C60" t="s">
        <v>67</v>
      </c>
      <c r="D60" t="s">
        <v>15</v>
      </c>
      <c r="E60" t="s">
        <v>12</v>
      </c>
      <c r="F60">
        <v>30</v>
      </c>
      <c r="G60" s="4">
        <v>44850</v>
      </c>
      <c r="H60" s="6">
        <v>69710</v>
      </c>
      <c r="I60" t="s">
        <v>16</v>
      </c>
    </row>
    <row r="61" spans="3:9" x14ac:dyDescent="0.3">
      <c r="C61" t="s">
        <v>94</v>
      </c>
      <c r="D61" t="s">
        <v>15</v>
      </c>
      <c r="E61" t="s">
        <v>21</v>
      </c>
      <c r="F61">
        <v>36</v>
      </c>
      <c r="G61" s="4">
        <v>44333</v>
      </c>
      <c r="H61" s="6">
        <v>71380</v>
      </c>
      <c r="I61" t="s">
        <v>16</v>
      </c>
    </row>
    <row r="62" spans="3:9" x14ac:dyDescent="0.3">
      <c r="C62" t="s">
        <v>33</v>
      </c>
      <c r="D62" t="s">
        <v>8</v>
      </c>
      <c r="E62" t="s">
        <v>19</v>
      </c>
      <c r="F62">
        <v>38</v>
      </c>
      <c r="G62" s="4">
        <v>44377</v>
      </c>
      <c r="H62" s="6">
        <v>109160</v>
      </c>
      <c r="I62" t="s">
        <v>10</v>
      </c>
    </row>
    <row r="63" spans="3:9" x14ac:dyDescent="0.3">
      <c r="C63" t="s">
        <v>98</v>
      </c>
      <c r="D63" t="s">
        <v>15</v>
      </c>
      <c r="E63" t="s">
        <v>9</v>
      </c>
      <c r="F63">
        <v>27</v>
      </c>
      <c r="G63" s="4">
        <v>44609</v>
      </c>
      <c r="H63" s="6">
        <v>113280</v>
      </c>
      <c r="I63" t="s">
        <v>42</v>
      </c>
    </row>
    <row r="64" spans="3:9" x14ac:dyDescent="0.3">
      <c r="C64" t="s">
        <v>25</v>
      </c>
      <c r="D64" t="s">
        <v>15</v>
      </c>
      <c r="E64" t="s">
        <v>12</v>
      </c>
      <c r="F64">
        <v>30</v>
      </c>
      <c r="G64" s="4">
        <v>44273</v>
      </c>
      <c r="H64" s="6">
        <v>69120</v>
      </c>
      <c r="I64" t="s">
        <v>16</v>
      </c>
    </row>
    <row r="65" spans="3:9" x14ac:dyDescent="0.3">
      <c r="C65" t="s">
        <v>55</v>
      </c>
      <c r="D65" t="s">
        <v>8</v>
      </c>
      <c r="E65" t="s">
        <v>56</v>
      </c>
      <c r="F65">
        <v>37</v>
      </c>
      <c r="G65" s="4">
        <v>44451</v>
      </c>
      <c r="H65" s="6">
        <v>118100</v>
      </c>
      <c r="I65" t="s">
        <v>16</v>
      </c>
    </row>
    <row r="66" spans="3:9" x14ac:dyDescent="0.3">
      <c r="C66" t="s">
        <v>62</v>
      </c>
      <c r="D66" t="s">
        <v>8</v>
      </c>
      <c r="E66" t="s">
        <v>9</v>
      </c>
      <c r="F66">
        <v>22</v>
      </c>
      <c r="G66" s="4">
        <v>44450</v>
      </c>
      <c r="H66" s="6">
        <v>76900</v>
      </c>
      <c r="I66" t="s">
        <v>13</v>
      </c>
    </row>
    <row r="67" spans="3:9" x14ac:dyDescent="0.3">
      <c r="C67" t="s">
        <v>17</v>
      </c>
      <c r="D67" t="s">
        <v>8</v>
      </c>
      <c r="E67" t="s">
        <v>12</v>
      </c>
      <c r="F67">
        <v>43</v>
      </c>
      <c r="G67" s="4">
        <v>45045</v>
      </c>
      <c r="H67" s="6">
        <v>114870</v>
      </c>
      <c r="I67" t="s">
        <v>16</v>
      </c>
    </row>
    <row r="68" spans="3:9" x14ac:dyDescent="0.3">
      <c r="C68" t="s">
        <v>52</v>
      </c>
      <c r="E68" t="s">
        <v>12</v>
      </c>
      <c r="F68">
        <v>32</v>
      </c>
      <c r="G68" s="4">
        <v>44774</v>
      </c>
      <c r="H68" s="6">
        <v>91310</v>
      </c>
      <c r="I68" t="s">
        <v>16</v>
      </c>
    </row>
    <row r="69" spans="3:9" x14ac:dyDescent="0.3">
      <c r="C69" t="s">
        <v>43</v>
      </c>
      <c r="D69" t="s">
        <v>8</v>
      </c>
      <c r="E69" t="s">
        <v>9</v>
      </c>
      <c r="F69">
        <v>28</v>
      </c>
      <c r="G69" s="4">
        <v>44486</v>
      </c>
      <c r="H69" s="6">
        <v>104770</v>
      </c>
      <c r="I69" t="s">
        <v>16</v>
      </c>
    </row>
    <row r="70" spans="3:9" x14ac:dyDescent="0.3">
      <c r="C70" t="s">
        <v>89</v>
      </c>
      <c r="D70" t="s">
        <v>15</v>
      </c>
      <c r="E70" t="s">
        <v>19</v>
      </c>
      <c r="F70">
        <v>27</v>
      </c>
      <c r="G70" s="4">
        <v>44134</v>
      </c>
      <c r="H70" s="6">
        <v>54970</v>
      </c>
      <c r="I70" t="s">
        <v>16</v>
      </c>
    </row>
    <row r="71" spans="3:9" x14ac:dyDescent="0.3">
      <c r="C71" t="s">
        <v>11</v>
      </c>
      <c r="E71" t="s">
        <v>12</v>
      </c>
      <c r="F71">
        <v>26</v>
      </c>
      <c r="G71" s="4">
        <v>44271</v>
      </c>
      <c r="H71" s="6">
        <v>90700</v>
      </c>
      <c r="I71" t="s">
        <v>13</v>
      </c>
    </row>
    <row r="72" spans="3:9" x14ac:dyDescent="0.3">
      <c r="C72" t="s">
        <v>109</v>
      </c>
      <c r="D72" t="s">
        <v>8</v>
      </c>
      <c r="E72" t="s">
        <v>19</v>
      </c>
      <c r="F72">
        <v>38</v>
      </c>
      <c r="G72" s="4">
        <v>44329</v>
      </c>
      <c r="H72" s="6">
        <v>56870</v>
      </c>
      <c r="I72" t="s">
        <v>13</v>
      </c>
    </row>
    <row r="73" spans="3:9" x14ac:dyDescent="0.3">
      <c r="C73" t="s">
        <v>77</v>
      </c>
      <c r="D73" t="s">
        <v>8</v>
      </c>
      <c r="E73" t="s">
        <v>19</v>
      </c>
      <c r="F73">
        <v>25</v>
      </c>
      <c r="G73" s="4">
        <v>44205</v>
      </c>
      <c r="H73" s="6">
        <v>92700</v>
      </c>
      <c r="I73" t="s">
        <v>16</v>
      </c>
    </row>
    <row r="74" spans="3:9" x14ac:dyDescent="0.3">
      <c r="C74" t="s">
        <v>32</v>
      </c>
      <c r="D74" t="s">
        <v>8</v>
      </c>
      <c r="E74" t="s">
        <v>21</v>
      </c>
      <c r="F74">
        <v>21</v>
      </c>
      <c r="G74" s="4">
        <v>44317</v>
      </c>
      <c r="H74" s="6">
        <v>65920</v>
      </c>
      <c r="I74" t="s">
        <v>16</v>
      </c>
    </row>
    <row r="75" spans="3:9" x14ac:dyDescent="0.3">
      <c r="C75" t="s">
        <v>59</v>
      </c>
      <c r="D75" t="s">
        <v>15</v>
      </c>
      <c r="E75" t="s">
        <v>9</v>
      </c>
      <c r="F75">
        <v>26</v>
      </c>
      <c r="G75" s="4">
        <v>44225</v>
      </c>
      <c r="H75" s="6">
        <v>47360</v>
      </c>
      <c r="I75" t="s">
        <v>16</v>
      </c>
    </row>
    <row r="76" spans="3:9" x14ac:dyDescent="0.3">
      <c r="C76" t="s">
        <v>37</v>
      </c>
      <c r="D76" t="s">
        <v>15</v>
      </c>
      <c r="E76" t="s">
        <v>9</v>
      </c>
      <c r="F76">
        <v>30</v>
      </c>
      <c r="G76" s="4">
        <v>44666</v>
      </c>
      <c r="H76" s="6">
        <v>60570</v>
      </c>
      <c r="I76" t="s">
        <v>16</v>
      </c>
    </row>
    <row r="77" spans="3:9" x14ac:dyDescent="0.3">
      <c r="C77" t="s">
        <v>96</v>
      </c>
      <c r="D77" t="s">
        <v>8</v>
      </c>
      <c r="E77" t="s">
        <v>9</v>
      </c>
      <c r="F77">
        <v>28</v>
      </c>
      <c r="G77" s="4">
        <v>44649</v>
      </c>
      <c r="H77" s="6">
        <v>104120</v>
      </c>
      <c r="I77" t="s">
        <v>16</v>
      </c>
    </row>
    <row r="78" spans="3:9" x14ac:dyDescent="0.3">
      <c r="C78" t="s">
        <v>23</v>
      </c>
      <c r="D78" t="s">
        <v>15</v>
      </c>
      <c r="E78" t="s">
        <v>12</v>
      </c>
      <c r="F78">
        <v>37</v>
      </c>
      <c r="G78" s="4">
        <v>44338</v>
      </c>
      <c r="H78" s="6">
        <v>88050</v>
      </c>
      <c r="I78" t="s">
        <v>24</v>
      </c>
    </row>
    <row r="79" spans="3:9" x14ac:dyDescent="0.3">
      <c r="C79" t="s">
        <v>103</v>
      </c>
      <c r="D79" t="s">
        <v>15</v>
      </c>
      <c r="E79" t="s">
        <v>12</v>
      </c>
      <c r="F79">
        <v>24</v>
      </c>
      <c r="G79" s="4">
        <v>44686</v>
      </c>
      <c r="H79" s="6">
        <v>100420</v>
      </c>
      <c r="I79" t="s">
        <v>16</v>
      </c>
    </row>
    <row r="80" spans="3:9" x14ac:dyDescent="0.3">
      <c r="C80" t="s">
        <v>54</v>
      </c>
      <c r="D80" t="s">
        <v>8</v>
      </c>
      <c r="E80" t="s">
        <v>9</v>
      </c>
      <c r="F80">
        <v>30</v>
      </c>
      <c r="G80" s="4">
        <v>44850</v>
      </c>
      <c r="H80" s="6">
        <v>114180</v>
      </c>
      <c r="I80" t="s">
        <v>16</v>
      </c>
    </row>
    <row r="81" spans="3:9" x14ac:dyDescent="0.3">
      <c r="C81" t="s">
        <v>86</v>
      </c>
      <c r="D81" t="s">
        <v>8</v>
      </c>
      <c r="E81" t="s">
        <v>12</v>
      </c>
      <c r="F81">
        <v>21</v>
      </c>
      <c r="G81" s="4">
        <v>44678</v>
      </c>
      <c r="H81" s="6">
        <v>33920</v>
      </c>
      <c r="I81" t="s">
        <v>16</v>
      </c>
    </row>
    <row r="82" spans="3:9" x14ac:dyDescent="0.3">
      <c r="C82" t="s">
        <v>69</v>
      </c>
      <c r="D82" t="s">
        <v>15</v>
      </c>
      <c r="E82" t="s">
        <v>9</v>
      </c>
      <c r="F82">
        <v>23</v>
      </c>
      <c r="G82" s="4">
        <v>44440</v>
      </c>
      <c r="H82" s="6">
        <v>106460</v>
      </c>
      <c r="I82" t="s">
        <v>16</v>
      </c>
    </row>
    <row r="83" spans="3:9" x14ac:dyDescent="0.3">
      <c r="C83" t="s">
        <v>57</v>
      </c>
      <c r="D83" t="s">
        <v>15</v>
      </c>
      <c r="E83" t="s">
        <v>9</v>
      </c>
      <c r="F83">
        <v>35</v>
      </c>
      <c r="G83" s="4">
        <v>44727</v>
      </c>
      <c r="H83" s="6">
        <v>40400</v>
      </c>
      <c r="I83" t="s">
        <v>16</v>
      </c>
    </row>
    <row r="84" spans="3:9" x14ac:dyDescent="0.3">
      <c r="C84" t="s">
        <v>68</v>
      </c>
      <c r="D84" t="s">
        <v>15</v>
      </c>
      <c r="E84" t="s">
        <v>21</v>
      </c>
      <c r="F84">
        <v>27</v>
      </c>
      <c r="G84" s="4">
        <v>44236</v>
      </c>
      <c r="H84" s="6">
        <v>91650</v>
      </c>
      <c r="I84" t="s">
        <v>13</v>
      </c>
    </row>
    <row r="85" spans="3:9" x14ac:dyDescent="0.3">
      <c r="C85" t="s">
        <v>99</v>
      </c>
      <c r="D85" t="s">
        <v>15</v>
      </c>
      <c r="E85" t="s">
        <v>19</v>
      </c>
      <c r="F85">
        <v>43</v>
      </c>
      <c r="G85" s="4">
        <v>44620</v>
      </c>
      <c r="H85" s="6">
        <v>36040</v>
      </c>
      <c r="I85" t="s">
        <v>16</v>
      </c>
    </row>
    <row r="86" spans="3:9" x14ac:dyDescent="0.3">
      <c r="C86" t="s">
        <v>101</v>
      </c>
      <c r="D86" t="s">
        <v>8</v>
      </c>
      <c r="E86" t="s">
        <v>12</v>
      </c>
      <c r="F86">
        <v>40</v>
      </c>
      <c r="G86" s="4">
        <v>44381</v>
      </c>
      <c r="H86" s="6">
        <v>104410</v>
      </c>
      <c r="I86" t="s">
        <v>16</v>
      </c>
    </row>
    <row r="87" spans="3:9" x14ac:dyDescent="0.3">
      <c r="C87" t="s">
        <v>85</v>
      </c>
      <c r="D87" t="s">
        <v>15</v>
      </c>
      <c r="E87" t="s">
        <v>21</v>
      </c>
      <c r="F87">
        <v>30</v>
      </c>
      <c r="G87" s="4">
        <v>44606</v>
      </c>
      <c r="H87" s="6">
        <v>96800</v>
      </c>
      <c r="I87" t="s">
        <v>16</v>
      </c>
    </row>
    <row r="88" spans="3:9" x14ac:dyDescent="0.3">
      <c r="C88" t="s">
        <v>28</v>
      </c>
      <c r="D88" t="s">
        <v>8</v>
      </c>
      <c r="E88" t="s">
        <v>21</v>
      </c>
      <c r="F88">
        <v>34</v>
      </c>
      <c r="G88" s="4">
        <v>44459</v>
      </c>
      <c r="H88" s="6">
        <v>85000</v>
      </c>
      <c r="I88" t="s">
        <v>16</v>
      </c>
    </row>
    <row r="89" spans="3:9" x14ac:dyDescent="0.3">
      <c r="C89" t="s">
        <v>80</v>
      </c>
      <c r="D89" t="s">
        <v>15</v>
      </c>
      <c r="E89" t="s">
        <v>19</v>
      </c>
      <c r="F89">
        <v>28</v>
      </c>
      <c r="G89" s="4">
        <v>44820</v>
      </c>
      <c r="H89" s="6">
        <v>43510</v>
      </c>
      <c r="I89" t="s">
        <v>42</v>
      </c>
    </row>
    <row r="90" spans="3:9" x14ac:dyDescent="0.3">
      <c r="C90" t="s">
        <v>79</v>
      </c>
      <c r="D90" t="s">
        <v>15</v>
      </c>
      <c r="E90" t="s">
        <v>21</v>
      </c>
      <c r="F90">
        <v>33</v>
      </c>
      <c r="G90" s="4">
        <v>44243</v>
      </c>
      <c r="H90" s="6">
        <v>59430</v>
      </c>
      <c r="I90" t="s">
        <v>16</v>
      </c>
    </row>
    <row r="91" spans="3:9" x14ac:dyDescent="0.3">
      <c r="C91" t="s">
        <v>93</v>
      </c>
      <c r="D91" t="s">
        <v>8</v>
      </c>
      <c r="E91" t="s">
        <v>21</v>
      </c>
      <c r="F91">
        <v>33</v>
      </c>
      <c r="G91" s="4">
        <v>44067</v>
      </c>
      <c r="H91" s="6">
        <v>65360</v>
      </c>
      <c r="I91" t="s">
        <v>16</v>
      </c>
    </row>
    <row r="92" spans="3:9" x14ac:dyDescent="0.3">
      <c r="C92" t="s">
        <v>66</v>
      </c>
      <c r="D92" t="s">
        <v>8</v>
      </c>
      <c r="E92" t="s">
        <v>9</v>
      </c>
      <c r="F92">
        <v>32</v>
      </c>
      <c r="G92" s="4">
        <v>44611</v>
      </c>
      <c r="H92" s="6">
        <v>41570</v>
      </c>
      <c r="I92" t="s">
        <v>16</v>
      </c>
    </row>
    <row r="93" spans="3:9" x14ac:dyDescent="0.3">
      <c r="C93" t="s">
        <v>95</v>
      </c>
      <c r="D93" t="s">
        <v>8</v>
      </c>
      <c r="E93" t="s">
        <v>12</v>
      </c>
      <c r="F93">
        <v>33</v>
      </c>
      <c r="G93" s="4">
        <v>44312</v>
      </c>
      <c r="H93" s="6">
        <v>75280</v>
      </c>
      <c r="I93" t="s">
        <v>16</v>
      </c>
    </row>
    <row r="94" spans="3:9" x14ac:dyDescent="0.3">
      <c r="C94" t="s">
        <v>18</v>
      </c>
      <c r="D94" t="s">
        <v>15</v>
      </c>
      <c r="E94" t="s">
        <v>19</v>
      </c>
      <c r="F94">
        <v>33</v>
      </c>
      <c r="G94" s="4">
        <v>44385</v>
      </c>
      <c r="H94" s="6">
        <v>74550</v>
      </c>
      <c r="I94" t="s">
        <v>16</v>
      </c>
    </row>
    <row r="95" spans="3:9" x14ac:dyDescent="0.3">
      <c r="C95" t="s">
        <v>45</v>
      </c>
      <c r="D95" t="s">
        <v>15</v>
      </c>
      <c r="E95" t="s">
        <v>9</v>
      </c>
      <c r="F95">
        <v>30</v>
      </c>
      <c r="G95" s="4">
        <v>44701</v>
      </c>
      <c r="H95" s="6">
        <v>67950</v>
      </c>
      <c r="I95" t="s">
        <v>16</v>
      </c>
    </row>
    <row r="96" spans="3:9" x14ac:dyDescent="0.3">
      <c r="C96" t="s">
        <v>90</v>
      </c>
      <c r="D96" t="s">
        <v>15</v>
      </c>
      <c r="E96" t="s">
        <v>21</v>
      </c>
      <c r="F96">
        <v>42</v>
      </c>
      <c r="G96" s="4">
        <v>44731</v>
      </c>
      <c r="H96" s="6">
        <v>70270</v>
      </c>
      <c r="I96" t="s">
        <v>24</v>
      </c>
    </row>
    <row r="97" spans="3:9" x14ac:dyDescent="0.3">
      <c r="C97" t="s">
        <v>46</v>
      </c>
      <c r="D97" t="s">
        <v>15</v>
      </c>
      <c r="E97" t="s">
        <v>9</v>
      </c>
      <c r="F97">
        <v>26</v>
      </c>
      <c r="G97" s="4">
        <v>44411</v>
      </c>
      <c r="H97" s="6">
        <v>53540</v>
      </c>
      <c r="I97" t="s">
        <v>16</v>
      </c>
    </row>
    <row r="98" spans="3:9" x14ac:dyDescent="0.3">
      <c r="C98" t="s">
        <v>58</v>
      </c>
      <c r="D98" t="s">
        <v>15</v>
      </c>
      <c r="E98" t="s">
        <v>19</v>
      </c>
      <c r="F98">
        <v>22</v>
      </c>
      <c r="G98" s="4">
        <v>44446</v>
      </c>
      <c r="H98" s="6">
        <v>112780</v>
      </c>
      <c r="I98" t="s">
        <v>13</v>
      </c>
    </row>
    <row r="99" spans="3:9" x14ac:dyDescent="0.3">
      <c r="C99" t="s">
        <v>70</v>
      </c>
      <c r="D99" t="s">
        <v>15</v>
      </c>
      <c r="E99" t="s">
        <v>9</v>
      </c>
      <c r="F99">
        <v>46</v>
      </c>
      <c r="G99" s="4">
        <v>44758</v>
      </c>
      <c r="H99" s="6">
        <v>70610</v>
      </c>
      <c r="I99" t="s">
        <v>16</v>
      </c>
    </row>
    <row r="100" spans="3:9" x14ac:dyDescent="0.3">
      <c r="C100" t="s">
        <v>75</v>
      </c>
      <c r="D100" t="s">
        <v>8</v>
      </c>
      <c r="E100" t="s">
        <v>19</v>
      </c>
      <c r="F100">
        <v>28</v>
      </c>
      <c r="G100" s="4">
        <v>44357</v>
      </c>
      <c r="H100" s="6">
        <v>53240</v>
      </c>
      <c r="I100" t="s">
        <v>16</v>
      </c>
    </row>
    <row r="101" spans="3:9" x14ac:dyDescent="0.3">
      <c r="C101" t="s">
        <v>49</v>
      </c>
      <c r="E101" t="s">
        <v>21</v>
      </c>
      <c r="F101">
        <v>37</v>
      </c>
      <c r="G101" s="4">
        <v>44146</v>
      </c>
      <c r="H101" s="6">
        <v>115440</v>
      </c>
      <c r="I101" t="s">
        <v>24</v>
      </c>
    </row>
    <row r="102" spans="3:9" x14ac:dyDescent="0.3">
      <c r="C102" t="s">
        <v>65</v>
      </c>
      <c r="D102" t="s">
        <v>15</v>
      </c>
      <c r="E102" t="s">
        <v>19</v>
      </c>
      <c r="F102">
        <v>32</v>
      </c>
      <c r="G102" s="4">
        <v>44465</v>
      </c>
      <c r="H102" s="6">
        <v>53540</v>
      </c>
      <c r="I102" t="s">
        <v>16</v>
      </c>
    </row>
    <row r="103" spans="3:9" x14ac:dyDescent="0.3">
      <c r="C103" t="s">
        <v>81</v>
      </c>
      <c r="D103" t="s">
        <v>8</v>
      </c>
      <c r="E103" t="s">
        <v>9</v>
      </c>
      <c r="F103">
        <v>30</v>
      </c>
      <c r="G103" s="4">
        <v>44861</v>
      </c>
      <c r="H103" s="6">
        <v>112570</v>
      </c>
      <c r="I103" t="s">
        <v>16</v>
      </c>
    </row>
    <row r="104" spans="3:9" x14ac:dyDescent="0.3">
      <c r="C104" t="s">
        <v>51</v>
      </c>
      <c r="D104" t="s">
        <v>15</v>
      </c>
      <c r="E104" t="s">
        <v>9</v>
      </c>
      <c r="F104">
        <v>33</v>
      </c>
      <c r="G104" s="4">
        <v>44701</v>
      </c>
      <c r="H104" s="6">
        <v>48530</v>
      </c>
      <c r="I104" t="s">
        <v>13</v>
      </c>
    </row>
    <row r="105" spans="3:9" x14ac:dyDescent="0.3">
      <c r="C105" t="s">
        <v>61</v>
      </c>
      <c r="D105" t="s">
        <v>8</v>
      </c>
      <c r="E105" t="s">
        <v>12</v>
      </c>
      <c r="F105">
        <v>24</v>
      </c>
      <c r="G105" s="4">
        <v>44148</v>
      </c>
      <c r="H105" s="6">
        <v>62780</v>
      </c>
      <c r="I105" t="s">
        <v>16</v>
      </c>
    </row>
    <row r="106" spans="3:9" x14ac:dyDescent="0.3">
      <c r="C106" t="s">
        <v>203</v>
      </c>
      <c r="F106">
        <f>SUBTOTAL(101,Nz_staff[Age])</f>
        <v>30.52</v>
      </c>
      <c r="H106" s="6">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B9" sqref="B9"/>
    </sheetView>
  </sheetViews>
  <sheetFormatPr defaultRowHeight="14.4" x14ac:dyDescent="0.3"/>
  <cols>
    <col min="2" max="2" width="27.21875" bestFit="1" customWidth="1"/>
    <col min="3" max="3" width="9" customWidth="1"/>
    <col min="4" max="4" width="6.109375" customWidth="1"/>
    <col min="5" max="5" width="13.109375" bestFit="1" customWidth="1"/>
    <col min="6" max="6" width="12.6640625" customWidth="1"/>
    <col min="7" max="7" width="13" customWidth="1"/>
    <col min="8" max="8" width="8"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DB24D-5855-4EB9-AF6E-1CFAAB8226FF}">
  <sheetPr>
    <tabColor rgb="FFFF0000"/>
  </sheetPr>
  <dimension ref="A1:X185"/>
  <sheetViews>
    <sheetView zoomScaleNormal="100" workbookViewId="0">
      <selection activeCell="K1" activeCellId="1" sqref="G1:G1048576 K1:K1048576"/>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style="7" bestFit="1" customWidth="1"/>
    <col min="6" max="6" width="13.33203125" bestFit="1" customWidth="1"/>
    <col min="7" max="7" width="12.77734375" style="20" bestFit="1" customWidth="1"/>
    <col min="8" max="8" width="10" bestFit="1" customWidth="1"/>
    <col min="9" max="9" width="10.33203125" style="8" bestFit="1" customWidth="1"/>
    <col min="10" max="10" width="10.33203125" style="19" customWidth="1"/>
    <col min="11" max="11" width="18.44140625" style="9" bestFit="1" customWidth="1"/>
    <col min="12" max="13" width="10.33203125" style="8" customWidth="1"/>
    <col min="14" max="14" width="16.6640625" bestFit="1" customWidth="1"/>
    <col min="15" max="16" width="10.44140625" bestFit="1" customWidth="1"/>
    <col min="18" max="18" width="11.5546875" bestFit="1" customWidth="1"/>
  </cols>
  <sheetData>
    <row r="1" spans="1:16" x14ac:dyDescent="0.3">
      <c r="A1" t="s">
        <v>0</v>
      </c>
      <c r="B1" t="s">
        <v>1</v>
      </c>
      <c r="C1" t="s">
        <v>3</v>
      </c>
      <c r="D1" t="s">
        <v>6</v>
      </c>
      <c r="E1" s="7" t="s">
        <v>4</v>
      </c>
      <c r="F1" t="s">
        <v>2</v>
      </c>
      <c r="G1" s="20" t="s">
        <v>5</v>
      </c>
      <c r="H1" t="s">
        <v>204</v>
      </c>
      <c r="I1" s="8" t="s">
        <v>213</v>
      </c>
      <c r="J1" s="19" t="s">
        <v>230</v>
      </c>
      <c r="K1" s="9" t="s">
        <v>232</v>
      </c>
    </row>
    <row r="2" spans="1:16" x14ac:dyDescent="0.3">
      <c r="A2" t="s">
        <v>179</v>
      </c>
      <c r="B2" t="s">
        <v>8</v>
      </c>
      <c r="C2">
        <v>21</v>
      </c>
      <c r="D2" t="s">
        <v>16</v>
      </c>
      <c r="E2" s="7">
        <v>44619</v>
      </c>
      <c r="F2" t="s">
        <v>12</v>
      </c>
      <c r="G2" s="20">
        <v>33920</v>
      </c>
      <c r="H2" t="s">
        <v>205</v>
      </c>
      <c r="I2" s="8">
        <f ca="1">(TODAY() - Staff[[#This Row],[Date Joined]])/365</f>
        <v>2.9808219178082194</v>
      </c>
      <c r="J2" s="19">
        <f ca="1">ROUNDUP(IF(Staff[[#This Row],[Tenure]]&gt;2,3%,2%)*Staff[[#This Row],[Salary]],0)</f>
        <v>1018</v>
      </c>
      <c r="K2" s="9">
        <f>_xlfn.XLOOKUP(Staff[[#This Row],[Rating]],Sheet4!$B$2:$B$6,Sheet4!$C$2:$C$6)</f>
        <v>3</v>
      </c>
    </row>
    <row r="3" spans="1:16" x14ac:dyDescent="0.3">
      <c r="A3" t="s">
        <v>86</v>
      </c>
      <c r="B3" t="s">
        <v>8</v>
      </c>
      <c r="C3">
        <v>21</v>
      </c>
      <c r="D3" t="s">
        <v>16</v>
      </c>
      <c r="E3" s="7">
        <v>44678</v>
      </c>
      <c r="F3" t="s">
        <v>12</v>
      </c>
      <c r="G3" s="20">
        <v>33920</v>
      </c>
      <c r="H3" t="s">
        <v>207</v>
      </c>
      <c r="I3" s="8">
        <f ca="1">(TODAY() - Staff[[#This Row],[Date Joined]])/365</f>
        <v>2.8191780821917809</v>
      </c>
      <c r="J3" s="19">
        <f ca="1">ROUNDUP(IF(Staff[[#This Row],[Tenure]]&gt;2,3%,2%)*Staff[[#This Row],[Salary]],0)</f>
        <v>1018</v>
      </c>
      <c r="K3" s="9">
        <f>_xlfn.XLOOKUP(Staff[[#This Row],[Rating]],Sheet4!$B$2:$B$6,Sheet4!$C$2:$C$6)</f>
        <v>3</v>
      </c>
    </row>
    <row r="4" spans="1:16" x14ac:dyDescent="0.3">
      <c r="A4" t="s">
        <v>137</v>
      </c>
      <c r="B4" t="s">
        <v>8</v>
      </c>
      <c r="C4">
        <v>29</v>
      </c>
      <c r="D4" t="s">
        <v>16</v>
      </c>
      <c r="E4" s="7">
        <v>43962</v>
      </c>
      <c r="F4" t="s">
        <v>12</v>
      </c>
      <c r="G4" s="20">
        <v>34980</v>
      </c>
      <c r="H4" t="s">
        <v>205</v>
      </c>
      <c r="I4" s="8">
        <f ca="1">(TODAY() - Staff[[#This Row],[Date Joined]])/365</f>
        <v>4.7808219178082192</v>
      </c>
      <c r="J4" s="19">
        <f ca="1">ROUNDUP(IF(Staff[[#This Row],[Tenure]]&gt;2,3%,2%)*Staff[[#This Row],[Salary]],0)</f>
        <v>1050</v>
      </c>
      <c r="K4" s="9">
        <f>_xlfn.XLOOKUP(Staff[[#This Row],[Rating]],Sheet4!$B$2:$B$6,Sheet4!$C$2:$C$6)</f>
        <v>3</v>
      </c>
    </row>
    <row r="5" spans="1:16" ht="25.8" x14ac:dyDescent="0.5">
      <c r="A5" t="s">
        <v>44</v>
      </c>
      <c r="B5" t="s">
        <v>8</v>
      </c>
      <c r="C5">
        <v>29</v>
      </c>
      <c r="D5" t="s">
        <v>16</v>
      </c>
      <c r="E5" s="7">
        <v>44023</v>
      </c>
      <c r="F5" t="s">
        <v>12</v>
      </c>
      <c r="G5" s="20">
        <v>34980</v>
      </c>
      <c r="H5" t="s">
        <v>207</v>
      </c>
      <c r="I5" s="8">
        <f ca="1">(TODAY() - Staff[[#This Row],[Date Joined]])/365</f>
        <v>4.6136986301369864</v>
      </c>
      <c r="J5" s="19">
        <f ca="1">ROUNDUP(IF(Staff[[#This Row],[Tenure]]&gt;2,3%,2%)*Staff[[#This Row],[Salary]],0)</f>
        <v>1050</v>
      </c>
      <c r="K5" s="9">
        <f>_xlfn.XLOOKUP(Staff[[#This Row],[Rating]],Sheet4!$B$2:$B$6,Sheet4!$C$2:$C$6)</f>
        <v>3</v>
      </c>
      <c r="N5" s="11">
        <v>1</v>
      </c>
    </row>
    <row r="6" spans="1:16" x14ac:dyDescent="0.3">
      <c r="A6" t="s">
        <v>192</v>
      </c>
      <c r="B6" t="s">
        <v>15</v>
      </c>
      <c r="C6">
        <v>43</v>
      </c>
      <c r="D6" t="s">
        <v>16</v>
      </c>
      <c r="E6" s="7">
        <v>44558</v>
      </c>
      <c r="F6" t="s">
        <v>19</v>
      </c>
      <c r="G6" s="20">
        <v>36040</v>
      </c>
      <c r="H6" t="s">
        <v>205</v>
      </c>
      <c r="I6" s="8">
        <f ca="1">(TODAY() - Staff[[#This Row],[Date Joined]])/365</f>
        <v>3.1479452054794521</v>
      </c>
      <c r="J6" s="19">
        <f ca="1">ROUNDUP(IF(Staff[[#This Row],[Tenure]]&gt;2,3%,2%)*Staff[[#This Row],[Salary]],0)</f>
        <v>1082</v>
      </c>
      <c r="K6" s="9">
        <f>_xlfn.XLOOKUP(Staff[[#This Row],[Rating]],Sheet4!$B$2:$B$6,Sheet4!$C$2:$C$6)</f>
        <v>3</v>
      </c>
      <c r="N6" t="s">
        <v>208</v>
      </c>
      <c r="O6">
        <f>COUNTA(Staff[Name])</f>
        <v>183</v>
      </c>
    </row>
    <row r="7" spans="1:16" x14ac:dyDescent="0.3">
      <c r="A7" t="s">
        <v>99</v>
      </c>
      <c r="B7" t="s">
        <v>15</v>
      </c>
      <c r="C7">
        <v>43</v>
      </c>
      <c r="D7" t="s">
        <v>16</v>
      </c>
      <c r="E7" s="7">
        <v>44620</v>
      </c>
      <c r="F7" t="s">
        <v>19</v>
      </c>
      <c r="G7" s="20">
        <v>25000</v>
      </c>
      <c r="H7" t="s">
        <v>207</v>
      </c>
      <c r="I7" s="8">
        <f ca="1">(TODAY() - Staff[[#This Row],[Date Joined]])/365</f>
        <v>2.978082191780822</v>
      </c>
      <c r="J7" s="19">
        <f ca="1">ROUNDUP(IF(Staff[[#This Row],[Tenure]]&gt;2,3%,2%)*Staff[[#This Row],[Salary]],0)</f>
        <v>750</v>
      </c>
      <c r="K7" s="9">
        <f>_xlfn.XLOOKUP(Staff[[#This Row],[Rating]],Sheet4!$B$2:$B$6,Sheet4!$C$2:$C$6)</f>
        <v>3</v>
      </c>
      <c r="N7" t="s">
        <v>209</v>
      </c>
      <c r="O7" s="6">
        <f>AVERAGE(Staff[Salary])</f>
        <v>77346.284153005457</v>
      </c>
      <c r="P7">
        <f>MEDIAN(G:G)</f>
        <v>75000</v>
      </c>
    </row>
    <row r="8" spans="1:16" x14ac:dyDescent="0.3">
      <c r="A8" t="s">
        <v>140</v>
      </c>
      <c r="B8" t="s">
        <v>15</v>
      </c>
      <c r="C8">
        <v>21</v>
      </c>
      <c r="D8" t="s">
        <v>16</v>
      </c>
      <c r="E8" s="7">
        <v>44042</v>
      </c>
      <c r="F8" t="s">
        <v>9</v>
      </c>
      <c r="G8" s="20">
        <v>19320</v>
      </c>
      <c r="H8" t="s">
        <v>205</v>
      </c>
      <c r="I8" s="8">
        <f ca="1">(TODAY() - Staff[[#This Row],[Date Joined]])/365</f>
        <v>4.5616438356164384</v>
      </c>
      <c r="J8" s="19">
        <f ca="1">ROUNDUP(IF(Staff[[#This Row],[Tenure]]&gt;2,3%,2%)*Staff[[#This Row],[Salary]],0)</f>
        <v>580</v>
      </c>
      <c r="K8" s="9">
        <f>_xlfn.XLOOKUP(Staff[[#This Row],[Rating]],Sheet4!$B$2:$B$6,Sheet4!$C$2:$C$6)</f>
        <v>3</v>
      </c>
      <c r="N8" t="s">
        <v>210</v>
      </c>
      <c r="O8">
        <f>AVERAGE(Staff[Age])</f>
        <v>30.42622950819672</v>
      </c>
      <c r="P8">
        <f>MEDIAN(C:C)</f>
        <v>30</v>
      </c>
    </row>
    <row r="9" spans="1:16" x14ac:dyDescent="0.3">
      <c r="A9" t="s">
        <v>47</v>
      </c>
      <c r="B9" t="s">
        <v>15</v>
      </c>
      <c r="C9">
        <v>21</v>
      </c>
      <c r="D9" t="s">
        <v>16</v>
      </c>
      <c r="E9" s="7">
        <v>44104</v>
      </c>
      <c r="F9" t="s">
        <v>9</v>
      </c>
      <c r="G9" s="20">
        <v>37920</v>
      </c>
      <c r="H9" t="s">
        <v>207</v>
      </c>
      <c r="I9" s="8">
        <f ca="1">(TODAY() - Staff[[#This Row],[Date Joined]])/365</f>
        <v>4.3917808219178083</v>
      </c>
      <c r="J9" s="19">
        <f ca="1">ROUNDUP(IF(Staff[[#This Row],[Tenure]]&gt;2,3%,2%)*Staff[[#This Row],[Salary]],0)</f>
        <v>1138</v>
      </c>
      <c r="K9" s="9">
        <f>_xlfn.XLOOKUP(Staff[[#This Row],[Rating]],Sheet4!$B$2:$B$6,Sheet4!$C$2:$C$6)</f>
        <v>3</v>
      </c>
      <c r="N9" t="s">
        <v>211</v>
      </c>
      <c r="O9" s="9">
        <f ca="1">AVERAGE(I:I)</f>
        <v>6.9427039904705126</v>
      </c>
    </row>
    <row r="10" spans="1:16" x14ac:dyDescent="0.3">
      <c r="A10" t="s">
        <v>149</v>
      </c>
      <c r="B10" t="s">
        <v>15</v>
      </c>
      <c r="C10">
        <v>35</v>
      </c>
      <c r="D10" t="s">
        <v>16</v>
      </c>
      <c r="E10" s="7">
        <v>44666</v>
      </c>
      <c r="F10" t="s">
        <v>9</v>
      </c>
      <c r="G10" s="20">
        <v>40400</v>
      </c>
      <c r="H10" t="s">
        <v>205</v>
      </c>
      <c r="I10" s="8">
        <f ca="1">(TODAY() - Staff[[#This Row],[Date Joined]])/365</f>
        <v>2.8520547945205479</v>
      </c>
      <c r="J10" s="19">
        <f ca="1">ROUNDUP(IF(Staff[[#This Row],[Tenure]]&gt;2,3%,2%)*Staff[[#This Row],[Salary]],0)</f>
        <v>1212</v>
      </c>
      <c r="K10" s="9">
        <f>_xlfn.XLOOKUP(Staff[[#This Row],[Rating]],Sheet4!$B$2:$B$6,Sheet4!$C$2:$C$6)</f>
        <v>3</v>
      </c>
      <c r="N10" t="s">
        <v>212</v>
      </c>
    </row>
    <row r="11" spans="1:16" x14ac:dyDescent="0.3">
      <c r="A11" t="s">
        <v>57</v>
      </c>
      <c r="B11" t="s">
        <v>15</v>
      </c>
      <c r="C11">
        <v>35</v>
      </c>
      <c r="D11" t="s">
        <v>16</v>
      </c>
      <c r="E11" s="7">
        <v>44727</v>
      </c>
      <c r="F11" t="s">
        <v>9</v>
      </c>
      <c r="G11" s="20">
        <v>40400</v>
      </c>
      <c r="H11" t="s">
        <v>207</v>
      </c>
      <c r="I11" s="8">
        <f ca="1">(TODAY() - Staff[[#This Row],[Date Joined]])/365</f>
        <v>2.6849315068493151</v>
      </c>
      <c r="J11" s="19">
        <f ca="1">ROUNDUP(IF(Staff[[#This Row],[Tenure]]&gt;2,3%,2%)*Staff[[#This Row],[Salary]],0)</f>
        <v>1212</v>
      </c>
      <c r="K11" s="9">
        <f>_xlfn.XLOOKUP(Staff[[#This Row],[Rating]],Sheet4!$B$2:$B$6,Sheet4!$C$2:$C$6)</f>
        <v>3</v>
      </c>
      <c r="N11" t="s">
        <v>214</v>
      </c>
      <c r="O11">
        <f>COUNTIFS(B:B,"Female")</f>
        <v>86</v>
      </c>
    </row>
    <row r="12" spans="1:16" x14ac:dyDescent="0.3">
      <c r="A12" t="s">
        <v>158</v>
      </c>
      <c r="B12" t="s">
        <v>8</v>
      </c>
      <c r="C12">
        <v>32</v>
      </c>
      <c r="D12" t="s">
        <v>16</v>
      </c>
      <c r="E12" s="7">
        <v>44549</v>
      </c>
      <c r="F12" t="s">
        <v>9</v>
      </c>
      <c r="G12" s="20">
        <v>41570</v>
      </c>
      <c r="H12" t="s">
        <v>205</v>
      </c>
      <c r="I12" s="8">
        <f ca="1">(TODAY() - Staff[[#This Row],[Date Joined]])/365</f>
        <v>3.1726027397260275</v>
      </c>
      <c r="J12" s="19">
        <f ca="1">ROUNDUP(IF(Staff[[#This Row],[Tenure]]&gt;2,3%,2%)*Staff[[#This Row],[Salary]],0)</f>
        <v>1248</v>
      </c>
      <c r="K12" s="9">
        <f>_xlfn.XLOOKUP(Staff[[#This Row],[Rating]],Sheet4!$B$2:$B$6,Sheet4!$C$2:$C$6)</f>
        <v>3</v>
      </c>
      <c r="N12" t="s">
        <v>215</v>
      </c>
      <c r="O12" s="10">
        <f>O11/O6</f>
        <v>0.46994535519125685</v>
      </c>
    </row>
    <row r="13" spans="1:16" x14ac:dyDescent="0.3">
      <c r="A13" t="s">
        <v>66</v>
      </c>
      <c r="B13" t="s">
        <v>8</v>
      </c>
      <c r="C13">
        <v>32</v>
      </c>
      <c r="D13" t="s">
        <v>16</v>
      </c>
      <c r="E13" s="7">
        <v>44611</v>
      </c>
      <c r="F13" t="s">
        <v>9</v>
      </c>
      <c r="G13" s="20">
        <v>41570</v>
      </c>
      <c r="H13" t="s">
        <v>207</v>
      </c>
      <c r="I13" s="8">
        <f ca="1">(TODAY() - Staff[[#This Row],[Date Joined]])/365</f>
        <v>3.0027397260273974</v>
      </c>
      <c r="J13" s="19">
        <f ca="1">ROUNDUP(IF(Staff[[#This Row],[Tenure]]&gt;2,3%,2%)*Staff[[#This Row],[Salary]],0)</f>
        <v>1248</v>
      </c>
      <c r="K13" s="9">
        <f>_xlfn.XLOOKUP(Staff[[#This Row],[Rating]],Sheet4!$B$2:$B$6,Sheet4!$C$2:$C$6)</f>
        <v>3</v>
      </c>
    </row>
    <row r="14" spans="1:16" x14ac:dyDescent="0.3">
      <c r="A14" t="s">
        <v>124</v>
      </c>
      <c r="B14" t="s">
        <v>8</v>
      </c>
      <c r="C14">
        <v>31</v>
      </c>
      <c r="D14" t="s">
        <v>16</v>
      </c>
      <c r="E14" s="7">
        <v>44084</v>
      </c>
      <c r="F14" t="s">
        <v>12</v>
      </c>
      <c r="G14" s="20">
        <v>41980</v>
      </c>
      <c r="H14" t="s">
        <v>205</v>
      </c>
      <c r="I14" s="8">
        <f ca="1">(TODAY() - Staff[[#This Row],[Date Joined]])/365</f>
        <v>4.4465753424657537</v>
      </c>
      <c r="J14" s="19">
        <f ca="1">ROUNDUP(IF(Staff[[#This Row],[Tenure]]&gt;2,3%,2%)*Staff[[#This Row],[Salary]],0)</f>
        <v>1260</v>
      </c>
      <c r="K14" s="9">
        <f>_xlfn.XLOOKUP(Staff[[#This Row],[Rating]],Sheet4!$B$2:$B$6,Sheet4!$C$2:$C$6)</f>
        <v>3</v>
      </c>
    </row>
    <row r="15" spans="1:16" ht="25.8" x14ac:dyDescent="0.5">
      <c r="A15" t="s">
        <v>30</v>
      </c>
      <c r="B15" t="s">
        <v>8</v>
      </c>
      <c r="C15">
        <v>31</v>
      </c>
      <c r="D15" t="s">
        <v>16</v>
      </c>
      <c r="E15" s="7">
        <v>44145</v>
      </c>
      <c r="F15" t="s">
        <v>12</v>
      </c>
      <c r="G15" s="20">
        <v>41980</v>
      </c>
      <c r="H15" t="s">
        <v>207</v>
      </c>
      <c r="I15" s="8">
        <f ca="1">(TODAY() - Staff[[#This Row],[Date Joined]])/365</f>
        <v>4.279452054794521</v>
      </c>
      <c r="J15" s="19">
        <f ca="1">ROUNDUP(IF(Staff[[#This Row],[Tenure]]&gt;2,3%,2%)*Staff[[#This Row],[Salary]],0)</f>
        <v>1260</v>
      </c>
      <c r="K15" s="9">
        <f>_xlfn.XLOOKUP(Staff[[#This Row],[Rating]],Sheet4!$B$2:$B$6,Sheet4!$C$2:$C$6)</f>
        <v>3</v>
      </c>
      <c r="N15" s="11">
        <v>2</v>
      </c>
    </row>
    <row r="16" spans="1:16" x14ac:dyDescent="0.3">
      <c r="A16" t="s">
        <v>172</v>
      </c>
      <c r="B16" t="s">
        <v>15</v>
      </c>
      <c r="C16">
        <v>28</v>
      </c>
      <c r="D16" t="s">
        <v>42</v>
      </c>
      <c r="E16" s="7">
        <v>44758</v>
      </c>
      <c r="F16" t="s">
        <v>19</v>
      </c>
      <c r="G16" s="20">
        <v>43510</v>
      </c>
      <c r="H16" t="s">
        <v>205</v>
      </c>
      <c r="I16" s="8">
        <f ca="1">(TODAY() - Staff[[#This Row],[Date Joined]])/365</f>
        <v>2.6</v>
      </c>
      <c r="J16" s="19">
        <f ca="1">ROUNDUP(IF(Staff[[#This Row],[Tenure]]&gt;2,3%,2%)*Staff[[#This Row],[Salary]],0)</f>
        <v>1306</v>
      </c>
      <c r="K16" s="9">
        <f>_xlfn.XLOOKUP(Staff[[#This Row],[Rating]],Sheet4!$B$2:$B$6,Sheet4!$C$2:$C$6)</f>
        <v>1</v>
      </c>
      <c r="N16" s="13" t="s">
        <v>118</v>
      </c>
    </row>
    <row r="17" spans="1:24" x14ac:dyDescent="0.3">
      <c r="A17" t="s">
        <v>80</v>
      </c>
      <c r="B17" t="s">
        <v>15</v>
      </c>
      <c r="C17">
        <v>28</v>
      </c>
      <c r="D17" t="s">
        <v>42</v>
      </c>
      <c r="E17" s="7">
        <v>44820</v>
      </c>
      <c r="F17" t="s">
        <v>19</v>
      </c>
      <c r="G17" s="20">
        <v>43510</v>
      </c>
      <c r="H17" t="s">
        <v>207</v>
      </c>
      <c r="I17" s="8">
        <f ca="1">(TODAY() - Staff[[#This Row],[Date Joined]])/365</f>
        <v>2.43013698630137</v>
      </c>
      <c r="J17" s="19">
        <f ca="1">ROUNDUP(IF(Staff[[#This Row],[Tenure]]&gt;2,3%,2%)*Staff[[#This Row],[Salary]],0)</f>
        <v>1306</v>
      </c>
      <c r="K17" s="9">
        <f>_xlfn.XLOOKUP(Staff[[#This Row],[Rating]],Sheet4!$B$2:$B$6,Sheet4!$C$2:$C$6)</f>
        <v>1</v>
      </c>
    </row>
    <row r="18" spans="1:24" x14ac:dyDescent="0.3">
      <c r="A18" t="s">
        <v>176</v>
      </c>
      <c r="B18" t="s">
        <v>8</v>
      </c>
      <c r="C18">
        <v>32</v>
      </c>
      <c r="D18" t="s">
        <v>13</v>
      </c>
      <c r="E18" s="7">
        <v>44293</v>
      </c>
      <c r="F18" t="s">
        <v>12</v>
      </c>
      <c r="G18" s="20">
        <v>43840</v>
      </c>
      <c r="H18" t="s">
        <v>205</v>
      </c>
      <c r="I18" s="8">
        <f ca="1">(TODAY() - Staff[[#This Row],[Date Joined]])/365</f>
        <v>3.8739726027397259</v>
      </c>
      <c r="J18" s="19">
        <f ca="1">ROUNDUP(IF(Staff[[#This Row],[Tenure]]&gt;2,3%,2%)*Staff[[#This Row],[Salary]],0)</f>
        <v>1316</v>
      </c>
      <c r="K18" s="9">
        <f>_xlfn.XLOOKUP(Staff[[#This Row],[Rating]],Sheet4!$B$2:$B$6,Sheet4!$C$2:$C$6)</f>
        <v>4</v>
      </c>
      <c r="N18" t="s">
        <v>216</v>
      </c>
    </row>
    <row r="19" spans="1:24" x14ac:dyDescent="0.3">
      <c r="A19" t="s">
        <v>84</v>
      </c>
      <c r="B19" t="s">
        <v>8</v>
      </c>
      <c r="C19">
        <v>32</v>
      </c>
      <c r="D19" t="s">
        <v>13</v>
      </c>
      <c r="E19" s="7">
        <v>44354</v>
      </c>
      <c r="F19" t="s">
        <v>12</v>
      </c>
      <c r="G19" s="20">
        <v>43840</v>
      </c>
      <c r="H19" t="s">
        <v>207</v>
      </c>
      <c r="I19" s="8">
        <f ca="1">(TODAY() - Staff[[#This Row],[Date Joined]])/365</f>
        <v>3.7068493150684931</v>
      </c>
      <c r="J19" s="19">
        <f ca="1">ROUNDUP(IF(Staff[[#This Row],[Tenure]]&gt;2,3%,2%)*Staff[[#This Row],[Salary]],0)</f>
        <v>1316</v>
      </c>
      <c r="K19" s="9">
        <f>_xlfn.XLOOKUP(Staff[[#This Row],[Rating]],Sheet4!$B$2:$B$6,Sheet4!$C$2:$C$6)</f>
        <v>4</v>
      </c>
      <c r="N19" t="s">
        <v>217</v>
      </c>
    </row>
    <row r="20" spans="1:24" x14ac:dyDescent="0.3">
      <c r="A20" t="s">
        <v>201</v>
      </c>
      <c r="B20" t="s">
        <v>8</v>
      </c>
      <c r="C20">
        <v>32</v>
      </c>
      <c r="D20" t="s">
        <v>16</v>
      </c>
      <c r="E20" s="7">
        <v>44339</v>
      </c>
      <c r="F20" t="s">
        <v>56</v>
      </c>
      <c r="G20" s="20">
        <v>45510</v>
      </c>
      <c r="H20" t="s">
        <v>205</v>
      </c>
      <c r="I20" s="8">
        <f ca="1">(TODAY() - Staff[[#This Row],[Date Joined]])/365</f>
        <v>3.7479452054794522</v>
      </c>
      <c r="J20" s="19">
        <f ca="1">ROUNDUP(IF(Staff[[#This Row],[Tenure]]&gt;2,3%,2%)*Staff[[#This Row],[Salary]],0)</f>
        <v>1366</v>
      </c>
      <c r="K20" s="9">
        <f>_xlfn.XLOOKUP(Staff[[#This Row],[Rating]],Sheet4!$B$2:$B$6,Sheet4!$C$2:$C$6)</f>
        <v>3</v>
      </c>
    </row>
    <row r="21" spans="1:24" x14ac:dyDescent="0.3">
      <c r="A21" t="s">
        <v>108</v>
      </c>
      <c r="B21" t="s">
        <v>8</v>
      </c>
      <c r="C21">
        <v>32</v>
      </c>
      <c r="D21" t="s">
        <v>16</v>
      </c>
      <c r="E21" s="7">
        <v>44400</v>
      </c>
      <c r="F21" t="s">
        <v>56</v>
      </c>
      <c r="G21" s="20">
        <v>45510</v>
      </c>
      <c r="H21" t="s">
        <v>207</v>
      </c>
      <c r="I21" s="8">
        <f ca="1">(TODAY() - Staff[[#This Row],[Date Joined]])/365</f>
        <v>3.580821917808219</v>
      </c>
      <c r="J21" s="19">
        <f ca="1">ROUNDUP(IF(Staff[[#This Row],[Tenure]]&gt;2,3%,2%)*Staff[[#This Row],[Salary]],0)</f>
        <v>1366</v>
      </c>
      <c r="K21" s="9">
        <f>_xlfn.XLOOKUP(Staff[[#This Row],[Rating]],Sheet4!$B$2:$B$6,Sheet4!$C$2:$C$6)</f>
        <v>3</v>
      </c>
      <c r="N21" t="str" cm="1">
        <f t="array" aca="1" ref="N21:U21" ca="1">_xlfn.XLOOKUP(N16,Staff[Name],Staff[[Gender]:[Tenure]])</f>
        <v>Male</v>
      </c>
      <c r="O21">
        <f ca="1"/>
        <v>37</v>
      </c>
      <c r="P21" t="str">
        <f ca="1"/>
        <v>Poor</v>
      </c>
      <c r="Q21">
        <f ca="1"/>
        <v>44277</v>
      </c>
      <c r="R21" t="str">
        <f ca="1"/>
        <v>Website</v>
      </c>
      <c r="S21">
        <f ca="1"/>
        <v>88050</v>
      </c>
      <c r="T21" t="str">
        <f ca="1"/>
        <v>India</v>
      </c>
      <c r="U21">
        <f ca="1"/>
        <v>3.9178082191780823</v>
      </c>
    </row>
    <row r="22" spans="1:24" x14ac:dyDescent="0.3">
      <c r="A22" t="s">
        <v>151</v>
      </c>
      <c r="B22" t="s">
        <v>15</v>
      </c>
      <c r="C22">
        <v>26</v>
      </c>
      <c r="D22" t="s">
        <v>16</v>
      </c>
      <c r="E22" s="7">
        <v>44164</v>
      </c>
      <c r="F22" t="s">
        <v>9</v>
      </c>
      <c r="G22" s="20">
        <v>47360</v>
      </c>
      <c r="H22" t="s">
        <v>205</v>
      </c>
      <c r="I22" s="8">
        <f ca="1">(TODAY() - Staff[[#This Row],[Date Joined]])/365</f>
        <v>4.2273972602739729</v>
      </c>
      <c r="J22" s="19">
        <f ca="1">ROUNDUP(IF(Staff[[#This Row],[Tenure]]&gt;2,3%,2%)*Staff[[#This Row],[Salary]],0)</f>
        <v>1421</v>
      </c>
      <c r="K22" s="9">
        <f>_xlfn.XLOOKUP(Staff[[#This Row],[Rating]],Sheet4!$B$2:$B$6,Sheet4!$C$2:$C$6)</f>
        <v>3</v>
      </c>
    </row>
    <row r="23" spans="1:24" x14ac:dyDescent="0.3">
      <c r="A23" t="s">
        <v>59</v>
      </c>
      <c r="B23" t="s">
        <v>15</v>
      </c>
      <c r="C23">
        <v>26</v>
      </c>
      <c r="D23" t="s">
        <v>16</v>
      </c>
      <c r="E23" s="7">
        <v>44225</v>
      </c>
      <c r="F23" t="s">
        <v>9</v>
      </c>
      <c r="G23" s="20">
        <v>47360</v>
      </c>
      <c r="H23" t="s">
        <v>207</v>
      </c>
      <c r="I23" s="8">
        <f ca="1">(TODAY() - Staff[[#This Row],[Date Joined]])/365</f>
        <v>4.0602739726027401</v>
      </c>
      <c r="J23" s="19">
        <f ca="1">ROUNDUP(IF(Staff[[#This Row],[Tenure]]&gt;2,3%,2%)*Staff[[#This Row],[Salary]],0)</f>
        <v>1421</v>
      </c>
      <c r="K23" s="9">
        <f>_xlfn.XLOOKUP(Staff[[#This Row],[Rating]],Sheet4!$B$2:$B$6,Sheet4!$C$2:$C$6)</f>
        <v>3</v>
      </c>
    </row>
    <row r="24" spans="1:24" x14ac:dyDescent="0.3">
      <c r="A24" t="s">
        <v>123</v>
      </c>
      <c r="B24" t="s">
        <v>15</v>
      </c>
      <c r="C24">
        <v>28</v>
      </c>
      <c r="D24" t="s">
        <v>13</v>
      </c>
      <c r="E24" s="7">
        <v>43980</v>
      </c>
      <c r="F24" t="s">
        <v>21</v>
      </c>
      <c r="G24" s="20">
        <v>48170</v>
      </c>
      <c r="H24" t="s">
        <v>205</v>
      </c>
      <c r="I24" s="8">
        <f ca="1">(TODAY() - Staff[[#This Row],[Date Joined]])/365</f>
        <v>4.7315068493150685</v>
      </c>
      <c r="J24" s="19">
        <f ca="1">ROUNDUP(IF(Staff[[#This Row],[Tenure]]&gt;2,3%,2%)*Staff[[#This Row],[Salary]],0)</f>
        <v>1446</v>
      </c>
      <c r="K24" s="9">
        <f>_xlfn.XLOOKUP(Staff[[#This Row],[Rating]],Sheet4!$B$2:$B$6,Sheet4!$C$2:$C$6)</f>
        <v>4</v>
      </c>
      <c r="N24" t="str" cm="1">
        <f t="array" aca="1" ref="N24:X24" ca="1">_xlfn.XLOOKUP(N16,Staff[Name], Staff[])</f>
        <v>Gangadutt Ragha</v>
      </c>
      <c r="O24" t="str">
        <f ca="1"/>
        <v>Male</v>
      </c>
      <c r="P24">
        <f ca="1"/>
        <v>37</v>
      </c>
      <c r="Q24" t="str">
        <f ca="1"/>
        <v>Poor</v>
      </c>
      <c r="R24">
        <f ca="1"/>
        <v>44277</v>
      </c>
      <c r="S24" t="str">
        <f ca="1"/>
        <v>Website</v>
      </c>
      <c r="T24">
        <f ca="1"/>
        <v>88050</v>
      </c>
      <c r="U24" t="str">
        <f ca="1"/>
        <v>India</v>
      </c>
      <c r="V24">
        <f ca="1"/>
        <v>3.9178082191780823</v>
      </c>
      <c r="W24">
        <f ca="1"/>
        <v>2642</v>
      </c>
      <c r="X24">
        <f ca="1"/>
        <v>2</v>
      </c>
    </row>
    <row r="25" spans="1:24" x14ac:dyDescent="0.3">
      <c r="A25" t="s">
        <v>29</v>
      </c>
      <c r="B25" t="s">
        <v>15</v>
      </c>
      <c r="C25">
        <v>28</v>
      </c>
      <c r="D25" t="s">
        <v>13</v>
      </c>
      <c r="E25" s="7">
        <v>44041</v>
      </c>
      <c r="F25" t="s">
        <v>21</v>
      </c>
      <c r="G25" s="20">
        <v>48170</v>
      </c>
      <c r="H25" t="s">
        <v>207</v>
      </c>
      <c r="I25" s="8">
        <f ca="1">(TODAY() - Staff[[#This Row],[Date Joined]])/365</f>
        <v>4.5643835616438357</v>
      </c>
      <c r="J25" s="19">
        <f ca="1">ROUNDUP(IF(Staff[[#This Row],[Tenure]]&gt;2,3%,2%)*Staff[[#This Row],[Salary]],0)</f>
        <v>1446</v>
      </c>
      <c r="K25" s="9">
        <f>_xlfn.XLOOKUP(Staff[[#This Row],[Rating]],Sheet4!$B$2:$B$6,Sheet4!$C$2:$C$6)</f>
        <v>4</v>
      </c>
    </row>
    <row r="26" spans="1:24" x14ac:dyDescent="0.3">
      <c r="A26" t="s">
        <v>144</v>
      </c>
      <c r="B26" t="s">
        <v>15</v>
      </c>
      <c r="C26">
        <v>33</v>
      </c>
      <c r="D26" t="s">
        <v>13</v>
      </c>
      <c r="E26" s="7">
        <v>44640</v>
      </c>
      <c r="F26" t="s">
        <v>9</v>
      </c>
      <c r="G26" s="20">
        <v>48530</v>
      </c>
      <c r="H26" t="s">
        <v>205</v>
      </c>
      <c r="I26" s="8">
        <f ca="1">(TODAY() - Staff[[#This Row],[Date Joined]])/365</f>
        <v>2.9232876712328766</v>
      </c>
      <c r="J26" s="19">
        <f ca="1">ROUNDUP(IF(Staff[[#This Row],[Tenure]]&gt;2,3%,2%)*Staff[[#This Row],[Salary]],0)</f>
        <v>1456</v>
      </c>
      <c r="K26" s="9">
        <f>_xlfn.XLOOKUP(Staff[[#This Row],[Rating]],Sheet4!$B$2:$B$6,Sheet4!$C$2:$C$6)</f>
        <v>4</v>
      </c>
    </row>
    <row r="27" spans="1:24" x14ac:dyDescent="0.3">
      <c r="A27" t="s">
        <v>51</v>
      </c>
      <c r="B27" t="s">
        <v>15</v>
      </c>
      <c r="C27">
        <v>33</v>
      </c>
      <c r="D27" t="s">
        <v>13</v>
      </c>
      <c r="E27" s="7">
        <v>44701</v>
      </c>
      <c r="F27" t="s">
        <v>9</v>
      </c>
      <c r="G27" s="20">
        <v>48530</v>
      </c>
      <c r="H27" t="s">
        <v>207</v>
      </c>
      <c r="I27" s="8">
        <f ca="1">(TODAY() - Staff[[#This Row],[Date Joined]])/365</f>
        <v>2.7561643835616438</v>
      </c>
      <c r="J27" s="19">
        <f ca="1">ROUNDUP(IF(Staff[[#This Row],[Tenure]]&gt;2,3%,2%)*Staff[[#This Row],[Salary]],0)</f>
        <v>1456</v>
      </c>
      <c r="K27" s="9">
        <f>_xlfn.XLOOKUP(Staff[[#This Row],[Rating]],Sheet4!$B$2:$B$6,Sheet4!$C$2:$C$6)</f>
        <v>4</v>
      </c>
    </row>
    <row r="28" spans="1:24" x14ac:dyDescent="0.3">
      <c r="A28" t="s">
        <v>113</v>
      </c>
      <c r="B28" t="s">
        <v>15</v>
      </c>
      <c r="C28">
        <v>31</v>
      </c>
      <c r="D28" t="s">
        <v>16</v>
      </c>
      <c r="E28" s="7">
        <v>44450</v>
      </c>
      <c r="F28" t="s">
        <v>12</v>
      </c>
      <c r="G28" s="20">
        <v>48950</v>
      </c>
      <c r="H28" t="s">
        <v>205</v>
      </c>
      <c r="I28" s="8">
        <f ca="1">(TODAY() - Staff[[#This Row],[Date Joined]])/365</f>
        <v>3.4438356164383563</v>
      </c>
      <c r="J28" s="19">
        <f ca="1">ROUNDUP(IF(Staff[[#This Row],[Tenure]]&gt;2,3%,2%)*Staff[[#This Row],[Salary]],0)</f>
        <v>1469</v>
      </c>
      <c r="K28" s="9">
        <f>_xlfn.XLOOKUP(Staff[[#This Row],[Rating]],Sheet4!$B$2:$B$6,Sheet4!$C$2:$C$6)</f>
        <v>3</v>
      </c>
      <c r="N28" t="str" cm="1">
        <f t="array" aca="1" ref="N28:U28" ca="1">_xlfn.XLOOKUP(N16,Staff[Name], Staff[[Gender]:[Tenure]])</f>
        <v>Male</v>
      </c>
      <c r="O28">
        <f ca="1"/>
        <v>37</v>
      </c>
      <c r="P28" t="str">
        <f ca="1"/>
        <v>Poor</v>
      </c>
      <c r="Q28">
        <f ca="1"/>
        <v>44277</v>
      </c>
      <c r="R28" t="str">
        <f ca="1"/>
        <v>Website</v>
      </c>
      <c r="S28">
        <f ca="1"/>
        <v>88050</v>
      </c>
      <c r="T28" t="str">
        <f ca="1"/>
        <v>India</v>
      </c>
      <c r="U28">
        <f ca="1"/>
        <v>3.9178082191780823</v>
      </c>
    </row>
    <row r="29" spans="1:24" x14ac:dyDescent="0.3">
      <c r="A29" t="s">
        <v>14</v>
      </c>
      <c r="B29" t="s">
        <v>15</v>
      </c>
      <c r="C29">
        <v>31</v>
      </c>
      <c r="D29" t="s">
        <v>16</v>
      </c>
      <c r="E29" s="7">
        <v>44511</v>
      </c>
      <c r="F29" t="s">
        <v>12</v>
      </c>
      <c r="G29" s="20">
        <v>48950</v>
      </c>
      <c r="H29" t="s">
        <v>207</v>
      </c>
      <c r="I29" s="8">
        <f ca="1">(TODAY() - Staff[[#This Row],[Date Joined]])/365</f>
        <v>3.2767123287671232</v>
      </c>
      <c r="J29" s="19">
        <f ca="1">ROUNDUP(IF(Staff[[#This Row],[Tenure]]&gt;2,3%,2%)*Staff[[#This Row],[Salary]],0)</f>
        <v>1469</v>
      </c>
      <c r="K29" s="9">
        <f>_xlfn.XLOOKUP(Staff[[#This Row],[Rating]],Sheet4!$B$2:$B$6,Sheet4!$C$2:$C$6)</f>
        <v>3</v>
      </c>
    </row>
    <row r="30" spans="1:24" x14ac:dyDescent="0.3">
      <c r="A30" t="s">
        <v>146</v>
      </c>
      <c r="B30" t="s">
        <v>15</v>
      </c>
      <c r="C30">
        <v>27</v>
      </c>
      <c r="D30" t="s">
        <v>16</v>
      </c>
      <c r="E30" s="7">
        <v>44506</v>
      </c>
      <c r="F30" t="s">
        <v>21</v>
      </c>
      <c r="G30" s="20">
        <v>48980</v>
      </c>
      <c r="H30" t="s">
        <v>205</v>
      </c>
      <c r="I30" s="8">
        <f ca="1">(TODAY() - Staff[[#This Row],[Date Joined]])/365</f>
        <v>3.2904109589041095</v>
      </c>
      <c r="J30" s="19">
        <f ca="1">ROUNDUP(IF(Staff[[#This Row],[Tenure]]&gt;2,3%,2%)*Staff[[#This Row],[Salary]],0)</f>
        <v>1470</v>
      </c>
      <c r="K30" s="9">
        <f>_xlfn.XLOOKUP(Staff[[#This Row],[Rating]],Sheet4!$B$2:$B$6,Sheet4!$C$2:$C$6)</f>
        <v>3</v>
      </c>
    </row>
    <row r="31" spans="1:24" x14ac:dyDescent="0.3">
      <c r="A31" t="s">
        <v>53</v>
      </c>
      <c r="B31" t="s">
        <v>15</v>
      </c>
      <c r="C31">
        <v>27</v>
      </c>
      <c r="D31" t="s">
        <v>16</v>
      </c>
      <c r="E31" s="7">
        <v>44567</v>
      </c>
      <c r="F31" t="s">
        <v>21</v>
      </c>
      <c r="G31" s="20">
        <v>48980</v>
      </c>
      <c r="H31" t="s">
        <v>207</v>
      </c>
      <c r="I31" s="8">
        <f ca="1">(TODAY() - Staff[[#This Row],[Date Joined]])/365</f>
        <v>3.1232876712328768</v>
      </c>
      <c r="J31" s="19">
        <f ca="1">ROUNDUP(IF(Staff[[#This Row],[Tenure]]&gt;2,3%,2%)*Staff[[#This Row],[Salary]],0)</f>
        <v>1470</v>
      </c>
      <c r="K31" s="9">
        <f>_xlfn.XLOOKUP(Staff[[#This Row],[Rating]],Sheet4!$B$2:$B$6,Sheet4!$C$2:$C$6)</f>
        <v>3</v>
      </c>
    </row>
    <row r="32" spans="1:24" x14ac:dyDescent="0.3">
      <c r="A32" t="s">
        <v>165</v>
      </c>
      <c r="B32" t="s">
        <v>8</v>
      </c>
      <c r="C32">
        <v>34</v>
      </c>
      <c r="D32" t="s">
        <v>24</v>
      </c>
      <c r="E32" s="7">
        <v>44660</v>
      </c>
      <c r="F32" t="s">
        <v>19</v>
      </c>
      <c r="G32" s="20">
        <v>49630</v>
      </c>
      <c r="H32" t="s">
        <v>205</v>
      </c>
      <c r="I32" s="8">
        <f ca="1">(TODAY() - Staff[[#This Row],[Date Joined]])/365</f>
        <v>2.8684931506849316</v>
      </c>
      <c r="J32" s="19">
        <f ca="1">ROUNDUP(IF(Staff[[#This Row],[Tenure]]&gt;2,3%,2%)*Staff[[#This Row],[Salary]],0)</f>
        <v>1489</v>
      </c>
      <c r="K32" s="9">
        <f>_xlfn.XLOOKUP(Staff[[#This Row],[Rating]],Sheet4!$B$2:$B$6,Sheet4!$C$2:$C$6)</f>
        <v>2</v>
      </c>
    </row>
    <row r="33" spans="1:16" x14ac:dyDescent="0.3">
      <c r="A33" t="s">
        <v>73</v>
      </c>
      <c r="B33" t="s">
        <v>8</v>
      </c>
      <c r="C33">
        <v>34</v>
      </c>
      <c r="D33" t="s">
        <v>24</v>
      </c>
      <c r="E33" s="7">
        <v>44721</v>
      </c>
      <c r="F33" t="s">
        <v>19</v>
      </c>
      <c r="G33" s="20">
        <v>49630</v>
      </c>
      <c r="H33" t="s">
        <v>207</v>
      </c>
      <c r="I33" s="8">
        <f ca="1">(TODAY() - Staff[[#This Row],[Date Joined]])/365</f>
        <v>2.7013698630136984</v>
      </c>
      <c r="J33" s="19">
        <f ca="1">ROUNDUP(IF(Staff[[#This Row],[Tenure]]&gt;2,3%,2%)*Staff[[#This Row],[Salary]],0)</f>
        <v>1489</v>
      </c>
      <c r="K33" s="9">
        <f>_xlfn.XLOOKUP(Staff[[#This Row],[Rating]],Sheet4!$B$2:$B$6,Sheet4!$C$2:$C$6)</f>
        <v>2</v>
      </c>
      <c r="O33" t="s">
        <v>1</v>
      </c>
      <c r="P33" s="12" t="str" cm="1">
        <f t="array" aca="1" ref="P33:P40" ca="1">TRANSPOSE((_xlfn.XLOOKUP(N16,Staff[Name],Staff[[Gender]:[Tenure]])))</f>
        <v>Male</v>
      </c>
    </row>
    <row r="34" spans="1:16" x14ac:dyDescent="0.3">
      <c r="A34" t="s">
        <v>155</v>
      </c>
      <c r="B34" t="s">
        <v>15</v>
      </c>
      <c r="C34">
        <v>24</v>
      </c>
      <c r="D34" t="s">
        <v>24</v>
      </c>
      <c r="E34" s="7">
        <v>44375</v>
      </c>
      <c r="F34" t="s">
        <v>21</v>
      </c>
      <c r="G34" s="20">
        <v>52610</v>
      </c>
      <c r="H34" t="s">
        <v>205</v>
      </c>
      <c r="I34" s="8">
        <f ca="1">(TODAY() - Staff[[#This Row],[Date Joined]])/365</f>
        <v>3.6493150684931508</v>
      </c>
      <c r="J34" s="19">
        <f ca="1">ROUNDUP(IF(Staff[[#This Row],[Tenure]]&gt;2,3%,2%)*Staff[[#This Row],[Salary]],0)</f>
        <v>1579</v>
      </c>
      <c r="K34" s="9">
        <f>_xlfn.XLOOKUP(Staff[[#This Row],[Rating]],Sheet4!$B$2:$B$6,Sheet4!$C$2:$C$6)</f>
        <v>2</v>
      </c>
      <c r="O34" t="s">
        <v>3</v>
      </c>
      <c r="P34" s="12">
        <f ca="1"/>
        <v>37</v>
      </c>
    </row>
    <row r="35" spans="1:16" x14ac:dyDescent="0.3">
      <c r="A35" t="s">
        <v>63</v>
      </c>
      <c r="B35" t="s">
        <v>15</v>
      </c>
      <c r="C35">
        <v>24</v>
      </c>
      <c r="D35" t="s">
        <v>24</v>
      </c>
      <c r="E35" s="7">
        <v>44436</v>
      </c>
      <c r="F35" t="s">
        <v>21</v>
      </c>
      <c r="G35" s="20">
        <v>52610</v>
      </c>
      <c r="H35" t="s">
        <v>207</v>
      </c>
      <c r="I35" s="8">
        <f ca="1">(TODAY() - Staff[[#This Row],[Date Joined]])/365</f>
        <v>3.4821917808219176</v>
      </c>
      <c r="J35" s="19">
        <f ca="1">ROUNDUP(IF(Staff[[#This Row],[Tenure]]&gt;2,3%,2%)*Staff[[#This Row],[Salary]],0)</f>
        <v>1579</v>
      </c>
      <c r="K35" s="9">
        <f>_xlfn.XLOOKUP(Staff[[#This Row],[Rating]],Sheet4!$B$2:$B$6,Sheet4!$C$2:$C$6)</f>
        <v>2</v>
      </c>
      <c r="O35" t="s">
        <v>6</v>
      </c>
      <c r="P35" s="12" t="str">
        <f ca="1"/>
        <v>Poor</v>
      </c>
    </row>
    <row r="36" spans="1:16" x14ac:dyDescent="0.3">
      <c r="A36" t="s">
        <v>167</v>
      </c>
      <c r="B36" t="s">
        <v>8</v>
      </c>
      <c r="C36">
        <v>28</v>
      </c>
      <c r="D36" t="s">
        <v>16</v>
      </c>
      <c r="E36" s="7">
        <v>44296</v>
      </c>
      <c r="F36" t="s">
        <v>19</v>
      </c>
      <c r="G36" s="20">
        <v>53240</v>
      </c>
      <c r="H36" t="s">
        <v>205</v>
      </c>
      <c r="I36" s="8">
        <f ca="1">(TODAY() - Staff[[#This Row],[Date Joined]])/365</f>
        <v>3.8657534246575342</v>
      </c>
      <c r="J36" s="19">
        <f ca="1">ROUNDUP(IF(Staff[[#This Row],[Tenure]]&gt;2,3%,2%)*Staff[[#This Row],[Salary]],0)</f>
        <v>1598</v>
      </c>
      <c r="K36" s="9">
        <f>_xlfn.XLOOKUP(Staff[[#This Row],[Rating]],Sheet4!$B$2:$B$6,Sheet4!$C$2:$C$6)</f>
        <v>3</v>
      </c>
      <c r="O36" t="s">
        <v>218</v>
      </c>
      <c r="P36" s="12">
        <f ca="1"/>
        <v>44277</v>
      </c>
    </row>
    <row r="37" spans="1:16" x14ac:dyDescent="0.3">
      <c r="A37" t="s">
        <v>75</v>
      </c>
      <c r="B37" t="s">
        <v>8</v>
      </c>
      <c r="C37">
        <v>28</v>
      </c>
      <c r="D37" t="s">
        <v>16</v>
      </c>
      <c r="E37" s="7">
        <v>44357</v>
      </c>
      <c r="F37" t="s">
        <v>19</v>
      </c>
      <c r="G37" s="20">
        <v>53240</v>
      </c>
      <c r="H37" t="s">
        <v>207</v>
      </c>
      <c r="I37" s="8">
        <f ca="1">(TODAY() - Staff[[#This Row],[Date Joined]])/365</f>
        <v>3.6986301369863015</v>
      </c>
      <c r="J37" s="19">
        <f ca="1">ROUNDUP(IF(Staff[[#This Row],[Tenure]]&gt;2,3%,2%)*Staff[[#This Row],[Salary]],0)</f>
        <v>1598</v>
      </c>
      <c r="K37" s="9">
        <f>_xlfn.XLOOKUP(Staff[[#This Row],[Rating]],Sheet4!$B$2:$B$6,Sheet4!$C$2:$C$6)</f>
        <v>3</v>
      </c>
      <c r="O37" t="s">
        <v>2</v>
      </c>
      <c r="P37" s="12" t="str">
        <f ca="1"/>
        <v>Website</v>
      </c>
    </row>
    <row r="38" spans="1:16" x14ac:dyDescent="0.3">
      <c r="A38" t="s">
        <v>157</v>
      </c>
      <c r="B38" t="s">
        <v>15</v>
      </c>
      <c r="C38">
        <v>32</v>
      </c>
      <c r="D38" t="s">
        <v>16</v>
      </c>
      <c r="E38" s="7">
        <v>44403</v>
      </c>
      <c r="F38" t="s">
        <v>19</v>
      </c>
      <c r="G38" s="20">
        <v>53540</v>
      </c>
      <c r="H38" t="s">
        <v>205</v>
      </c>
      <c r="I38" s="8">
        <f ca="1">(TODAY() - Staff[[#This Row],[Date Joined]])/365</f>
        <v>3.5726027397260274</v>
      </c>
      <c r="J38" s="19">
        <f ca="1">ROUNDUP(IF(Staff[[#This Row],[Tenure]]&gt;2,3%,2%)*Staff[[#This Row],[Salary]],0)</f>
        <v>1607</v>
      </c>
      <c r="K38" s="9">
        <f>_xlfn.XLOOKUP(Staff[[#This Row],[Rating]],Sheet4!$B$2:$B$6,Sheet4!$C$2:$C$6)</f>
        <v>3</v>
      </c>
      <c r="O38" t="s">
        <v>5</v>
      </c>
      <c r="P38" s="12">
        <f ca="1"/>
        <v>88050</v>
      </c>
    </row>
    <row r="39" spans="1:16" x14ac:dyDescent="0.3">
      <c r="A39" t="s">
        <v>139</v>
      </c>
      <c r="B39" t="s">
        <v>15</v>
      </c>
      <c r="C39">
        <v>26</v>
      </c>
      <c r="D39" t="s">
        <v>16</v>
      </c>
      <c r="E39" s="7">
        <v>44350</v>
      </c>
      <c r="F39" t="s">
        <v>9</v>
      </c>
      <c r="G39" s="20">
        <v>53540</v>
      </c>
      <c r="H39" t="s">
        <v>205</v>
      </c>
      <c r="I39" s="8">
        <f ca="1">(TODAY() - Staff[[#This Row],[Date Joined]])/365</f>
        <v>3.7178082191780821</v>
      </c>
      <c r="J39" s="19">
        <f ca="1">ROUNDUP(IF(Staff[[#This Row],[Tenure]]&gt;2,3%,2%)*Staff[[#This Row],[Salary]],0)</f>
        <v>1607</v>
      </c>
      <c r="K39" s="9">
        <f>_xlfn.XLOOKUP(Staff[[#This Row],[Rating]],Sheet4!$B$2:$B$6,Sheet4!$C$2:$C$6)</f>
        <v>3</v>
      </c>
      <c r="O39" t="s">
        <v>204</v>
      </c>
      <c r="P39" s="12" t="str">
        <f ca="1"/>
        <v>India</v>
      </c>
    </row>
    <row r="40" spans="1:16" x14ac:dyDescent="0.3">
      <c r="A40" t="s">
        <v>65</v>
      </c>
      <c r="B40" t="s">
        <v>15</v>
      </c>
      <c r="C40">
        <v>32</v>
      </c>
      <c r="D40" t="s">
        <v>16</v>
      </c>
      <c r="E40" s="7">
        <v>44465</v>
      </c>
      <c r="F40" t="s">
        <v>19</v>
      </c>
      <c r="G40" s="20">
        <v>53540</v>
      </c>
      <c r="H40" t="s">
        <v>207</v>
      </c>
      <c r="I40" s="8">
        <f ca="1">(TODAY() - Staff[[#This Row],[Date Joined]])/365</f>
        <v>3.4027397260273973</v>
      </c>
      <c r="J40" s="19">
        <f ca="1">ROUNDUP(IF(Staff[[#This Row],[Tenure]]&gt;2,3%,2%)*Staff[[#This Row],[Salary]],0)</f>
        <v>1607</v>
      </c>
      <c r="K40" s="9">
        <f>_xlfn.XLOOKUP(Staff[[#This Row],[Rating]],Sheet4!$B$2:$B$6,Sheet4!$C$2:$C$6)</f>
        <v>3</v>
      </c>
      <c r="O40" t="s">
        <v>213</v>
      </c>
      <c r="P40" s="12">
        <f ca="1"/>
        <v>3.9178082191780823</v>
      </c>
    </row>
    <row r="41" spans="1:16" x14ac:dyDescent="0.3">
      <c r="A41" t="s">
        <v>46</v>
      </c>
      <c r="B41" t="s">
        <v>15</v>
      </c>
      <c r="C41">
        <v>26</v>
      </c>
      <c r="D41" t="s">
        <v>16</v>
      </c>
      <c r="E41" s="7">
        <v>44411</v>
      </c>
      <c r="F41" t="s">
        <v>9</v>
      </c>
      <c r="G41" s="20">
        <v>53540</v>
      </c>
      <c r="H41" t="s">
        <v>207</v>
      </c>
      <c r="I41" s="8">
        <f ca="1">(TODAY() - Staff[[#This Row],[Date Joined]])/365</f>
        <v>3.5506849315068494</v>
      </c>
      <c r="J41" s="19">
        <f ca="1">ROUNDUP(IF(Staff[[#This Row],[Tenure]]&gt;2,3%,2%)*Staff[[#This Row],[Salary]],0)</f>
        <v>1607</v>
      </c>
      <c r="K41" s="9">
        <f>_xlfn.XLOOKUP(Staff[[#This Row],[Rating]],Sheet4!$B$2:$B$6,Sheet4!$C$2:$C$6)</f>
        <v>3</v>
      </c>
    </row>
    <row r="42" spans="1:16" x14ac:dyDescent="0.3">
      <c r="A42" t="s">
        <v>174</v>
      </c>
      <c r="B42" t="s">
        <v>15</v>
      </c>
      <c r="C42">
        <v>33</v>
      </c>
      <c r="D42" t="s">
        <v>16</v>
      </c>
      <c r="E42" s="7">
        <v>44448</v>
      </c>
      <c r="F42" t="s">
        <v>12</v>
      </c>
      <c r="G42" s="20">
        <v>53870</v>
      </c>
      <c r="H42" t="s">
        <v>205</v>
      </c>
      <c r="I42" s="8">
        <f ca="1">(TODAY() - Staff[[#This Row],[Date Joined]])/365</f>
        <v>3.4493150684931506</v>
      </c>
      <c r="J42" s="19">
        <f ca="1">ROUNDUP(IF(Staff[[#This Row],[Tenure]]&gt;2,3%,2%)*Staff[[#This Row],[Salary]],0)</f>
        <v>1617</v>
      </c>
      <c r="K42" s="9">
        <f>_xlfn.XLOOKUP(Staff[[#This Row],[Rating]],Sheet4!$B$2:$B$6,Sheet4!$C$2:$C$6)</f>
        <v>3</v>
      </c>
    </row>
    <row r="43" spans="1:16" x14ac:dyDescent="0.3">
      <c r="A43" t="s">
        <v>82</v>
      </c>
      <c r="B43" t="s">
        <v>15</v>
      </c>
      <c r="C43">
        <v>33</v>
      </c>
      <c r="D43" t="s">
        <v>16</v>
      </c>
      <c r="E43" s="7">
        <v>44509</v>
      </c>
      <c r="F43" t="s">
        <v>12</v>
      </c>
      <c r="G43" s="20">
        <v>53870</v>
      </c>
      <c r="H43" t="s">
        <v>207</v>
      </c>
      <c r="I43" s="8">
        <f ca="1">(TODAY() - Staff[[#This Row],[Date Joined]])/365</f>
        <v>3.2821917808219179</v>
      </c>
      <c r="J43" s="19">
        <f ca="1">ROUNDUP(IF(Staff[[#This Row],[Tenure]]&gt;2,3%,2%)*Staff[[#This Row],[Salary]],0)</f>
        <v>1617</v>
      </c>
      <c r="K43" s="9">
        <f>_xlfn.XLOOKUP(Staff[[#This Row],[Rating]],Sheet4!$B$2:$B$6,Sheet4!$C$2:$C$6)</f>
        <v>3</v>
      </c>
    </row>
    <row r="44" spans="1:16" x14ac:dyDescent="0.3">
      <c r="A44" t="s">
        <v>182</v>
      </c>
      <c r="B44" t="s">
        <v>15</v>
      </c>
      <c r="C44">
        <v>27</v>
      </c>
      <c r="D44" t="s">
        <v>16</v>
      </c>
      <c r="E44" s="7">
        <v>44073</v>
      </c>
      <c r="F44" t="s">
        <v>19</v>
      </c>
      <c r="G44" s="20">
        <v>54970</v>
      </c>
      <c r="H44" t="s">
        <v>205</v>
      </c>
      <c r="I44" s="8">
        <f ca="1">(TODAY() - Staff[[#This Row],[Date Joined]])/365</f>
        <v>4.4767123287671229</v>
      </c>
      <c r="J44" s="19">
        <f ca="1">ROUNDUP(IF(Staff[[#This Row],[Tenure]]&gt;2,3%,2%)*Staff[[#This Row],[Salary]],0)</f>
        <v>1650</v>
      </c>
      <c r="K44" s="9">
        <f>_xlfn.XLOOKUP(Staff[[#This Row],[Rating]],Sheet4!$B$2:$B$6,Sheet4!$C$2:$C$6)</f>
        <v>3</v>
      </c>
    </row>
    <row r="45" spans="1:16" x14ac:dyDescent="0.3">
      <c r="A45" t="s">
        <v>89</v>
      </c>
      <c r="B45" t="s">
        <v>15</v>
      </c>
      <c r="C45">
        <v>27</v>
      </c>
      <c r="D45" t="s">
        <v>16</v>
      </c>
      <c r="E45" s="7">
        <v>44134</v>
      </c>
      <c r="F45" t="s">
        <v>19</v>
      </c>
      <c r="G45" s="20">
        <v>54970</v>
      </c>
      <c r="H45" t="s">
        <v>207</v>
      </c>
      <c r="I45" s="8">
        <f ca="1">(TODAY() - Staff[[#This Row],[Date Joined]])/365</f>
        <v>4.3095890410958901</v>
      </c>
      <c r="J45" s="19">
        <f ca="1">ROUNDUP(IF(Staff[[#This Row],[Tenure]]&gt;2,3%,2%)*Staff[[#This Row],[Salary]],0)</f>
        <v>1650</v>
      </c>
      <c r="K45" s="9">
        <f>_xlfn.XLOOKUP(Staff[[#This Row],[Rating]],Sheet4!$B$2:$B$6,Sheet4!$C$2:$C$6)</f>
        <v>3</v>
      </c>
    </row>
    <row r="46" spans="1:16" x14ac:dyDescent="0.3">
      <c r="A46" t="s">
        <v>202</v>
      </c>
      <c r="B46" t="s">
        <v>8</v>
      </c>
      <c r="C46">
        <v>38</v>
      </c>
      <c r="D46" t="s">
        <v>13</v>
      </c>
      <c r="E46" s="7">
        <v>44268</v>
      </c>
      <c r="F46" t="s">
        <v>19</v>
      </c>
      <c r="G46" s="20">
        <v>56870</v>
      </c>
      <c r="H46" t="s">
        <v>205</v>
      </c>
      <c r="I46" s="8">
        <f ca="1">(TODAY() - Staff[[#This Row],[Date Joined]])/365</f>
        <v>3.9424657534246577</v>
      </c>
      <c r="J46" s="19">
        <f ca="1">ROUNDUP(IF(Staff[[#This Row],[Tenure]]&gt;2,3%,2%)*Staff[[#This Row],[Salary]],0)</f>
        <v>1707</v>
      </c>
      <c r="K46" s="9">
        <f>_xlfn.XLOOKUP(Staff[[#This Row],[Rating]],Sheet4!$B$2:$B$6,Sheet4!$C$2:$C$6)</f>
        <v>4</v>
      </c>
    </row>
    <row r="47" spans="1:16" x14ac:dyDescent="0.3">
      <c r="A47" t="s">
        <v>109</v>
      </c>
      <c r="B47" t="s">
        <v>8</v>
      </c>
      <c r="C47">
        <v>38</v>
      </c>
      <c r="D47" t="s">
        <v>13</v>
      </c>
      <c r="E47" s="7">
        <v>44329</v>
      </c>
      <c r="F47" t="s">
        <v>19</v>
      </c>
      <c r="G47" s="20">
        <v>56870</v>
      </c>
      <c r="H47" t="s">
        <v>207</v>
      </c>
      <c r="I47" s="8">
        <f ca="1">(TODAY() - Staff[[#This Row],[Date Joined]])/365</f>
        <v>3.7753424657534245</v>
      </c>
      <c r="J47" s="19">
        <f ca="1">ROUNDUP(IF(Staff[[#This Row],[Tenure]]&gt;2,3%,2%)*Staff[[#This Row],[Salary]],0)</f>
        <v>1707</v>
      </c>
      <c r="K47" s="9">
        <f>_xlfn.XLOOKUP(Staff[[#This Row],[Rating]],Sheet4!$B$2:$B$6,Sheet4!$C$2:$C$6)</f>
        <v>4</v>
      </c>
    </row>
    <row r="48" spans="1:16" x14ac:dyDescent="0.3">
      <c r="A48" t="s">
        <v>125</v>
      </c>
      <c r="B48" t="s">
        <v>15</v>
      </c>
      <c r="C48">
        <v>21</v>
      </c>
      <c r="D48" t="s">
        <v>16</v>
      </c>
      <c r="E48" s="7">
        <v>44701</v>
      </c>
      <c r="F48" t="s">
        <v>9</v>
      </c>
      <c r="G48" s="20">
        <v>57090</v>
      </c>
      <c r="H48" t="s">
        <v>205</v>
      </c>
      <c r="I48" s="8">
        <f ca="1">(TODAY() - Staff[[#This Row],[Date Joined]])/365</f>
        <v>2.7561643835616438</v>
      </c>
      <c r="J48" s="19">
        <f ca="1">ROUNDUP(IF(Staff[[#This Row],[Tenure]]&gt;2,3%,2%)*Staff[[#This Row],[Salary]],0)</f>
        <v>1713</v>
      </c>
      <c r="K48" s="9">
        <f>_xlfn.XLOOKUP(Staff[[#This Row],[Rating]],Sheet4!$B$2:$B$6,Sheet4!$C$2:$C$6)</f>
        <v>3</v>
      </c>
    </row>
    <row r="49" spans="1:11" x14ac:dyDescent="0.3">
      <c r="A49" t="s">
        <v>31</v>
      </c>
      <c r="B49" t="s">
        <v>15</v>
      </c>
      <c r="C49">
        <v>21</v>
      </c>
      <c r="D49" t="s">
        <v>16</v>
      </c>
      <c r="E49" s="7">
        <v>44762</v>
      </c>
      <c r="F49" t="s">
        <v>9</v>
      </c>
      <c r="G49" s="20">
        <v>57090</v>
      </c>
      <c r="H49" t="s">
        <v>207</v>
      </c>
      <c r="I49" s="8">
        <f ca="1">(TODAY() - Staff[[#This Row],[Date Joined]])/365</f>
        <v>2.5890410958904111</v>
      </c>
      <c r="J49" s="19">
        <f ca="1">ROUNDUP(IF(Staff[[#This Row],[Tenure]]&gt;2,3%,2%)*Staff[[#This Row],[Salary]],0)</f>
        <v>1713</v>
      </c>
      <c r="K49" s="9">
        <f>_xlfn.XLOOKUP(Staff[[#This Row],[Rating]],Sheet4!$B$2:$B$6,Sheet4!$C$2:$C$6)</f>
        <v>3</v>
      </c>
    </row>
    <row r="50" spans="1:11" x14ac:dyDescent="0.3">
      <c r="A50" t="s">
        <v>120</v>
      </c>
      <c r="B50" t="s">
        <v>8</v>
      </c>
      <c r="C50">
        <v>31</v>
      </c>
      <c r="D50" t="s">
        <v>16</v>
      </c>
      <c r="E50" s="7">
        <v>44604</v>
      </c>
      <c r="F50" t="s">
        <v>12</v>
      </c>
      <c r="G50" s="20">
        <v>58100</v>
      </c>
      <c r="H50" t="s">
        <v>205</v>
      </c>
      <c r="I50" s="8">
        <f ca="1">(TODAY() - Staff[[#This Row],[Date Joined]])/365</f>
        <v>3.021917808219178</v>
      </c>
      <c r="J50" s="19">
        <f ca="1">ROUNDUP(IF(Staff[[#This Row],[Tenure]]&gt;2,3%,2%)*Staff[[#This Row],[Salary]],0)</f>
        <v>1743</v>
      </c>
      <c r="K50" s="9">
        <f>_xlfn.XLOOKUP(Staff[[#This Row],[Rating]],Sheet4!$B$2:$B$6,Sheet4!$C$2:$C$6)</f>
        <v>3</v>
      </c>
    </row>
    <row r="51" spans="1:11" x14ac:dyDescent="0.3">
      <c r="A51" t="s">
        <v>26</v>
      </c>
      <c r="B51" t="s">
        <v>8</v>
      </c>
      <c r="C51">
        <v>31</v>
      </c>
      <c r="D51" t="s">
        <v>16</v>
      </c>
      <c r="E51" s="7">
        <v>44663</v>
      </c>
      <c r="F51" t="s">
        <v>12</v>
      </c>
      <c r="G51" s="20">
        <v>58100</v>
      </c>
      <c r="H51" t="s">
        <v>207</v>
      </c>
      <c r="I51" s="8">
        <f ca="1">(TODAY() - Staff[[#This Row],[Date Joined]])/365</f>
        <v>2.8602739726027395</v>
      </c>
      <c r="J51" s="19">
        <f ca="1">ROUNDUP(IF(Staff[[#This Row],[Tenure]]&gt;2,3%,2%)*Staff[[#This Row],[Salary]],0)</f>
        <v>1743</v>
      </c>
      <c r="K51" s="9">
        <f>_xlfn.XLOOKUP(Staff[[#This Row],[Rating]],Sheet4!$B$2:$B$6,Sheet4!$C$2:$C$6)</f>
        <v>3</v>
      </c>
    </row>
    <row r="52" spans="1:11" x14ac:dyDescent="0.3">
      <c r="A52" t="s">
        <v>130</v>
      </c>
      <c r="B52" t="s">
        <v>8</v>
      </c>
      <c r="C52">
        <v>34</v>
      </c>
      <c r="D52" t="s">
        <v>16</v>
      </c>
      <c r="E52" s="7">
        <v>44594</v>
      </c>
      <c r="F52" t="s">
        <v>21</v>
      </c>
      <c r="G52" s="20">
        <v>58940</v>
      </c>
      <c r="H52" t="s">
        <v>205</v>
      </c>
      <c r="I52" s="8">
        <f ca="1">(TODAY() - Staff[[#This Row],[Date Joined]])/365</f>
        <v>3.0493150684931507</v>
      </c>
      <c r="J52" s="19">
        <f ca="1">ROUNDUP(IF(Staff[[#This Row],[Tenure]]&gt;2,3%,2%)*Staff[[#This Row],[Salary]],0)</f>
        <v>1769</v>
      </c>
      <c r="K52" s="9">
        <f>_xlfn.XLOOKUP(Staff[[#This Row],[Rating]],Sheet4!$B$2:$B$6,Sheet4!$C$2:$C$6)</f>
        <v>3</v>
      </c>
    </row>
    <row r="53" spans="1:11" x14ac:dyDescent="0.3">
      <c r="A53" t="s">
        <v>36</v>
      </c>
      <c r="B53" t="s">
        <v>8</v>
      </c>
      <c r="C53">
        <v>34</v>
      </c>
      <c r="D53" t="s">
        <v>16</v>
      </c>
      <c r="E53" s="7">
        <v>44653</v>
      </c>
      <c r="F53" t="s">
        <v>21</v>
      </c>
      <c r="G53" s="20">
        <v>58940</v>
      </c>
      <c r="H53" t="s">
        <v>207</v>
      </c>
      <c r="I53" s="8">
        <f ca="1">(TODAY() - Staff[[#This Row],[Date Joined]])/365</f>
        <v>2.8876712328767122</v>
      </c>
      <c r="J53" s="19">
        <f ca="1">ROUNDUP(IF(Staff[[#This Row],[Tenure]]&gt;2,3%,2%)*Staff[[#This Row],[Salary]],0)</f>
        <v>1769</v>
      </c>
      <c r="K53" s="9">
        <f>_xlfn.XLOOKUP(Staff[[#This Row],[Rating]],Sheet4!$B$2:$B$6,Sheet4!$C$2:$C$6)</f>
        <v>3</v>
      </c>
    </row>
    <row r="54" spans="1:11" x14ac:dyDescent="0.3">
      <c r="A54" t="s">
        <v>193</v>
      </c>
      <c r="B54" t="s">
        <v>15</v>
      </c>
      <c r="C54">
        <v>19</v>
      </c>
      <c r="D54" t="s">
        <v>16</v>
      </c>
      <c r="E54" s="7">
        <v>44218</v>
      </c>
      <c r="F54" t="s">
        <v>9</v>
      </c>
      <c r="G54" s="20">
        <v>58960</v>
      </c>
      <c r="H54" t="s">
        <v>205</v>
      </c>
      <c r="I54" s="8">
        <f ca="1">(TODAY() - Staff[[#This Row],[Date Joined]])/365</f>
        <v>4.0794520547945208</v>
      </c>
      <c r="J54" s="19">
        <f ca="1">ROUNDUP(IF(Staff[[#This Row],[Tenure]]&gt;2,3%,2%)*Staff[[#This Row],[Salary]],0)</f>
        <v>1769</v>
      </c>
      <c r="K54" s="9">
        <f>_xlfn.XLOOKUP(Staff[[#This Row],[Rating]],Sheet4!$B$2:$B$6,Sheet4!$C$2:$C$6)</f>
        <v>3</v>
      </c>
    </row>
    <row r="55" spans="1:11" x14ac:dyDescent="0.3">
      <c r="A55" t="s">
        <v>100</v>
      </c>
      <c r="B55" t="s">
        <v>15</v>
      </c>
      <c r="C55">
        <v>19</v>
      </c>
      <c r="D55" t="s">
        <v>16</v>
      </c>
      <c r="E55" s="7">
        <v>44277</v>
      </c>
      <c r="F55" t="s">
        <v>9</v>
      </c>
      <c r="G55" s="20">
        <v>58960</v>
      </c>
      <c r="H55" t="s">
        <v>207</v>
      </c>
      <c r="I55" s="8">
        <f ca="1">(TODAY() - Staff[[#This Row],[Date Joined]])/365</f>
        <v>3.9178082191780823</v>
      </c>
      <c r="J55" s="19">
        <f ca="1">ROUNDUP(IF(Staff[[#This Row],[Tenure]]&gt;2,3%,2%)*Staff[[#This Row],[Salary]],0)</f>
        <v>1769</v>
      </c>
      <c r="K55" s="9">
        <f>_xlfn.XLOOKUP(Staff[[#This Row],[Rating]],Sheet4!$B$2:$B$6,Sheet4!$C$2:$C$6)</f>
        <v>3</v>
      </c>
    </row>
    <row r="56" spans="1:11" x14ac:dyDescent="0.3">
      <c r="A56" t="s">
        <v>171</v>
      </c>
      <c r="B56" t="s">
        <v>15</v>
      </c>
      <c r="C56">
        <v>33</v>
      </c>
      <c r="D56" t="s">
        <v>16</v>
      </c>
      <c r="E56" s="7">
        <v>44181</v>
      </c>
      <c r="F56" t="s">
        <v>21</v>
      </c>
      <c r="G56" s="20">
        <v>59430</v>
      </c>
      <c r="H56" t="s">
        <v>205</v>
      </c>
      <c r="I56" s="8">
        <f ca="1">(TODAY() - Staff[[#This Row],[Date Joined]])/365</f>
        <v>4.1808219178082195</v>
      </c>
      <c r="J56" s="19">
        <f ca="1">ROUNDUP(IF(Staff[[#This Row],[Tenure]]&gt;2,3%,2%)*Staff[[#This Row],[Salary]],0)</f>
        <v>1783</v>
      </c>
      <c r="K56" s="9">
        <f>_xlfn.XLOOKUP(Staff[[#This Row],[Rating]],Sheet4!$B$2:$B$6,Sheet4!$C$2:$C$6)</f>
        <v>3</v>
      </c>
    </row>
    <row r="57" spans="1:11" x14ac:dyDescent="0.3">
      <c r="A57" t="s">
        <v>79</v>
      </c>
      <c r="B57" t="s">
        <v>15</v>
      </c>
      <c r="C57">
        <v>33</v>
      </c>
      <c r="D57" t="s">
        <v>16</v>
      </c>
      <c r="E57" s="7">
        <v>44243</v>
      </c>
      <c r="F57" t="s">
        <v>21</v>
      </c>
      <c r="G57" s="20">
        <v>59430</v>
      </c>
      <c r="H57" t="s">
        <v>207</v>
      </c>
      <c r="I57" s="8">
        <f ca="1">(TODAY() - Staff[[#This Row],[Date Joined]])/365</f>
        <v>4.0109589041095894</v>
      </c>
      <c r="J57" s="19">
        <f ca="1">ROUNDUP(IF(Staff[[#This Row],[Tenure]]&gt;2,3%,2%)*Staff[[#This Row],[Salary]],0)</f>
        <v>1783</v>
      </c>
      <c r="K57" s="9">
        <f>_xlfn.XLOOKUP(Staff[[#This Row],[Rating]],Sheet4!$B$2:$B$6,Sheet4!$C$2:$C$6)</f>
        <v>3</v>
      </c>
    </row>
    <row r="58" spans="1:11" x14ac:dyDescent="0.3">
      <c r="A58" t="s">
        <v>132</v>
      </c>
      <c r="B58" t="s">
        <v>8</v>
      </c>
      <c r="C58">
        <v>34</v>
      </c>
      <c r="D58" t="s">
        <v>16</v>
      </c>
      <c r="E58" s="7">
        <v>44550</v>
      </c>
      <c r="F58" t="s">
        <v>21</v>
      </c>
      <c r="G58" s="20">
        <v>60130</v>
      </c>
      <c r="H58" t="s">
        <v>205</v>
      </c>
      <c r="I58" s="8">
        <f ca="1">(TODAY() - Staff[[#This Row],[Date Joined]])/365</f>
        <v>3.1698630136986301</v>
      </c>
      <c r="J58" s="19">
        <f ca="1">ROUNDUP(IF(Staff[[#This Row],[Tenure]]&gt;2,3%,2%)*Staff[[#This Row],[Salary]],0)</f>
        <v>1804</v>
      </c>
      <c r="K58" s="9">
        <f>_xlfn.XLOOKUP(Staff[[#This Row],[Rating]],Sheet4!$B$2:$B$6,Sheet4!$C$2:$C$6)</f>
        <v>3</v>
      </c>
    </row>
    <row r="59" spans="1:11" x14ac:dyDescent="0.3">
      <c r="A59" t="s">
        <v>38</v>
      </c>
      <c r="B59" t="s">
        <v>8</v>
      </c>
      <c r="C59">
        <v>34</v>
      </c>
      <c r="D59" t="s">
        <v>16</v>
      </c>
      <c r="E59" s="7">
        <v>44612</v>
      </c>
      <c r="F59" t="s">
        <v>21</v>
      </c>
      <c r="G59" s="20">
        <v>60130</v>
      </c>
      <c r="H59" t="s">
        <v>207</v>
      </c>
      <c r="I59" s="8">
        <f ca="1">(TODAY() - Staff[[#This Row],[Date Joined]])/365</f>
        <v>3</v>
      </c>
      <c r="J59" s="19">
        <f ca="1">ROUNDUP(IF(Staff[[#This Row],[Tenure]]&gt;2,3%,2%)*Staff[[#This Row],[Salary]],0)</f>
        <v>1804</v>
      </c>
      <c r="K59" s="9">
        <f>_xlfn.XLOOKUP(Staff[[#This Row],[Rating]],Sheet4!$B$2:$B$6,Sheet4!$C$2:$C$6)</f>
        <v>3</v>
      </c>
    </row>
    <row r="60" spans="1:11" x14ac:dyDescent="0.3">
      <c r="A60" t="s">
        <v>131</v>
      </c>
      <c r="B60" t="s">
        <v>15</v>
      </c>
      <c r="C60">
        <v>30</v>
      </c>
      <c r="D60" t="s">
        <v>16</v>
      </c>
      <c r="E60" s="7">
        <v>44607</v>
      </c>
      <c r="F60" t="s">
        <v>9</v>
      </c>
      <c r="G60" s="20">
        <v>60570</v>
      </c>
      <c r="H60" t="s">
        <v>205</v>
      </c>
      <c r="I60" s="8">
        <f ca="1">(TODAY() - Staff[[#This Row],[Date Joined]])/365</f>
        <v>3.0136986301369864</v>
      </c>
      <c r="J60" s="19">
        <f ca="1">ROUNDUP(IF(Staff[[#This Row],[Tenure]]&gt;2,3%,2%)*Staff[[#This Row],[Salary]],0)</f>
        <v>1818</v>
      </c>
      <c r="K60" s="9">
        <f>_xlfn.XLOOKUP(Staff[[#This Row],[Rating]],Sheet4!$B$2:$B$6,Sheet4!$C$2:$C$6)</f>
        <v>3</v>
      </c>
    </row>
    <row r="61" spans="1:11" x14ac:dyDescent="0.3">
      <c r="A61" t="s">
        <v>37</v>
      </c>
      <c r="B61" t="s">
        <v>15</v>
      </c>
      <c r="C61">
        <v>30</v>
      </c>
      <c r="D61" t="s">
        <v>16</v>
      </c>
      <c r="E61" s="7">
        <v>44666</v>
      </c>
      <c r="F61" t="s">
        <v>9</v>
      </c>
      <c r="G61" s="20">
        <v>60570</v>
      </c>
      <c r="H61" t="s">
        <v>207</v>
      </c>
      <c r="I61" s="8">
        <f ca="1">(TODAY() - Staff[[#This Row],[Date Joined]])/365</f>
        <v>2.8520547945205479</v>
      </c>
      <c r="J61" s="19">
        <f ca="1">ROUNDUP(IF(Staff[[#This Row],[Tenure]]&gt;2,3%,2%)*Staff[[#This Row],[Salary]],0)</f>
        <v>1818</v>
      </c>
      <c r="K61" s="9">
        <f>_xlfn.XLOOKUP(Staff[[#This Row],[Rating]],Sheet4!$B$2:$B$6,Sheet4!$C$2:$C$6)</f>
        <v>3</v>
      </c>
    </row>
    <row r="62" spans="1:11" x14ac:dyDescent="0.3">
      <c r="A62" t="s">
        <v>153</v>
      </c>
      <c r="B62" t="s">
        <v>8</v>
      </c>
      <c r="C62">
        <v>24</v>
      </c>
      <c r="D62" t="s">
        <v>16</v>
      </c>
      <c r="E62" s="7">
        <v>44087</v>
      </c>
      <c r="F62" t="s">
        <v>12</v>
      </c>
      <c r="G62" s="20">
        <v>62780</v>
      </c>
      <c r="H62" t="s">
        <v>205</v>
      </c>
      <c r="I62" s="8">
        <f ca="1">(TODAY() - Staff[[#This Row],[Date Joined]])/365</f>
        <v>4.4383561643835616</v>
      </c>
      <c r="J62" s="19">
        <f ca="1">ROUNDUP(IF(Staff[[#This Row],[Tenure]]&gt;2,3%,2%)*Staff[[#This Row],[Salary]],0)</f>
        <v>1884</v>
      </c>
      <c r="K62" s="9">
        <f>_xlfn.XLOOKUP(Staff[[#This Row],[Rating]],Sheet4!$B$2:$B$6,Sheet4!$C$2:$C$6)</f>
        <v>3</v>
      </c>
    </row>
    <row r="63" spans="1:11" x14ac:dyDescent="0.3">
      <c r="A63" t="s">
        <v>61</v>
      </c>
      <c r="B63" t="s">
        <v>8</v>
      </c>
      <c r="C63">
        <v>24</v>
      </c>
      <c r="D63" t="s">
        <v>16</v>
      </c>
      <c r="E63" s="7">
        <v>44148</v>
      </c>
      <c r="F63" t="s">
        <v>12</v>
      </c>
      <c r="G63" s="20">
        <v>62780</v>
      </c>
      <c r="H63" t="s">
        <v>207</v>
      </c>
      <c r="I63" s="8">
        <f ca="1">(TODAY() - Staff[[#This Row],[Date Joined]])/365</f>
        <v>4.2712328767123289</v>
      </c>
      <c r="J63" s="19">
        <f ca="1">ROUNDUP(IF(Staff[[#This Row],[Tenure]]&gt;2,3%,2%)*Staff[[#This Row],[Salary]],0)</f>
        <v>1884</v>
      </c>
      <c r="K63" s="9">
        <f>_xlfn.XLOOKUP(Staff[[#This Row],[Rating]],Sheet4!$B$2:$B$6,Sheet4!$C$2:$C$6)</f>
        <v>3</v>
      </c>
    </row>
    <row r="64" spans="1:11" x14ac:dyDescent="0.3">
      <c r="A64" t="s">
        <v>116</v>
      </c>
      <c r="B64" t="s">
        <v>206</v>
      </c>
      <c r="C64">
        <v>30</v>
      </c>
      <c r="D64" t="s">
        <v>16</v>
      </c>
      <c r="E64" s="7">
        <v>44535</v>
      </c>
      <c r="F64" t="s">
        <v>21</v>
      </c>
      <c r="G64" s="20">
        <v>64000</v>
      </c>
      <c r="H64" t="s">
        <v>205</v>
      </c>
      <c r="I64" s="8">
        <f ca="1">(TODAY() - Staff[[#This Row],[Date Joined]])/365</f>
        <v>3.2109589041095892</v>
      </c>
      <c r="J64" s="19">
        <f ca="1">ROUNDUP(IF(Staff[[#This Row],[Tenure]]&gt;2,3%,2%)*Staff[[#This Row],[Salary]],0)</f>
        <v>1920</v>
      </c>
      <c r="K64" s="9">
        <f>_xlfn.XLOOKUP(Staff[[#This Row],[Rating]],Sheet4!$B$2:$B$6,Sheet4!$C$2:$C$6)</f>
        <v>3</v>
      </c>
    </row>
    <row r="65" spans="1:11" x14ac:dyDescent="0.3">
      <c r="A65" t="s">
        <v>20</v>
      </c>
      <c r="B65" t="s">
        <v>206</v>
      </c>
      <c r="C65">
        <v>30</v>
      </c>
      <c r="D65" t="s">
        <v>16</v>
      </c>
      <c r="E65" s="7">
        <v>44597</v>
      </c>
      <c r="F65" t="s">
        <v>21</v>
      </c>
      <c r="G65" s="20">
        <v>64000</v>
      </c>
      <c r="H65" t="s">
        <v>207</v>
      </c>
      <c r="I65" s="8">
        <f ca="1">(TODAY() - Staff[[#This Row],[Date Joined]])/365</f>
        <v>3.0410958904109591</v>
      </c>
      <c r="J65" s="19">
        <f ca="1">ROUNDUP(IF(Staff[[#This Row],[Tenure]]&gt;2,3%,2%)*Staff[[#This Row],[Salary]],0)</f>
        <v>1920</v>
      </c>
      <c r="K65" s="9">
        <f>_xlfn.XLOOKUP(Staff[[#This Row],[Rating]],Sheet4!$B$2:$B$6,Sheet4!$C$2:$C$6)</f>
        <v>3</v>
      </c>
    </row>
    <row r="66" spans="1:11" x14ac:dyDescent="0.3">
      <c r="A66" t="s">
        <v>186</v>
      </c>
      <c r="B66" t="s">
        <v>8</v>
      </c>
      <c r="C66">
        <v>33</v>
      </c>
      <c r="D66" t="s">
        <v>16</v>
      </c>
      <c r="E66" s="7">
        <v>44006</v>
      </c>
      <c r="F66" t="s">
        <v>21</v>
      </c>
      <c r="G66" s="20">
        <v>65360</v>
      </c>
      <c r="H66" t="s">
        <v>205</v>
      </c>
      <c r="I66" s="8">
        <f ca="1">(TODAY() - Staff[[#This Row],[Date Joined]])/365</f>
        <v>4.6602739726027398</v>
      </c>
      <c r="J66" s="19">
        <f ca="1">ROUNDUP(IF(Staff[[#This Row],[Tenure]]&gt;2,3%,2%)*Staff[[#This Row],[Salary]],0)</f>
        <v>1961</v>
      </c>
      <c r="K66" s="9">
        <f>_xlfn.XLOOKUP(Staff[[#This Row],[Rating]],Sheet4!$B$2:$B$6,Sheet4!$C$2:$C$6)</f>
        <v>3</v>
      </c>
    </row>
    <row r="67" spans="1:11" x14ac:dyDescent="0.3">
      <c r="A67" t="s">
        <v>93</v>
      </c>
      <c r="B67" t="s">
        <v>8</v>
      </c>
      <c r="C67">
        <v>33</v>
      </c>
      <c r="D67" t="s">
        <v>16</v>
      </c>
      <c r="E67" s="7">
        <v>44067</v>
      </c>
      <c r="F67" t="s">
        <v>21</v>
      </c>
      <c r="G67" s="20">
        <v>65360</v>
      </c>
      <c r="H67" t="s">
        <v>207</v>
      </c>
      <c r="I67" s="8">
        <f ca="1">(TODAY() - Staff[[#This Row],[Date Joined]])/365</f>
        <v>4.493150684931507</v>
      </c>
      <c r="J67" s="19">
        <f ca="1">ROUNDUP(IF(Staff[[#This Row],[Tenure]]&gt;2,3%,2%)*Staff[[#This Row],[Salary]],0)</f>
        <v>1961</v>
      </c>
      <c r="K67" s="9">
        <f>_xlfn.XLOOKUP(Staff[[#This Row],[Rating]],Sheet4!$B$2:$B$6,Sheet4!$C$2:$C$6)</f>
        <v>3</v>
      </c>
    </row>
    <row r="68" spans="1:11" x14ac:dyDescent="0.3">
      <c r="A68" t="s">
        <v>168</v>
      </c>
      <c r="B68" t="s">
        <v>15</v>
      </c>
      <c r="C68">
        <v>25</v>
      </c>
      <c r="D68" t="s">
        <v>16</v>
      </c>
      <c r="E68" s="7">
        <v>44322</v>
      </c>
      <c r="F68" t="s">
        <v>19</v>
      </c>
      <c r="G68" s="20">
        <v>65700</v>
      </c>
      <c r="H68" t="s">
        <v>205</v>
      </c>
      <c r="I68" s="8">
        <f ca="1">(TODAY() - Staff[[#This Row],[Date Joined]])/365</f>
        <v>3.7945205479452055</v>
      </c>
      <c r="J68" s="19">
        <f ca="1">ROUNDUP(IF(Staff[[#This Row],[Tenure]]&gt;2,3%,2%)*Staff[[#This Row],[Salary]],0)</f>
        <v>1971</v>
      </c>
      <c r="K68" s="9">
        <f>_xlfn.XLOOKUP(Staff[[#This Row],[Rating]],Sheet4!$B$2:$B$6,Sheet4!$C$2:$C$6)</f>
        <v>3</v>
      </c>
    </row>
    <row r="69" spans="1:11" x14ac:dyDescent="0.3">
      <c r="A69" t="s">
        <v>76</v>
      </c>
      <c r="B69" t="s">
        <v>15</v>
      </c>
      <c r="C69">
        <v>25</v>
      </c>
      <c r="D69" t="s">
        <v>16</v>
      </c>
      <c r="E69" s="7">
        <v>44383</v>
      </c>
      <c r="F69" t="s">
        <v>19</v>
      </c>
      <c r="G69" s="20">
        <v>65700</v>
      </c>
      <c r="H69" t="s">
        <v>207</v>
      </c>
      <c r="I69" s="8">
        <f ca="1">(TODAY() - Staff[[#This Row],[Date Joined]])/365</f>
        <v>3.6273972602739728</v>
      </c>
      <c r="J69" s="19">
        <f ca="1">ROUNDUP(IF(Staff[[#This Row],[Tenure]]&gt;2,3%,2%)*Staff[[#This Row],[Salary]],0)</f>
        <v>1971</v>
      </c>
      <c r="K69" s="9">
        <f>_xlfn.XLOOKUP(Staff[[#This Row],[Rating]],Sheet4!$B$2:$B$6,Sheet4!$C$2:$C$6)</f>
        <v>3</v>
      </c>
    </row>
    <row r="70" spans="1:11" x14ac:dyDescent="0.3">
      <c r="A70" t="s">
        <v>126</v>
      </c>
      <c r="B70" t="s">
        <v>8</v>
      </c>
      <c r="C70">
        <v>21</v>
      </c>
      <c r="D70" t="s">
        <v>16</v>
      </c>
      <c r="E70" s="7">
        <v>44256</v>
      </c>
      <c r="F70" t="s">
        <v>21</v>
      </c>
      <c r="G70" s="20">
        <v>65920</v>
      </c>
      <c r="H70" t="s">
        <v>205</v>
      </c>
      <c r="I70" s="8">
        <f ca="1">(TODAY() - Staff[[#This Row],[Date Joined]])/365</f>
        <v>3.9753424657534246</v>
      </c>
      <c r="J70" s="19">
        <f ca="1">ROUNDUP(IF(Staff[[#This Row],[Tenure]]&gt;2,3%,2%)*Staff[[#This Row],[Salary]],0)</f>
        <v>1978</v>
      </c>
      <c r="K70" s="9">
        <f>_xlfn.XLOOKUP(Staff[[#This Row],[Rating]],Sheet4!$B$2:$B$6,Sheet4!$C$2:$C$6)</f>
        <v>3</v>
      </c>
    </row>
    <row r="71" spans="1:11" x14ac:dyDescent="0.3">
      <c r="A71" t="s">
        <v>32</v>
      </c>
      <c r="B71" t="s">
        <v>8</v>
      </c>
      <c r="C71">
        <v>21</v>
      </c>
      <c r="D71" t="s">
        <v>16</v>
      </c>
      <c r="E71" s="7">
        <v>44317</v>
      </c>
      <c r="F71" t="s">
        <v>21</v>
      </c>
      <c r="G71" s="20">
        <v>65920</v>
      </c>
      <c r="H71" t="s">
        <v>207</v>
      </c>
      <c r="I71" s="8">
        <f ca="1">(TODAY() - Staff[[#This Row],[Date Joined]])/365</f>
        <v>3.8082191780821919</v>
      </c>
      <c r="J71" s="19">
        <f ca="1">ROUNDUP(IF(Staff[[#This Row],[Tenure]]&gt;2,3%,2%)*Staff[[#This Row],[Salary]],0)</f>
        <v>1978</v>
      </c>
      <c r="K71" s="9">
        <f>_xlfn.XLOOKUP(Staff[[#This Row],[Rating]],Sheet4!$B$2:$B$6,Sheet4!$C$2:$C$6)</f>
        <v>3</v>
      </c>
    </row>
    <row r="72" spans="1:11" x14ac:dyDescent="0.3">
      <c r="A72" t="s">
        <v>121</v>
      </c>
      <c r="B72" t="s">
        <v>8</v>
      </c>
      <c r="C72">
        <v>30</v>
      </c>
      <c r="D72" t="s">
        <v>24</v>
      </c>
      <c r="E72" s="7">
        <v>44328</v>
      </c>
      <c r="F72" t="s">
        <v>21</v>
      </c>
      <c r="G72" s="20">
        <v>67910</v>
      </c>
      <c r="H72" t="s">
        <v>205</v>
      </c>
      <c r="I72" s="8">
        <f ca="1">(TODAY() - Staff[[#This Row],[Date Joined]])/365</f>
        <v>3.7780821917808218</v>
      </c>
      <c r="J72" s="19">
        <f ca="1">ROUNDUP(IF(Staff[[#This Row],[Tenure]]&gt;2,3%,2%)*Staff[[#This Row],[Salary]],0)</f>
        <v>2038</v>
      </c>
      <c r="K72" s="9">
        <f>_xlfn.XLOOKUP(Staff[[#This Row],[Rating]],Sheet4!$B$2:$B$6,Sheet4!$C$2:$C$6)</f>
        <v>2</v>
      </c>
    </row>
    <row r="73" spans="1:11" x14ac:dyDescent="0.3">
      <c r="A73" t="s">
        <v>27</v>
      </c>
      <c r="B73" t="s">
        <v>8</v>
      </c>
      <c r="C73">
        <v>30</v>
      </c>
      <c r="D73" t="s">
        <v>24</v>
      </c>
      <c r="E73" s="7">
        <v>44389</v>
      </c>
      <c r="F73" t="s">
        <v>21</v>
      </c>
      <c r="G73" s="20">
        <v>67910</v>
      </c>
      <c r="H73" t="s">
        <v>207</v>
      </c>
      <c r="I73" s="8">
        <f ca="1">(TODAY() - Staff[[#This Row],[Date Joined]])/365</f>
        <v>3.6109589041095891</v>
      </c>
      <c r="J73" s="19">
        <f ca="1">ROUNDUP(IF(Staff[[#This Row],[Tenure]]&gt;2,3%,2%)*Staff[[#This Row],[Salary]],0)</f>
        <v>2038</v>
      </c>
      <c r="K73" s="9">
        <f>_xlfn.XLOOKUP(Staff[[#This Row],[Rating]],Sheet4!$B$2:$B$6,Sheet4!$C$2:$C$6)</f>
        <v>2</v>
      </c>
    </row>
    <row r="74" spans="1:11" x14ac:dyDescent="0.3">
      <c r="A74" t="s">
        <v>138</v>
      </c>
      <c r="B74" t="s">
        <v>15</v>
      </c>
      <c r="C74">
        <v>30</v>
      </c>
      <c r="D74" t="s">
        <v>16</v>
      </c>
      <c r="E74" s="7">
        <v>44640</v>
      </c>
      <c r="F74" t="s">
        <v>9</v>
      </c>
      <c r="G74" s="20">
        <v>67950</v>
      </c>
      <c r="H74" t="s">
        <v>205</v>
      </c>
      <c r="I74" s="8">
        <f ca="1">(TODAY() - Staff[[#This Row],[Date Joined]])/365</f>
        <v>2.9232876712328766</v>
      </c>
      <c r="J74" s="19">
        <f ca="1">ROUNDUP(IF(Staff[[#This Row],[Tenure]]&gt;2,3%,2%)*Staff[[#This Row],[Salary]],0)</f>
        <v>2039</v>
      </c>
      <c r="K74" s="9">
        <f>_xlfn.XLOOKUP(Staff[[#This Row],[Rating]],Sheet4!$B$2:$B$6,Sheet4!$C$2:$C$6)</f>
        <v>3</v>
      </c>
    </row>
    <row r="75" spans="1:11" x14ac:dyDescent="0.3">
      <c r="A75" t="s">
        <v>45</v>
      </c>
      <c r="B75" t="s">
        <v>15</v>
      </c>
      <c r="C75">
        <v>30</v>
      </c>
      <c r="D75" t="s">
        <v>16</v>
      </c>
      <c r="E75" s="7">
        <v>44701</v>
      </c>
      <c r="F75" t="s">
        <v>9</v>
      </c>
      <c r="G75" s="20">
        <v>67950</v>
      </c>
      <c r="H75" t="s">
        <v>207</v>
      </c>
      <c r="I75" s="8">
        <f ca="1">(TODAY() - Staff[[#This Row],[Date Joined]])/365</f>
        <v>2.7561643835616438</v>
      </c>
      <c r="J75" s="19">
        <f ca="1">ROUNDUP(IF(Staff[[#This Row],[Tenure]]&gt;2,3%,2%)*Staff[[#This Row],[Salary]],0)</f>
        <v>2039</v>
      </c>
      <c r="K75" s="9">
        <f>_xlfn.XLOOKUP(Staff[[#This Row],[Rating]],Sheet4!$B$2:$B$6,Sheet4!$C$2:$C$6)</f>
        <v>3</v>
      </c>
    </row>
    <row r="76" spans="1:11" x14ac:dyDescent="0.3">
      <c r="A76" t="s">
        <v>184</v>
      </c>
      <c r="B76" t="s">
        <v>8</v>
      </c>
      <c r="C76">
        <v>20</v>
      </c>
      <c r="D76" t="s">
        <v>24</v>
      </c>
      <c r="E76" s="7">
        <v>44476</v>
      </c>
      <c r="F76" t="s">
        <v>19</v>
      </c>
      <c r="G76" s="20">
        <v>68900</v>
      </c>
      <c r="H76" t="s">
        <v>205</v>
      </c>
      <c r="I76" s="8">
        <f ca="1">(TODAY() - Staff[[#This Row],[Date Joined]])/365</f>
        <v>3.3726027397260272</v>
      </c>
      <c r="J76" s="19">
        <f ca="1">ROUNDUP(IF(Staff[[#This Row],[Tenure]]&gt;2,3%,2%)*Staff[[#This Row],[Salary]],0)</f>
        <v>2067</v>
      </c>
      <c r="K76" s="9">
        <f>_xlfn.XLOOKUP(Staff[[#This Row],[Rating]],Sheet4!$B$2:$B$6,Sheet4!$C$2:$C$6)</f>
        <v>2</v>
      </c>
    </row>
    <row r="77" spans="1:11" x14ac:dyDescent="0.3">
      <c r="A77" t="s">
        <v>91</v>
      </c>
      <c r="B77" t="s">
        <v>8</v>
      </c>
      <c r="C77">
        <v>20</v>
      </c>
      <c r="D77" t="s">
        <v>24</v>
      </c>
      <c r="E77" s="7">
        <v>44537</v>
      </c>
      <c r="F77" t="s">
        <v>19</v>
      </c>
      <c r="G77" s="20">
        <v>68900</v>
      </c>
      <c r="H77" t="s">
        <v>207</v>
      </c>
      <c r="I77" s="8">
        <f ca="1">(TODAY() - Staff[[#This Row],[Date Joined]])/365</f>
        <v>3.2054794520547945</v>
      </c>
      <c r="J77" s="19">
        <f ca="1">ROUNDUP(IF(Staff[[#This Row],[Tenure]]&gt;2,3%,2%)*Staff[[#This Row],[Salary]],0)</f>
        <v>2067</v>
      </c>
      <c r="K77" s="9">
        <f>_xlfn.XLOOKUP(Staff[[#This Row],[Rating]],Sheet4!$B$2:$B$6,Sheet4!$C$2:$C$6)</f>
        <v>2</v>
      </c>
    </row>
    <row r="78" spans="1:11" x14ac:dyDescent="0.3">
      <c r="A78" t="s">
        <v>190</v>
      </c>
      <c r="B78" t="s">
        <v>15</v>
      </c>
      <c r="C78">
        <v>37</v>
      </c>
      <c r="D78" t="s">
        <v>16</v>
      </c>
      <c r="E78" s="7">
        <v>44640</v>
      </c>
      <c r="F78" t="s">
        <v>12</v>
      </c>
      <c r="G78" s="20">
        <v>69070</v>
      </c>
      <c r="H78" t="s">
        <v>205</v>
      </c>
      <c r="I78" s="8">
        <f ca="1">(TODAY() - Staff[[#This Row],[Date Joined]])/365</f>
        <v>2.9232876712328766</v>
      </c>
      <c r="J78" s="19">
        <f ca="1">ROUNDUP(IF(Staff[[#This Row],[Tenure]]&gt;2,3%,2%)*Staff[[#This Row],[Salary]],0)</f>
        <v>2073</v>
      </c>
      <c r="K78" s="9">
        <f>_xlfn.XLOOKUP(Staff[[#This Row],[Rating]],Sheet4!$B$2:$B$6,Sheet4!$C$2:$C$6)</f>
        <v>3</v>
      </c>
    </row>
    <row r="79" spans="1:11" x14ac:dyDescent="0.3">
      <c r="A79" t="s">
        <v>97</v>
      </c>
      <c r="B79" t="s">
        <v>15</v>
      </c>
      <c r="C79">
        <v>37</v>
      </c>
      <c r="D79" t="s">
        <v>16</v>
      </c>
      <c r="E79" s="7">
        <v>44701</v>
      </c>
      <c r="F79" t="s">
        <v>12</v>
      </c>
      <c r="G79" s="20">
        <v>69070</v>
      </c>
      <c r="H79" t="s">
        <v>207</v>
      </c>
      <c r="I79" s="8">
        <f ca="1">(TODAY() - Staff[[#This Row],[Date Joined]])/365</f>
        <v>2.7561643835616438</v>
      </c>
      <c r="J79" s="19">
        <f ca="1">ROUNDUP(IF(Staff[[#This Row],[Tenure]]&gt;2,3%,2%)*Staff[[#This Row],[Salary]],0)</f>
        <v>2073</v>
      </c>
      <c r="K79" s="9">
        <f>_xlfn.XLOOKUP(Staff[[#This Row],[Rating]],Sheet4!$B$2:$B$6,Sheet4!$C$2:$C$6)</f>
        <v>3</v>
      </c>
    </row>
    <row r="80" spans="1:11" x14ac:dyDescent="0.3">
      <c r="A80" t="s">
        <v>119</v>
      </c>
      <c r="B80" t="s">
        <v>15</v>
      </c>
      <c r="C80">
        <v>30</v>
      </c>
      <c r="D80" t="s">
        <v>16</v>
      </c>
      <c r="E80" s="7">
        <v>44214</v>
      </c>
      <c r="F80" t="s">
        <v>12</v>
      </c>
      <c r="G80" s="20">
        <v>69120</v>
      </c>
      <c r="H80" t="s">
        <v>205</v>
      </c>
      <c r="I80" s="8">
        <f ca="1">(TODAY() - Staff[[#This Row],[Date Joined]])/365</f>
        <v>4.0904109589041093</v>
      </c>
      <c r="J80" s="19">
        <f ca="1">ROUNDUP(IF(Staff[[#This Row],[Tenure]]&gt;2,3%,2%)*Staff[[#This Row],[Salary]],0)</f>
        <v>2074</v>
      </c>
      <c r="K80" s="9">
        <f>_xlfn.XLOOKUP(Staff[[#This Row],[Rating]],Sheet4!$B$2:$B$6,Sheet4!$C$2:$C$6)</f>
        <v>3</v>
      </c>
    </row>
    <row r="81" spans="1:11" x14ac:dyDescent="0.3">
      <c r="A81" t="s">
        <v>25</v>
      </c>
      <c r="B81" t="s">
        <v>15</v>
      </c>
      <c r="C81">
        <v>30</v>
      </c>
      <c r="D81" t="s">
        <v>16</v>
      </c>
      <c r="E81" s="7">
        <v>44273</v>
      </c>
      <c r="F81" t="s">
        <v>12</v>
      </c>
      <c r="G81" s="20">
        <v>69120</v>
      </c>
      <c r="H81" t="s">
        <v>207</v>
      </c>
      <c r="I81" s="8">
        <f ca="1">(TODAY() - Staff[[#This Row],[Date Joined]])/365</f>
        <v>3.9287671232876713</v>
      </c>
      <c r="J81" s="19">
        <f ca="1">ROUNDUP(IF(Staff[[#This Row],[Tenure]]&gt;2,3%,2%)*Staff[[#This Row],[Salary]],0)</f>
        <v>2074</v>
      </c>
      <c r="K81" s="9">
        <f>_xlfn.XLOOKUP(Staff[[#This Row],[Rating]],Sheet4!$B$2:$B$6,Sheet4!$C$2:$C$6)</f>
        <v>3</v>
      </c>
    </row>
    <row r="82" spans="1:11" x14ac:dyDescent="0.3">
      <c r="A82" t="s">
        <v>159</v>
      </c>
      <c r="B82" t="s">
        <v>15</v>
      </c>
      <c r="C82">
        <v>30</v>
      </c>
      <c r="D82" t="s">
        <v>16</v>
      </c>
      <c r="E82" s="7">
        <v>44789</v>
      </c>
      <c r="F82" t="s">
        <v>12</v>
      </c>
      <c r="G82" s="20">
        <v>69710</v>
      </c>
      <c r="H82" t="s">
        <v>205</v>
      </c>
      <c r="I82" s="8">
        <f ca="1">(TODAY() - Staff[[#This Row],[Date Joined]])/365</f>
        <v>2.515068493150685</v>
      </c>
      <c r="J82" s="19">
        <f ca="1">ROUNDUP(IF(Staff[[#This Row],[Tenure]]&gt;2,3%,2%)*Staff[[#This Row],[Salary]],0)</f>
        <v>2092</v>
      </c>
      <c r="K82" s="9">
        <f>_xlfn.XLOOKUP(Staff[[#This Row],[Rating]],Sheet4!$B$2:$B$6,Sheet4!$C$2:$C$6)</f>
        <v>3</v>
      </c>
    </row>
    <row r="83" spans="1:11" x14ac:dyDescent="0.3">
      <c r="A83" t="s">
        <v>67</v>
      </c>
      <c r="B83" t="s">
        <v>15</v>
      </c>
      <c r="C83">
        <v>30</v>
      </c>
      <c r="D83" t="s">
        <v>16</v>
      </c>
      <c r="E83" s="7">
        <v>44850</v>
      </c>
      <c r="F83" t="s">
        <v>12</v>
      </c>
      <c r="G83" s="20">
        <v>69710</v>
      </c>
      <c r="H83" t="s">
        <v>207</v>
      </c>
      <c r="I83" s="8">
        <f ca="1">(TODAY() - Staff[[#This Row],[Date Joined]])/365</f>
        <v>2.3479452054794518</v>
      </c>
      <c r="J83" s="19">
        <f ca="1">ROUNDUP(IF(Staff[[#This Row],[Tenure]]&gt;2,3%,2%)*Staff[[#This Row],[Salary]],0)</f>
        <v>2092</v>
      </c>
      <c r="K83" s="9">
        <f>_xlfn.XLOOKUP(Staff[[#This Row],[Rating]],Sheet4!$B$2:$B$6,Sheet4!$C$2:$C$6)</f>
        <v>3</v>
      </c>
    </row>
    <row r="84" spans="1:11" x14ac:dyDescent="0.3">
      <c r="A84" t="s">
        <v>183</v>
      </c>
      <c r="B84" t="s">
        <v>15</v>
      </c>
      <c r="C84">
        <v>42</v>
      </c>
      <c r="D84" t="s">
        <v>24</v>
      </c>
      <c r="E84" s="7">
        <v>44670</v>
      </c>
      <c r="F84" t="s">
        <v>21</v>
      </c>
      <c r="G84" s="20">
        <v>70270</v>
      </c>
      <c r="H84" t="s">
        <v>205</v>
      </c>
      <c r="I84" s="8">
        <f ca="1">(TODAY() - Staff[[#This Row],[Date Joined]])/365</f>
        <v>2.8410958904109589</v>
      </c>
      <c r="J84" s="19">
        <f ca="1">ROUNDUP(IF(Staff[[#This Row],[Tenure]]&gt;2,3%,2%)*Staff[[#This Row],[Salary]],0)</f>
        <v>2109</v>
      </c>
      <c r="K84" s="9">
        <f>_xlfn.XLOOKUP(Staff[[#This Row],[Rating]],Sheet4!$B$2:$B$6,Sheet4!$C$2:$C$6)</f>
        <v>2</v>
      </c>
    </row>
    <row r="85" spans="1:11" x14ac:dyDescent="0.3">
      <c r="A85" t="s">
        <v>90</v>
      </c>
      <c r="B85" t="s">
        <v>15</v>
      </c>
      <c r="C85">
        <v>42</v>
      </c>
      <c r="D85" t="s">
        <v>24</v>
      </c>
      <c r="E85" s="7">
        <v>44731</v>
      </c>
      <c r="F85" t="s">
        <v>21</v>
      </c>
      <c r="G85" s="20">
        <v>70270</v>
      </c>
      <c r="H85" t="s">
        <v>207</v>
      </c>
      <c r="I85" s="8">
        <f ca="1">(TODAY() - Staff[[#This Row],[Date Joined]])/365</f>
        <v>2.6739726027397261</v>
      </c>
      <c r="J85" s="19">
        <f ca="1">ROUNDUP(IF(Staff[[#This Row],[Tenure]]&gt;2,3%,2%)*Staff[[#This Row],[Salary]],0)</f>
        <v>2109</v>
      </c>
      <c r="K85" s="9">
        <f>_xlfn.XLOOKUP(Staff[[#This Row],[Rating]],Sheet4!$B$2:$B$6,Sheet4!$C$2:$C$6)</f>
        <v>2</v>
      </c>
    </row>
    <row r="86" spans="1:11" x14ac:dyDescent="0.3">
      <c r="A86" t="s">
        <v>162</v>
      </c>
      <c r="B86" t="s">
        <v>15</v>
      </c>
      <c r="C86">
        <v>46</v>
      </c>
      <c r="D86" t="s">
        <v>16</v>
      </c>
      <c r="E86" s="7">
        <v>44697</v>
      </c>
      <c r="F86" t="s">
        <v>9</v>
      </c>
      <c r="G86" s="20">
        <v>70610</v>
      </c>
      <c r="H86" t="s">
        <v>205</v>
      </c>
      <c r="I86" s="8">
        <f ca="1">(TODAY() - Staff[[#This Row],[Date Joined]])/365</f>
        <v>2.7671232876712328</v>
      </c>
      <c r="J86" s="19">
        <f ca="1">ROUNDUP(IF(Staff[[#This Row],[Tenure]]&gt;2,3%,2%)*Staff[[#This Row],[Salary]],0)</f>
        <v>2119</v>
      </c>
      <c r="K86" s="9">
        <f>_xlfn.XLOOKUP(Staff[[#This Row],[Rating]],Sheet4!$B$2:$B$6,Sheet4!$C$2:$C$6)</f>
        <v>3</v>
      </c>
    </row>
    <row r="87" spans="1:11" x14ac:dyDescent="0.3">
      <c r="A87" t="s">
        <v>70</v>
      </c>
      <c r="B87" t="s">
        <v>15</v>
      </c>
      <c r="C87">
        <v>46</v>
      </c>
      <c r="D87" t="s">
        <v>16</v>
      </c>
      <c r="E87" s="7">
        <v>44758</v>
      </c>
      <c r="F87" t="s">
        <v>9</v>
      </c>
      <c r="G87" s="20">
        <v>70610</v>
      </c>
      <c r="H87" t="s">
        <v>207</v>
      </c>
      <c r="I87" s="8">
        <f ca="1">(TODAY() - Staff[[#This Row],[Date Joined]])/365</f>
        <v>2.6</v>
      </c>
      <c r="J87" s="19">
        <f ca="1">ROUNDUP(IF(Staff[[#This Row],[Tenure]]&gt;2,3%,2%)*Staff[[#This Row],[Salary]],0)</f>
        <v>2119</v>
      </c>
      <c r="K87" s="9">
        <f>_xlfn.XLOOKUP(Staff[[#This Row],[Rating]],Sheet4!$B$2:$B$6,Sheet4!$C$2:$C$6)</f>
        <v>3</v>
      </c>
    </row>
    <row r="88" spans="1:11" x14ac:dyDescent="0.3">
      <c r="A88" t="s">
        <v>187</v>
      </c>
      <c r="B88" t="s">
        <v>15</v>
      </c>
      <c r="C88">
        <v>36</v>
      </c>
      <c r="D88" t="s">
        <v>16</v>
      </c>
      <c r="E88" s="7">
        <v>44272</v>
      </c>
      <c r="F88" t="s">
        <v>21</v>
      </c>
      <c r="G88" s="20">
        <v>71380</v>
      </c>
      <c r="H88" t="s">
        <v>205</v>
      </c>
      <c r="I88" s="8">
        <f ca="1">(TODAY() - Staff[[#This Row],[Date Joined]])/365</f>
        <v>3.9315068493150687</v>
      </c>
      <c r="J88" s="19">
        <f ca="1">ROUNDUP(IF(Staff[[#This Row],[Tenure]]&gt;2,3%,2%)*Staff[[#This Row],[Salary]],0)</f>
        <v>2142</v>
      </c>
      <c r="K88" s="9">
        <f>_xlfn.XLOOKUP(Staff[[#This Row],[Rating]],Sheet4!$B$2:$B$6,Sheet4!$C$2:$C$6)</f>
        <v>3</v>
      </c>
    </row>
    <row r="89" spans="1:11" x14ac:dyDescent="0.3">
      <c r="A89" t="s">
        <v>94</v>
      </c>
      <c r="B89" t="s">
        <v>15</v>
      </c>
      <c r="C89">
        <v>36</v>
      </c>
      <c r="D89" t="s">
        <v>16</v>
      </c>
      <c r="E89" s="7">
        <v>44333</v>
      </c>
      <c r="F89" t="s">
        <v>21</v>
      </c>
      <c r="G89" s="20">
        <v>71380</v>
      </c>
      <c r="H89" t="s">
        <v>207</v>
      </c>
      <c r="I89" s="8">
        <f ca="1">(TODAY() - Staff[[#This Row],[Date Joined]])/365</f>
        <v>3.7643835616438355</v>
      </c>
      <c r="J89" s="19">
        <f ca="1">ROUNDUP(IF(Staff[[#This Row],[Tenure]]&gt;2,3%,2%)*Staff[[#This Row],[Salary]],0)</f>
        <v>2142</v>
      </c>
      <c r="K89" s="9">
        <f>_xlfn.XLOOKUP(Staff[[#This Row],[Rating]],Sheet4!$B$2:$B$6,Sheet4!$C$2:$C$6)</f>
        <v>3</v>
      </c>
    </row>
    <row r="90" spans="1:11" x14ac:dyDescent="0.3">
      <c r="A90" t="s">
        <v>115</v>
      </c>
      <c r="B90" t="s">
        <v>15</v>
      </c>
      <c r="C90">
        <v>33</v>
      </c>
      <c r="D90" t="s">
        <v>16</v>
      </c>
      <c r="E90" s="7">
        <v>44324</v>
      </c>
      <c r="F90" t="s">
        <v>19</v>
      </c>
      <c r="G90" s="20">
        <v>74550</v>
      </c>
      <c r="H90" t="s">
        <v>205</v>
      </c>
      <c r="I90" s="8">
        <f ca="1">(TODAY() - Staff[[#This Row],[Date Joined]])/365</f>
        <v>3.7890410958904108</v>
      </c>
      <c r="J90" s="19">
        <f ca="1">ROUNDUP(IF(Staff[[#This Row],[Tenure]]&gt;2,3%,2%)*Staff[[#This Row],[Salary]],0)</f>
        <v>2237</v>
      </c>
      <c r="K90" s="9">
        <f>_xlfn.XLOOKUP(Staff[[#This Row],[Rating]],Sheet4!$B$2:$B$6,Sheet4!$C$2:$C$6)</f>
        <v>3</v>
      </c>
    </row>
    <row r="91" spans="1:11" x14ac:dyDescent="0.3">
      <c r="A91" t="s">
        <v>18</v>
      </c>
      <c r="B91" t="s">
        <v>15</v>
      </c>
      <c r="C91">
        <v>33</v>
      </c>
      <c r="D91" t="s">
        <v>16</v>
      </c>
      <c r="E91" s="7">
        <v>44385</v>
      </c>
      <c r="F91" t="s">
        <v>19</v>
      </c>
      <c r="G91" s="20">
        <v>74550</v>
      </c>
      <c r="H91" t="s">
        <v>207</v>
      </c>
      <c r="I91" s="8">
        <f ca="1">(TODAY() - Staff[[#This Row],[Date Joined]])/365</f>
        <v>3.6219178082191781</v>
      </c>
      <c r="J91" s="19">
        <f ca="1">ROUNDUP(IF(Staff[[#This Row],[Tenure]]&gt;2,3%,2%)*Staff[[#This Row],[Salary]],0)</f>
        <v>2237</v>
      </c>
      <c r="K91" s="9">
        <f>_xlfn.XLOOKUP(Staff[[#This Row],[Rating]],Sheet4!$B$2:$B$6,Sheet4!$C$2:$C$6)</f>
        <v>3</v>
      </c>
    </row>
    <row r="92" spans="1:11" x14ac:dyDescent="0.3">
      <c r="A92" t="s">
        <v>111</v>
      </c>
      <c r="B92" t="s">
        <v>8</v>
      </c>
      <c r="C92">
        <v>42</v>
      </c>
      <c r="D92" t="s">
        <v>10</v>
      </c>
      <c r="E92" s="7">
        <v>44718</v>
      </c>
      <c r="F92" t="s">
        <v>9</v>
      </c>
      <c r="G92" s="20">
        <v>75000</v>
      </c>
      <c r="H92" t="s">
        <v>205</v>
      </c>
      <c r="I92" s="8">
        <f ca="1">(TODAY() - Staff[[#This Row],[Date Joined]])/365</f>
        <v>2.7095890410958905</v>
      </c>
      <c r="J92" s="19">
        <f ca="1">ROUNDUP(IF(Staff[[#This Row],[Tenure]]&gt;2,3%,2%)*Staff[[#This Row],[Salary]],0)</f>
        <v>2250</v>
      </c>
      <c r="K92" s="9">
        <f>_xlfn.XLOOKUP(Staff[[#This Row],[Rating]],Sheet4!$B$2:$B$6,Sheet4!$C$2:$C$6)</f>
        <v>5</v>
      </c>
    </row>
    <row r="93" spans="1:11" x14ac:dyDescent="0.3">
      <c r="A93" t="s">
        <v>7</v>
      </c>
      <c r="B93" t="s">
        <v>8</v>
      </c>
      <c r="C93">
        <v>42</v>
      </c>
      <c r="D93" t="s">
        <v>10</v>
      </c>
      <c r="E93" s="7">
        <v>44779</v>
      </c>
      <c r="F93" t="s">
        <v>9</v>
      </c>
      <c r="G93" s="20">
        <v>75000</v>
      </c>
      <c r="H93" t="s">
        <v>207</v>
      </c>
      <c r="I93" s="8">
        <f ca="1">(TODAY() - Staff[[#This Row],[Date Joined]])/365</f>
        <v>2.5424657534246577</v>
      </c>
      <c r="J93" s="19">
        <f ca="1">ROUNDUP(IF(Staff[[#This Row],[Tenure]]&gt;2,3%,2%)*Staff[[#This Row],[Salary]],0)</f>
        <v>2250</v>
      </c>
      <c r="K93" s="9">
        <f>_xlfn.XLOOKUP(Staff[[#This Row],[Rating]],Sheet4!$B$2:$B$6,Sheet4!$C$2:$C$6)</f>
        <v>5</v>
      </c>
    </row>
    <row r="94" spans="1:11" x14ac:dyDescent="0.3">
      <c r="A94" t="s">
        <v>188</v>
      </c>
      <c r="B94" t="s">
        <v>8</v>
      </c>
      <c r="C94">
        <v>33</v>
      </c>
      <c r="D94" t="s">
        <v>16</v>
      </c>
      <c r="E94" s="7">
        <v>44253</v>
      </c>
      <c r="F94" t="s">
        <v>12</v>
      </c>
      <c r="G94" s="20">
        <v>75280</v>
      </c>
      <c r="H94" t="s">
        <v>205</v>
      </c>
      <c r="I94" s="8">
        <f ca="1">(TODAY() - Staff[[#This Row],[Date Joined]])/365</f>
        <v>3.9835616438356163</v>
      </c>
      <c r="J94" s="19">
        <f ca="1">ROUNDUP(IF(Staff[[#This Row],[Tenure]]&gt;2,3%,2%)*Staff[[#This Row],[Salary]],0)</f>
        <v>2259</v>
      </c>
      <c r="K94" s="9">
        <f>_xlfn.XLOOKUP(Staff[[#This Row],[Rating]],Sheet4!$B$2:$B$6,Sheet4!$C$2:$C$6)</f>
        <v>3</v>
      </c>
    </row>
    <row r="95" spans="1:11" x14ac:dyDescent="0.3">
      <c r="A95" t="s">
        <v>95</v>
      </c>
      <c r="B95" t="s">
        <v>8</v>
      </c>
      <c r="C95">
        <v>33</v>
      </c>
      <c r="D95" t="s">
        <v>16</v>
      </c>
      <c r="E95" s="7">
        <v>44312</v>
      </c>
      <c r="F95" t="s">
        <v>12</v>
      </c>
      <c r="G95" s="20">
        <v>75280</v>
      </c>
      <c r="H95" t="s">
        <v>207</v>
      </c>
      <c r="I95" s="8">
        <f ca="1">(TODAY() - Staff[[#This Row],[Date Joined]])/365</f>
        <v>3.8219178082191783</v>
      </c>
      <c r="J95" s="19">
        <f ca="1">ROUNDUP(IF(Staff[[#This Row],[Tenure]]&gt;2,3%,2%)*Staff[[#This Row],[Salary]],0)</f>
        <v>2259</v>
      </c>
      <c r="K95" s="9">
        <f>_xlfn.XLOOKUP(Staff[[#This Row],[Rating]],Sheet4!$B$2:$B$6,Sheet4!$C$2:$C$6)</f>
        <v>3</v>
      </c>
    </row>
    <row r="96" spans="1:11" x14ac:dyDescent="0.3">
      <c r="A96" t="s">
        <v>135</v>
      </c>
      <c r="B96" t="s">
        <v>8</v>
      </c>
      <c r="C96">
        <v>33</v>
      </c>
      <c r="D96" t="s">
        <v>42</v>
      </c>
      <c r="E96" s="7">
        <v>44313</v>
      </c>
      <c r="F96" t="s">
        <v>12</v>
      </c>
      <c r="G96" s="20">
        <v>75480</v>
      </c>
      <c r="H96" t="s">
        <v>205</v>
      </c>
      <c r="I96" s="8">
        <f ca="1">(TODAY() - Staff[[#This Row],[Date Joined]])/365</f>
        <v>3.8191780821917809</v>
      </c>
      <c r="J96" s="19">
        <f ca="1">ROUNDUP(IF(Staff[[#This Row],[Tenure]]&gt;2,3%,2%)*Staff[[#This Row],[Salary]],0)</f>
        <v>2265</v>
      </c>
      <c r="K96" s="9">
        <f>_xlfn.XLOOKUP(Staff[[#This Row],[Rating]],Sheet4!$B$2:$B$6,Sheet4!$C$2:$C$6)</f>
        <v>1</v>
      </c>
    </row>
    <row r="97" spans="1:11" x14ac:dyDescent="0.3">
      <c r="A97" t="s">
        <v>41</v>
      </c>
      <c r="B97" t="s">
        <v>8</v>
      </c>
      <c r="C97">
        <v>33</v>
      </c>
      <c r="D97" t="s">
        <v>42</v>
      </c>
      <c r="E97" s="7">
        <v>44374</v>
      </c>
      <c r="F97" t="s">
        <v>12</v>
      </c>
      <c r="G97" s="20">
        <v>75480</v>
      </c>
      <c r="H97" t="s">
        <v>207</v>
      </c>
      <c r="I97" s="8">
        <f ca="1">(TODAY() - Staff[[#This Row],[Date Joined]])/365</f>
        <v>3.6520547945205482</v>
      </c>
      <c r="J97" s="19">
        <f ca="1">ROUNDUP(IF(Staff[[#This Row],[Tenure]]&gt;2,3%,2%)*Staff[[#This Row],[Salary]],0)</f>
        <v>2265</v>
      </c>
      <c r="K97" s="9">
        <f>_xlfn.XLOOKUP(Staff[[#This Row],[Rating]],Sheet4!$B$2:$B$6,Sheet4!$C$2:$C$6)</f>
        <v>1</v>
      </c>
    </row>
    <row r="98" spans="1:11" x14ac:dyDescent="0.3">
      <c r="A98" t="s">
        <v>170</v>
      </c>
      <c r="B98" t="s">
        <v>15</v>
      </c>
      <c r="C98">
        <v>21</v>
      </c>
      <c r="D98" t="s">
        <v>16</v>
      </c>
      <c r="E98" s="7">
        <v>44180</v>
      </c>
      <c r="F98" t="s">
        <v>56</v>
      </c>
      <c r="G98" s="20">
        <v>75880</v>
      </c>
      <c r="H98" t="s">
        <v>205</v>
      </c>
      <c r="I98" s="8">
        <f ca="1">(TODAY() - Staff[[#This Row],[Date Joined]])/365</f>
        <v>4.183561643835616</v>
      </c>
      <c r="J98" s="19">
        <f ca="1">ROUNDUP(IF(Staff[[#This Row],[Tenure]]&gt;2,3%,2%)*Staff[[#This Row],[Salary]],0)</f>
        <v>2277</v>
      </c>
      <c r="K98" s="9">
        <f>_xlfn.XLOOKUP(Staff[[#This Row],[Rating]],Sheet4!$B$2:$B$6,Sheet4!$C$2:$C$6)</f>
        <v>3</v>
      </c>
    </row>
    <row r="99" spans="1:11" x14ac:dyDescent="0.3">
      <c r="A99" t="s">
        <v>78</v>
      </c>
      <c r="B99" t="s">
        <v>15</v>
      </c>
      <c r="C99">
        <v>21</v>
      </c>
      <c r="D99" t="s">
        <v>16</v>
      </c>
      <c r="E99" s="7">
        <v>44242</v>
      </c>
      <c r="F99" t="s">
        <v>56</v>
      </c>
      <c r="G99" s="20">
        <v>75880</v>
      </c>
      <c r="H99" t="s">
        <v>207</v>
      </c>
      <c r="I99" s="8">
        <f ca="1">(TODAY() - Staff[[#This Row],[Date Joined]])/365</f>
        <v>4.0136986301369859</v>
      </c>
      <c r="J99" s="19">
        <f ca="1">ROUNDUP(IF(Staff[[#This Row],[Tenure]]&gt;2,3%,2%)*Staff[[#This Row],[Salary]],0)</f>
        <v>2277</v>
      </c>
      <c r="K99" s="9">
        <f>_xlfn.XLOOKUP(Staff[[#This Row],[Rating]],Sheet4!$B$2:$B$6,Sheet4!$C$2:$C$6)</f>
        <v>3</v>
      </c>
    </row>
    <row r="100" spans="1:11" x14ac:dyDescent="0.3">
      <c r="A100" t="s">
        <v>129</v>
      </c>
      <c r="B100" t="s">
        <v>8</v>
      </c>
      <c r="C100">
        <v>28</v>
      </c>
      <c r="D100" t="s">
        <v>16</v>
      </c>
      <c r="E100" s="7">
        <v>44124</v>
      </c>
      <c r="F100" t="s">
        <v>21</v>
      </c>
      <c r="G100" s="20">
        <v>75970</v>
      </c>
      <c r="H100" t="s">
        <v>205</v>
      </c>
      <c r="I100" s="8">
        <f ca="1">(TODAY() - Staff[[#This Row],[Date Joined]])/365</f>
        <v>4.3369863013698629</v>
      </c>
      <c r="J100" s="19">
        <f ca="1">ROUNDUP(IF(Staff[[#This Row],[Tenure]]&gt;2,3%,2%)*Staff[[#This Row],[Salary]],0)</f>
        <v>2280</v>
      </c>
      <c r="K100" s="9">
        <f>_xlfn.XLOOKUP(Staff[[#This Row],[Rating]],Sheet4!$B$2:$B$6,Sheet4!$C$2:$C$6)</f>
        <v>3</v>
      </c>
    </row>
    <row r="101" spans="1:11" x14ac:dyDescent="0.3">
      <c r="A101" t="s">
        <v>35</v>
      </c>
      <c r="B101" t="s">
        <v>8</v>
      </c>
      <c r="C101">
        <v>28</v>
      </c>
      <c r="D101" t="s">
        <v>16</v>
      </c>
      <c r="E101" s="7">
        <v>44185</v>
      </c>
      <c r="F101" t="s">
        <v>21</v>
      </c>
      <c r="G101" s="20">
        <v>75970</v>
      </c>
      <c r="H101" t="s">
        <v>207</v>
      </c>
      <c r="I101" s="8">
        <f ca="1">(TODAY() - Staff[[#This Row],[Date Joined]])/365</f>
        <v>4.1698630136986301</v>
      </c>
      <c r="J101" s="19">
        <f ca="1">ROUNDUP(IF(Staff[[#This Row],[Tenure]]&gt;2,3%,2%)*Staff[[#This Row],[Salary]],0)</f>
        <v>2280</v>
      </c>
      <c r="K101" s="9">
        <f>_xlfn.XLOOKUP(Staff[[#This Row],[Rating]],Sheet4!$B$2:$B$6,Sheet4!$C$2:$C$6)</f>
        <v>3</v>
      </c>
    </row>
    <row r="102" spans="1:11" x14ac:dyDescent="0.3">
      <c r="A102" t="s">
        <v>154</v>
      </c>
      <c r="B102" t="s">
        <v>8</v>
      </c>
      <c r="C102">
        <v>22</v>
      </c>
      <c r="D102" t="s">
        <v>13</v>
      </c>
      <c r="E102" s="7">
        <v>44388</v>
      </c>
      <c r="F102" t="s">
        <v>9</v>
      </c>
      <c r="G102" s="20">
        <v>76900</v>
      </c>
      <c r="H102" t="s">
        <v>205</v>
      </c>
      <c r="I102" s="8">
        <f ca="1">(TODAY() - Staff[[#This Row],[Date Joined]])/365</f>
        <v>3.6136986301369864</v>
      </c>
      <c r="J102" s="19">
        <f ca="1">ROUNDUP(IF(Staff[[#This Row],[Tenure]]&gt;2,3%,2%)*Staff[[#This Row],[Salary]],0)</f>
        <v>2307</v>
      </c>
      <c r="K102" s="9">
        <f>_xlfn.XLOOKUP(Staff[[#This Row],[Rating]],Sheet4!$B$2:$B$6,Sheet4!$C$2:$C$6)</f>
        <v>4</v>
      </c>
    </row>
    <row r="103" spans="1:11" x14ac:dyDescent="0.3">
      <c r="A103" t="s">
        <v>62</v>
      </c>
      <c r="B103" t="s">
        <v>8</v>
      </c>
      <c r="C103">
        <v>22</v>
      </c>
      <c r="D103" t="s">
        <v>13</v>
      </c>
      <c r="E103" s="7">
        <v>44450</v>
      </c>
      <c r="F103" t="s">
        <v>9</v>
      </c>
      <c r="G103" s="20">
        <v>76900</v>
      </c>
      <c r="H103" t="s">
        <v>207</v>
      </c>
      <c r="I103" s="8">
        <f ca="1">(TODAY() - Staff[[#This Row],[Date Joined]])/365</f>
        <v>3.4438356164383563</v>
      </c>
      <c r="J103" s="19">
        <f ca="1">ROUNDUP(IF(Staff[[#This Row],[Tenure]]&gt;2,3%,2%)*Staff[[#This Row],[Salary]],0)</f>
        <v>2307</v>
      </c>
      <c r="K103" s="9">
        <f>_xlfn.XLOOKUP(Staff[[#This Row],[Rating]],Sheet4!$B$2:$B$6,Sheet4!$C$2:$C$6)</f>
        <v>4</v>
      </c>
    </row>
    <row r="104" spans="1:11" x14ac:dyDescent="0.3">
      <c r="A104" t="s">
        <v>164</v>
      </c>
      <c r="B104" t="s">
        <v>8</v>
      </c>
      <c r="C104">
        <v>36</v>
      </c>
      <c r="D104" t="s">
        <v>16</v>
      </c>
      <c r="E104" s="7">
        <v>44468</v>
      </c>
      <c r="F104" t="s">
        <v>9</v>
      </c>
      <c r="G104" s="20">
        <v>78390</v>
      </c>
      <c r="H104" t="s">
        <v>205</v>
      </c>
      <c r="I104" s="8">
        <f ca="1">(TODAY() - Staff[[#This Row],[Date Joined]])/365</f>
        <v>3.3945205479452056</v>
      </c>
      <c r="J104" s="19">
        <f ca="1">ROUNDUP(IF(Staff[[#This Row],[Tenure]]&gt;2,3%,2%)*Staff[[#This Row],[Salary]],0)</f>
        <v>2352</v>
      </c>
      <c r="K104" s="9">
        <f>_xlfn.XLOOKUP(Staff[[#This Row],[Rating]],Sheet4!$B$2:$B$6,Sheet4!$C$2:$C$6)</f>
        <v>3</v>
      </c>
    </row>
    <row r="105" spans="1:11" x14ac:dyDescent="0.3">
      <c r="A105" t="s">
        <v>72</v>
      </c>
      <c r="B105" t="s">
        <v>8</v>
      </c>
      <c r="C105">
        <v>36</v>
      </c>
      <c r="D105" t="s">
        <v>16</v>
      </c>
      <c r="E105" s="7">
        <v>44529</v>
      </c>
      <c r="F105" t="s">
        <v>9</v>
      </c>
      <c r="G105" s="20">
        <v>78390</v>
      </c>
      <c r="H105" t="s">
        <v>207</v>
      </c>
      <c r="I105" s="8">
        <f ca="1">(TODAY() - Staff[[#This Row],[Date Joined]])/365</f>
        <v>3.2273972602739724</v>
      </c>
      <c r="J105" s="19">
        <f ca="1">ROUNDUP(IF(Staff[[#This Row],[Tenure]]&gt;2,3%,2%)*Staff[[#This Row],[Salary]],0)</f>
        <v>2352</v>
      </c>
      <c r="K105" s="9">
        <f>_xlfn.XLOOKUP(Staff[[#This Row],[Rating]],Sheet4!$B$2:$B$6,Sheet4!$C$2:$C$6)</f>
        <v>3</v>
      </c>
    </row>
    <row r="106" spans="1:11" x14ac:dyDescent="0.3">
      <c r="A106" t="s">
        <v>141</v>
      </c>
      <c r="B106" t="s">
        <v>8</v>
      </c>
      <c r="C106">
        <v>36</v>
      </c>
      <c r="D106" t="s">
        <v>16</v>
      </c>
      <c r="E106" s="7">
        <v>44433</v>
      </c>
      <c r="F106" t="s">
        <v>19</v>
      </c>
      <c r="G106" s="20">
        <v>78540</v>
      </c>
      <c r="H106" t="s">
        <v>205</v>
      </c>
      <c r="I106" s="8">
        <f ca="1">(TODAY() - Staff[[#This Row],[Date Joined]])/365</f>
        <v>3.4904109589041097</v>
      </c>
      <c r="J106" s="19">
        <f ca="1">ROUNDUP(IF(Staff[[#This Row],[Tenure]]&gt;2,3%,2%)*Staff[[#This Row],[Salary]],0)</f>
        <v>2357</v>
      </c>
      <c r="K106" s="9">
        <f>_xlfn.XLOOKUP(Staff[[#This Row],[Rating]],Sheet4!$B$2:$B$6,Sheet4!$C$2:$C$6)</f>
        <v>3</v>
      </c>
    </row>
    <row r="107" spans="1:11" x14ac:dyDescent="0.3">
      <c r="A107" t="s">
        <v>48</v>
      </c>
      <c r="B107" t="s">
        <v>8</v>
      </c>
      <c r="C107">
        <v>36</v>
      </c>
      <c r="D107" t="s">
        <v>16</v>
      </c>
      <c r="E107" s="7">
        <v>44494</v>
      </c>
      <c r="F107" t="s">
        <v>19</v>
      </c>
      <c r="G107" s="20">
        <v>78540</v>
      </c>
      <c r="H107" t="s">
        <v>207</v>
      </c>
      <c r="I107" s="8">
        <f ca="1">(TODAY() - Staff[[#This Row],[Date Joined]])/365</f>
        <v>3.3232876712328765</v>
      </c>
      <c r="J107" s="19">
        <f ca="1">ROUNDUP(IF(Staff[[#This Row],[Tenure]]&gt;2,3%,2%)*Staff[[#This Row],[Salary]],0)</f>
        <v>2357</v>
      </c>
      <c r="K107" s="9">
        <f>_xlfn.XLOOKUP(Staff[[#This Row],[Rating]],Sheet4!$B$2:$B$6,Sheet4!$C$2:$C$6)</f>
        <v>3</v>
      </c>
    </row>
    <row r="108" spans="1:11" x14ac:dyDescent="0.3">
      <c r="A108" t="s">
        <v>197</v>
      </c>
      <c r="B108" t="s">
        <v>15</v>
      </c>
      <c r="C108">
        <v>20</v>
      </c>
      <c r="D108" t="s">
        <v>16</v>
      </c>
      <c r="E108" s="7">
        <v>44683</v>
      </c>
      <c r="F108" t="s">
        <v>9</v>
      </c>
      <c r="G108" s="20">
        <v>79570</v>
      </c>
      <c r="H108" t="s">
        <v>205</v>
      </c>
      <c r="I108" s="8">
        <f ca="1">(TODAY() - Staff[[#This Row],[Date Joined]])/365</f>
        <v>2.8054794520547945</v>
      </c>
      <c r="J108" s="19">
        <f ca="1">ROUNDUP(IF(Staff[[#This Row],[Tenure]]&gt;2,3%,2%)*Staff[[#This Row],[Salary]],0)</f>
        <v>2388</v>
      </c>
      <c r="K108" s="9">
        <f>_xlfn.XLOOKUP(Staff[[#This Row],[Rating]],Sheet4!$B$2:$B$6,Sheet4!$C$2:$C$6)</f>
        <v>3</v>
      </c>
    </row>
    <row r="109" spans="1:11" x14ac:dyDescent="0.3">
      <c r="A109" t="s">
        <v>104</v>
      </c>
      <c r="B109" t="s">
        <v>15</v>
      </c>
      <c r="C109">
        <v>20</v>
      </c>
      <c r="D109" t="s">
        <v>16</v>
      </c>
      <c r="E109" s="7">
        <v>44744</v>
      </c>
      <c r="F109" t="s">
        <v>9</v>
      </c>
      <c r="G109" s="20">
        <v>79570</v>
      </c>
      <c r="H109" t="s">
        <v>207</v>
      </c>
      <c r="I109" s="8">
        <f ca="1">(TODAY() - Staff[[#This Row],[Date Joined]])/365</f>
        <v>2.6383561643835618</v>
      </c>
      <c r="J109" s="19">
        <f ca="1">ROUNDUP(IF(Staff[[#This Row],[Tenure]]&gt;2,3%,2%)*Staff[[#This Row],[Salary]],0)</f>
        <v>2388</v>
      </c>
      <c r="K109" s="9">
        <f>_xlfn.XLOOKUP(Staff[[#This Row],[Rating]],Sheet4!$B$2:$B$6,Sheet4!$C$2:$C$6)</f>
        <v>3</v>
      </c>
    </row>
    <row r="110" spans="1:11" x14ac:dyDescent="0.3">
      <c r="A110" t="s">
        <v>133</v>
      </c>
      <c r="B110" t="s">
        <v>8</v>
      </c>
      <c r="C110">
        <v>25</v>
      </c>
      <c r="D110" t="s">
        <v>13</v>
      </c>
      <c r="E110" s="7">
        <v>44633</v>
      </c>
      <c r="F110" t="s">
        <v>12</v>
      </c>
      <c r="G110" s="20">
        <v>80700</v>
      </c>
      <c r="H110" t="s">
        <v>205</v>
      </c>
      <c r="I110" s="8">
        <f ca="1">(TODAY() - Staff[[#This Row],[Date Joined]])/365</f>
        <v>2.9424657534246577</v>
      </c>
      <c r="J110" s="19">
        <f ca="1">ROUNDUP(IF(Staff[[#This Row],[Tenure]]&gt;2,3%,2%)*Staff[[#This Row],[Salary]],0)</f>
        <v>2421</v>
      </c>
      <c r="K110" s="9">
        <f>_xlfn.XLOOKUP(Staff[[#This Row],[Rating]],Sheet4!$B$2:$B$6,Sheet4!$C$2:$C$6)</f>
        <v>4</v>
      </c>
    </row>
    <row r="111" spans="1:11" x14ac:dyDescent="0.3">
      <c r="A111" t="s">
        <v>39</v>
      </c>
      <c r="B111" t="s">
        <v>8</v>
      </c>
      <c r="C111">
        <v>25</v>
      </c>
      <c r="D111" t="s">
        <v>13</v>
      </c>
      <c r="E111" s="7">
        <v>44694</v>
      </c>
      <c r="F111" t="s">
        <v>12</v>
      </c>
      <c r="G111" s="20">
        <v>80700</v>
      </c>
      <c r="H111" t="s">
        <v>207</v>
      </c>
      <c r="I111" s="8">
        <f ca="1">(TODAY() - Staff[[#This Row],[Date Joined]])/365</f>
        <v>2.7753424657534245</v>
      </c>
      <c r="J111" s="19">
        <f ca="1">ROUNDUP(IF(Staff[[#This Row],[Tenure]]&gt;2,3%,2%)*Staff[[#This Row],[Salary]],0)</f>
        <v>2421</v>
      </c>
      <c r="K111" s="9">
        <f>_xlfn.XLOOKUP(Staff[[#This Row],[Rating]],Sheet4!$B$2:$B$6,Sheet4!$C$2:$C$6)</f>
        <v>4</v>
      </c>
    </row>
    <row r="112" spans="1:11" x14ac:dyDescent="0.3">
      <c r="A112" t="s">
        <v>185</v>
      </c>
      <c r="B112" t="s">
        <v>8</v>
      </c>
      <c r="C112">
        <v>27</v>
      </c>
      <c r="D112" t="s">
        <v>16</v>
      </c>
      <c r="E112" s="7">
        <v>44625</v>
      </c>
      <c r="F112" t="s">
        <v>12</v>
      </c>
      <c r="G112" s="20">
        <v>83750</v>
      </c>
      <c r="H112" t="s">
        <v>205</v>
      </c>
      <c r="I112" s="8">
        <f ca="1">(TODAY() - Staff[[#This Row],[Date Joined]])/365</f>
        <v>2.9643835616438357</v>
      </c>
      <c r="J112" s="19">
        <f ca="1">ROUNDUP(IF(Staff[[#This Row],[Tenure]]&gt;2,3%,2%)*Staff[[#This Row],[Salary]],0)</f>
        <v>2513</v>
      </c>
      <c r="K112" s="9">
        <f>_xlfn.XLOOKUP(Staff[[#This Row],[Rating]],Sheet4!$B$2:$B$6,Sheet4!$C$2:$C$6)</f>
        <v>3</v>
      </c>
    </row>
    <row r="113" spans="1:11" x14ac:dyDescent="0.3">
      <c r="A113" t="s">
        <v>92</v>
      </c>
      <c r="B113" t="s">
        <v>8</v>
      </c>
      <c r="C113">
        <v>27</v>
      </c>
      <c r="D113" t="s">
        <v>16</v>
      </c>
      <c r="E113" s="7">
        <v>44686</v>
      </c>
      <c r="F113" t="s">
        <v>12</v>
      </c>
      <c r="G113" s="20">
        <v>83750</v>
      </c>
      <c r="H113" t="s">
        <v>207</v>
      </c>
      <c r="I113" s="8">
        <f ca="1">(TODAY() - Staff[[#This Row],[Date Joined]])/365</f>
        <v>2.7972602739726029</v>
      </c>
      <c r="J113" s="19">
        <f ca="1">ROUNDUP(IF(Staff[[#This Row],[Tenure]]&gt;2,3%,2%)*Staff[[#This Row],[Salary]],0)</f>
        <v>2513</v>
      </c>
      <c r="K113" s="9">
        <f>_xlfn.XLOOKUP(Staff[[#This Row],[Rating]],Sheet4!$B$2:$B$6,Sheet4!$C$2:$C$6)</f>
        <v>3</v>
      </c>
    </row>
    <row r="114" spans="1:11" x14ac:dyDescent="0.3">
      <c r="A114" t="s">
        <v>122</v>
      </c>
      <c r="B114" t="s">
        <v>8</v>
      </c>
      <c r="C114">
        <v>34</v>
      </c>
      <c r="D114" t="s">
        <v>16</v>
      </c>
      <c r="E114" s="7">
        <v>44397</v>
      </c>
      <c r="F114" t="s">
        <v>21</v>
      </c>
      <c r="G114" s="20">
        <v>85000</v>
      </c>
      <c r="H114" t="s">
        <v>205</v>
      </c>
      <c r="I114" s="8">
        <f ca="1">(TODAY() - Staff[[#This Row],[Date Joined]])/365</f>
        <v>3.5890410958904111</v>
      </c>
      <c r="J114" s="19">
        <f ca="1">ROUNDUP(IF(Staff[[#This Row],[Tenure]]&gt;2,3%,2%)*Staff[[#This Row],[Salary]],0)</f>
        <v>2550</v>
      </c>
      <c r="K114" s="9">
        <f>_xlfn.XLOOKUP(Staff[[#This Row],[Rating]],Sheet4!$B$2:$B$6,Sheet4!$C$2:$C$6)</f>
        <v>3</v>
      </c>
    </row>
    <row r="115" spans="1:11" x14ac:dyDescent="0.3">
      <c r="A115" t="s">
        <v>28</v>
      </c>
      <c r="B115" t="s">
        <v>8</v>
      </c>
      <c r="C115">
        <v>34</v>
      </c>
      <c r="D115" t="s">
        <v>16</v>
      </c>
      <c r="E115" s="7">
        <v>44459</v>
      </c>
      <c r="F115" t="s">
        <v>21</v>
      </c>
      <c r="G115" s="20">
        <v>85000</v>
      </c>
      <c r="H115" t="s">
        <v>207</v>
      </c>
      <c r="I115" s="8">
        <f ca="1">(TODAY() - Staff[[#This Row],[Date Joined]])/365</f>
        <v>3.419178082191781</v>
      </c>
      <c r="J115" s="19">
        <f ca="1">ROUNDUP(IF(Staff[[#This Row],[Tenure]]&gt;2,3%,2%)*Staff[[#This Row],[Salary]],0)</f>
        <v>2550</v>
      </c>
      <c r="K115" s="9">
        <f>_xlfn.XLOOKUP(Staff[[#This Row],[Rating]],Sheet4!$B$2:$B$6,Sheet4!$C$2:$C$6)</f>
        <v>3</v>
      </c>
    </row>
    <row r="116" spans="1:11" x14ac:dyDescent="0.3">
      <c r="A116" t="s">
        <v>181</v>
      </c>
      <c r="B116" t="s">
        <v>8</v>
      </c>
      <c r="C116">
        <v>33</v>
      </c>
      <c r="D116" t="s">
        <v>16</v>
      </c>
      <c r="E116" s="7">
        <v>44747</v>
      </c>
      <c r="F116" t="s">
        <v>21</v>
      </c>
      <c r="G116" s="20">
        <v>86570</v>
      </c>
      <c r="H116" t="s">
        <v>205</v>
      </c>
      <c r="I116" s="8">
        <f ca="1">(TODAY() - Staff[[#This Row],[Date Joined]])/365</f>
        <v>2.6301369863013697</v>
      </c>
      <c r="J116" s="19">
        <f ca="1">ROUNDUP(IF(Staff[[#This Row],[Tenure]]&gt;2,3%,2%)*Staff[[#This Row],[Salary]],0)</f>
        <v>2598</v>
      </c>
      <c r="K116" s="9">
        <f>_xlfn.XLOOKUP(Staff[[#This Row],[Rating]],Sheet4!$B$2:$B$6,Sheet4!$C$2:$C$6)</f>
        <v>3</v>
      </c>
    </row>
    <row r="117" spans="1:11" x14ac:dyDescent="0.3">
      <c r="A117" t="s">
        <v>88</v>
      </c>
      <c r="B117" t="s">
        <v>8</v>
      </c>
      <c r="C117">
        <v>33</v>
      </c>
      <c r="D117" t="s">
        <v>16</v>
      </c>
      <c r="E117" s="7">
        <v>44809</v>
      </c>
      <c r="F117" t="s">
        <v>21</v>
      </c>
      <c r="G117" s="20">
        <v>86570</v>
      </c>
      <c r="H117" t="s">
        <v>207</v>
      </c>
      <c r="I117" s="8">
        <f ca="1">(TODAY() - Staff[[#This Row],[Date Joined]])/365</f>
        <v>2.4602739726027396</v>
      </c>
      <c r="J117" s="19">
        <f ca="1">ROUNDUP(IF(Staff[[#This Row],[Tenure]]&gt;2,3%,2%)*Staff[[#This Row],[Salary]],0)</f>
        <v>2598</v>
      </c>
      <c r="K117" s="9">
        <f>_xlfn.XLOOKUP(Staff[[#This Row],[Rating]],Sheet4!$B$2:$B$6,Sheet4!$C$2:$C$6)</f>
        <v>3</v>
      </c>
    </row>
    <row r="118" spans="1:11" x14ac:dyDescent="0.3">
      <c r="A118" t="s">
        <v>166</v>
      </c>
      <c r="B118" t="s">
        <v>8</v>
      </c>
      <c r="C118">
        <v>40</v>
      </c>
      <c r="D118" t="s">
        <v>16</v>
      </c>
      <c r="E118" s="7">
        <v>44276</v>
      </c>
      <c r="F118" t="s">
        <v>12</v>
      </c>
      <c r="G118" s="20">
        <v>87620</v>
      </c>
      <c r="H118" t="s">
        <v>205</v>
      </c>
      <c r="I118" s="8">
        <f ca="1">(TODAY() - Staff[[#This Row],[Date Joined]])/365</f>
        <v>3.9205479452054797</v>
      </c>
      <c r="J118" s="19">
        <f ca="1">ROUNDUP(IF(Staff[[#This Row],[Tenure]]&gt;2,3%,2%)*Staff[[#This Row],[Salary]],0)</f>
        <v>2629</v>
      </c>
      <c r="K118" s="9">
        <f>_xlfn.XLOOKUP(Staff[[#This Row],[Rating]],Sheet4!$B$2:$B$6,Sheet4!$C$2:$C$6)</f>
        <v>3</v>
      </c>
    </row>
    <row r="119" spans="1:11" x14ac:dyDescent="0.3">
      <c r="A119" t="s">
        <v>74</v>
      </c>
      <c r="B119" t="s">
        <v>8</v>
      </c>
      <c r="C119">
        <v>40</v>
      </c>
      <c r="D119" t="s">
        <v>16</v>
      </c>
      <c r="E119" s="7">
        <v>44337</v>
      </c>
      <c r="F119" t="s">
        <v>12</v>
      </c>
      <c r="G119" s="20">
        <v>87620</v>
      </c>
      <c r="H119" t="s">
        <v>207</v>
      </c>
      <c r="I119" s="8">
        <f ca="1">(TODAY() - Staff[[#This Row],[Date Joined]])/365</f>
        <v>3.7534246575342465</v>
      </c>
      <c r="J119" s="19">
        <f ca="1">ROUNDUP(IF(Staff[[#This Row],[Tenure]]&gt;2,3%,2%)*Staff[[#This Row],[Salary]],0)</f>
        <v>2629</v>
      </c>
      <c r="K119" s="9">
        <f>_xlfn.XLOOKUP(Staff[[#This Row],[Rating]],Sheet4!$B$2:$B$6,Sheet4!$C$2:$C$6)</f>
        <v>3</v>
      </c>
    </row>
    <row r="120" spans="1:11" x14ac:dyDescent="0.3">
      <c r="A120" t="s">
        <v>118</v>
      </c>
      <c r="B120" t="s">
        <v>15</v>
      </c>
      <c r="C120">
        <v>37</v>
      </c>
      <c r="D120" t="s">
        <v>24</v>
      </c>
      <c r="E120" s="7">
        <v>44277</v>
      </c>
      <c r="F120" t="s">
        <v>12</v>
      </c>
      <c r="G120" s="20">
        <v>88050</v>
      </c>
      <c r="H120" t="s">
        <v>205</v>
      </c>
      <c r="I120" s="8">
        <f ca="1">(TODAY() - Staff[[#This Row],[Date Joined]])/365</f>
        <v>3.9178082191780823</v>
      </c>
      <c r="J120" s="19">
        <f ca="1">ROUNDUP(IF(Staff[[#This Row],[Tenure]]&gt;2,3%,2%)*Staff[[#This Row],[Salary]],0)</f>
        <v>2642</v>
      </c>
      <c r="K120" s="9">
        <f>_xlfn.XLOOKUP(Staff[[#This Row],[Rating]],Sheet4!$B$2:$B$6,Sheet4!$C$2:$C$6)</f>
        <v>2</v>
      </c>
    </row>
    <row r="121" spans="1:11" x14ac:dyDescent="0.3">
      <c r="A121" t="s">
        <v>23</v>
      </c>
      <c r="B121" t="s">
        <v>15</v>
      </c>
      <c r="C121">
        <v>37</v>
      </c>
      <c r="D121" t="s">
        <v>24</v>
      </c>
      <c r="E121" s="7">
        <v>44338</v>
      </c>
      <c r="F121" t="s">
        <v>12</v>
      </c>
      <c r="G121" s="20">
        <v>88050</v>
      </c>
      <c r="H121" t="s">
        <v>207</v>
      </c>
      <c r="I121" s="8">
        <f ca="1">(TODAY() - Staff[[#This Row],[Date Joined]])/365</f>
        <v>3.7506849315068491</v>
      </c>
      <c r="J121" s="19">
        <f ca="1">ROUNDUP(IF(Staff[[#This Row],[Tenure]]&gt;2,3%,2%)*Staff[[#This Row],[Salary]],0)</f>
        <v>2642</v>
      </c>
      <c r="K121" s="9">
        <f>_xlfn.XLOOKUP(Staff[[#This Row],[Rating]],Sheet4!$B$2:$B$6,Sheet4!$C$2:$C$6)</f>
        <v>2</v>
      </c>
    </row>
    <row r="122" spans="1:11" x14ac:dyDescent="0.3">
      <c r="A122" t="s">
        <v>112</v>
      </c>
      <c r="B122" t="s">
        <v>206</v>
      </c>
      <c r="C122">
        <v>27</v>
      </c>
      <c r="D122" t="s">
        <v>13</v>
      </c>
      <c r="E122" s="7">
        <v>44212</v>
      </c>
      <c r="F122" t="s">
        <v>12</v>
      </c>
      <c r="G122" s="20">
        <v>90700</v>
      </c>
      <c r="H122" t="s">
        <v>205</v>
      </c>
      <c r="I122" s="8">
        <f ca="1">(TODAY() - Staff[[#This Row],[Date Joined]])/365</f>
        <v>4.095890410958904</v>
      </c>
      <c r="J122" s="19">
        <f ca="1">ROUNDUP(IF(Staff[[#This Row],[Tenure]]&gt;2,3%,2%)*Staff[[#This Row],[Salary]],0)</f>
        <v>2721</v>
      </c>
      <c r="K122" s="9">
        <f>_xlfn.XLOOKUP(Staff[[#This Row],[Rating]],Sheet4!$B$2:$B$6,Sheet4!$C$2:$C$6)</f>
        <v>4</v>
      </c>
    </row>
    <row r="123" spans="1:11" x14ac:dyDescent="0.3">
      <c r="A123" t="s">
        <v>11</v>
      </c>
      <c r="B123" t="s">
        <v>206</v>
      </c>
      <c r="C123">
        <v>26</v>
      </c>
      <c r="D123" t="s">
        <v>13</v>
      </c>
      <c r="E123" s="7">
        <v>44271</v>
      </c>
      <c r="F123" t="s">
        <v>12</v>
      </c>
      <c r="G123" s="20">
        <v>90700</v>
      </c>
      <c r="H123" t="s">
        <v>207</v>
      </c>
      <c r="I123" s="8">
        <f ca="1">(TODAY() - Staff[[#This Row],[Date Joined]])/365</f>
        <v>3.9342465753424656</v>
      </c>
      <c r="J123" s="19">
        <f ca="1">ROUNDUP(IF(Staff[[#This Row],[Tenure]]&gt;2,3%,2%)*Staff[[#This Row],[Salary]],0)</f>
        <v>2721</v>
      </c>
      <c r="K123" s="9">
        <f>_xlfn.XLOOKUP(Staff[[#This Row],[Rating]],Sheet4!$B$2:$B$6,Sheet4!$C$2:$C$6)</f>
        <v>4</v>
      </c>
    </row>
    <row r="124" spans="1:11" x14ac:dyDescent="0.3">
      <c r="A124" t="s">
        <v>145</v>
      </c>
      <c r="B124" t="s">
        <v>206</v>
      </c>
      <c r="C124">
        <v>32</v>
      </c>
      <c r="D124" t="s">
        <v>16</v>
      </c>
      <c r="E124" s="7">
        <v>44713</v>
      </c>
      <c r="F124" t="s">
        <v>12</v>
      </c>
      <c r="G124" s="20">
        <v>91310</v>
      </c>
      <c r="H124" t="s">
        <v>205</v>
      </c>
      <c r="I124" s="8">
        <f ca="1">(TODAY() - Staff[[#This Row],[Date Joined]])/365</f>
        <v>2.7232876712328768</v>
      </c>
      <c r="J124" s="19">
        <f ca="1">ROUNDUP(IF(Staff[[#This Row],[Tenure]]&gt;2,3%,2%)*Staff[[#This Row],[Salary]],0)</f>
        <v>2740</v>
      </c>
      <c r="K124" s="9">
        <f>_xlfn.XLOOKUP(Staff[[#This Row],[Rating]],Sheet4!$B$2:$B$6,Sheet4!$C$2:$C$6)</f>
        <v>3</v>
      </c>
    </row>
    <row r="125" spans="1:11" x14ac:dyDescent="0.3">
      <c r="A125" t="s">
        <v>52</v>
      </c>
      <c r="B125" t="s">
        <v>206</v>
      </c>
      <c r="C125">
        <v>32</v>
      </c>
      <c r="D125" t="s">
        <v>16</v>
      </c>
      <c r="E125" s="7">
        <v>44774</v>
      </c>
      <c r="F125" t="s">
        <v>12</v>
      </c>
      <c r="G125" s="20">
        <v>91310</v>
      </c>
      <c r="H125" t="s">
        <v>207</v>
      </c>
      <c r="I125" s="8">
        <f ca="1">(TODAY() - Staff[[#This Row],[Date Joined]])/365</f>
        <v>2.5561643835616437</v>
      </c>
      <c r="J125" s="19">
        <f ca="1">ROUNDUP(IF(Staff[[#This Row],[Tenure]]&gt;2,3%,2%)*Staff[[#This Row],[Salary]],0)</f>
        <v>2740</v>
      </c>
      <c r="K125" s="9">
        <f>_xlfn.XLOOKUP(Staff[[#This Row],[Rating]],Sheet4!$B$2:$B$6,Sheet4!$C$2:$C$6)</f>
        <v>3</v>
      </c>
    </row>
    <row r="126" spans="1:11" x14ac:dyDescent="0.3">
      <c r="A126" t="s">
        <v>160</v>
      </c>
      <c r="B126" t="s">
        <v>15</v>
      </c>
      <c r="C126">
        <v>27</v>
      </c>
      <c r="D126" t="s">
        <v>13</v>
      </c>
      <c r="E126" s="7">
        <v>44174</v>
      </c>
      <c r="F126" t="s">
        <v>21</v>
      </c>
      <c r="G126" s="20">
        <v>91650</v>
      </c>
      <c r="H126" t="s">
        <v>205</v>
      </c>
      <c r="I126" s="8">
        <f ca="1">(TODAY() - Staff[[#This Row],[Date Joined]])/365</f>
        <v>4.2</v>
      </c>
      <c r="J126" s="19">
        <f ca="1">ROUNDUP(IF(Staff[[#This Row],[Tenure]]&gt;2,3%,2%)*Staff[[#This Row],[Salary]],0)</f>
        <v>2750</v>
      </c>
      <c r="K126" s="9">
        <f>_xlfn.XLOOKUP(Staff[[#This Row],[Rating]],Sheet4!$B$2:$B$6,Sheet4!$C$2:$C$6)</f>
        <v>4</v>
      </c>
    </row>
    <row r="127" spans="1:11" x14ac:dyDescent="0.3">
      <c r="A127" t="s">
        <v>68</v>
      </c>
      <c r="B127" t="s">
        <v>15</v>
      </c>
      <c r="C127">
        <v>27</v>
      </c>
      <c r="D127" t="s">
        <v>13</v>
      </c>
      <c r="E127" s="7">
        <v>44236</v>
      </c>
      <c r="F127" t="s">
        <v>21</v>
      </c>
      <c r="G127" s="20">
        <v>91650</v>
      </c>
      <c r="H127" t="s">
        <v>207</v>
      </c>
      <c r="I127" s="8">
        <f ca="1">(TODAY() - Staff[[#This Row],[Date Joined]])/365</f>
        <v>4.0301369863013701</v>
      </c>
      <c r="J127" s="19">
        <f ca="1">ROUNDUP(IF(Staff[[#This Row],[Tenure]]&gt;2,3%,2%)*Staff[[#This Row],[Salary]],0)</f>
        <v>2750</v>
      </c>
      <c r="K127" s="9">
        <f>_xlfn.XLOOKUP(Staff[[#This Row],[Rating]],Sheet4!$B$2:$B$6,Sheet4!$C$2:$C$6)</f>
        <v>4</v>
      </c>
    </row>
    <row r="128" spans="1:11" x14ac:dyDescent="0.3">
      <c r="A128" t="s">
        <v>195</v>
      </c>
      <c r="B128" t="s">
        <v>8</v>
      </c>
      <c r="C128">
        <v>34</v>
      </c>
      <c r="D128" t="s">
        <v>16</v>
      </c>
      <c r="E128" s="7">
        <v>44383</v>
      </c>
      <c r="F128" t="s">
        <v>21</v>
      </c>
      <c r="G128" s="20">
        <v>92450</v>
      </c>
      <c r="H128" t="s">
        <v>205</v>
      </c>
      <c r="I128" s="8">
        <f ca="1">(TODAY() - Staff[[#This Row],[Date Joined]])/365</f>
        <v>3.6273972602739728</v>
      </c>
      <c r="J128" s="19">
        <f ca="1">ROUNDUP(IF(Staff[[#This Row],[Tenure]]&gt;2,3%,2%)*Staff[[#This Row],[Salary]],0)</f>
        <v>2774</v>
      </c>
      <c r="K128" s="9">
        <f>_xlfn.XLOOKUP(Staff[[#This Row],[Rating]],Sheet4!$B$2:$B$6,Sheet4!$C$2:$C$6)</f>
        <v>3</v>
      </c>
    </row>
    <row r="129" spans="1:11" x14ac:dyDescent="0.3">
      <c r="A129" t="s">
        <v>102</v>
      </c>
      <c r="B129" t="s">
        <v>8</v>
      </c>
      <c r="C129">
        <v>34</v>
      </c>
      <c r="D129" t="s">
        <v>16</v>
      </c>
      <c r="E129" s="7">
        <v>44445</v>
      </c>
      <c r="F129" t="s">
        <v>21</v>
      </c>
      <c r="G129" s="20">
        <v>92450</v>
      </c>
      <c r="H129" t="s">
        <v>207</v>
      </c>
      <c r="I129" s="8">
        <f ca="1">(TODAY() - Staff[[#This Row],[Date Joined]])/365</f>
        <v>3.4575342465753423</v>
      </c>
      <c r="J129" s="19">
        <f ca="1">ROUNDUP(IF(Staff[[#This Row],[Tenure]]&gt;2,3%,2%)*Staff[[#This Row],[Salary]],0)</f>
        <v>2774</v>
      </c>
      <c r="K129" s="9">
        <f>_xlfn.XLOOKUP(Staff[[#This Row],[Rating]],Sheet4!$B$2:$B$6,Sheet4!$C$2:$C$6)</f>
        <v>3</v>
      </c>
    </row>
    <row r="130" spans="1:11" x14ac:dyDescent="0.3">
      <c r="A130" t="s">
        <v>169</v>
      </c>
      <c r="B130" t="s">
        <v>8</v>
      </c>
      <c r="C130">
        <v>25</v>
      </c>
      <c r="D130" t="s">
        <v>16</v>
      </c>
      <c r="E130" s="7">
        <v>44144</v>
      </c>
      <c r="F130" t="s">
        <v>19</v>
      </c>
      <c r="G130" s="20">
        <v>92700</v>
      </c>
      <c r="H130" t="s">
        <v>205</v>
      </c>
      <c r="I130" s="8">
        <f ca="1">(TODAY() - Staff[[#This Row],[Date Joined]])/365</f>
        <v>4.2821917808219174</v>
      </c>
      <c r="J130" s="19">
        <f ca="1">ROUNDUP(IF(Staff[[#This Row],[Tenure]]&gt;2,3%,2%)*Staff[[#This Row],[Salary]],0)</f>
        <v>2781</v>
      </c>
      <c r="K130" s="9">
        <f>_xlfn.XLOOKUP(Staff[[#This Row],[Rating]],Sheet4!$B$2:$B$6,Sheet4!$C$2:$C$6)</f>
        <v>3</v>
      </c>
    </row>
    <row r="131" spans="1:11" x14ac:dyDescent="0.3">
      <c r="A131" t="s">
        <v>77</v>
      </c>
      <c r="B131" t="s">
        <v>8</v>
      </c>
      <c r="C131">
        <v>25</v>
      </c>
      <c r="D131" t="s">
        <v>16</v>
      </c>
      <c r="E131" s="7">
        <v>44205</v>
      </c>
      <c r="F131" t="s">
        <v>19</v>
      </c>
      <c r="G131" s="20">
        <v>92700</v>
      </c>
      <c r="H131" t="s">
        <v>207</v>
      </c>
      <c r="I131" s="8">
        <f ca="1">(TODAY() - Staff[[#This Row],[Date Joined]])/365</f>
        <v>4.1150684931506847</v>
      </c>
      <c r="J131" s="19">
        <f ca="1">ROUNDUP(IF(Staff[[#This Row],[Tenure]]&gt;2,3%,2%)*Staff[[#This Row],[Salary]],0)</f>
        <v>2781</v>
      </c>
      <c r="K131" s="9">
        <f>_xlfn.XLOOKUP(Staff[[#This Row],[Rating]],Sheet4!$B$2:$B$6,Sheet4!$C$2:$C$6)</f>
        <v>3</v>
      </c>
    </row>
    <row r="132" spans="1:11" x14ac:dyDescent="0.3">
      <c r="A132" t="s">
        <v>163</v>
      </c>
      <c r="B132" t="s">
        <v>8</v>
      </c>
      <c r="C132">
        <v>33</v>
      </c>
      <c r="D132" t="s">
        <v>16</v>
      </c>
      <c r="E132" s="7">
        <v>44129</v>
      </c>
      <c r="F132" t="s">
        <v>12</v>
      </c>
      <c r="G132" s="20">
        <v>96140</v>
      </c>
      <c r="H132" t="s">
        <v>205</v>
      </c>
      <c r="I132" s="8">
        <f ca="1">(TODAY() - Staff[[#This Row],[Date Joined]])/365</f>
        <v>4.3232876712328769</v>
      </c>
      <c r="J132" s="19">
        <f ca="1">ROUNDUP(IF(Staff[[#This Row],[Tenure]]&gt;2,3%,2%)*Staff[[#This Row],[Salary]],0)</f>
        <v>2885</v>
      </c>
      <c r="K132" s="9">
        <f>_xlfn.XLOOKUP(Staff[[#This Row],[Rating]],Sheet4!$B$2:$B$6,Sheet4!$C$2:$C$6)</f>
        <v>3</v>
      </c>
    </row>
    <row r="133" spans="1:11" x14ac:dyDescent="0.3">
      <c r="A133" t="s">
        <v>71</v>
      </c>
      <c r="B133" t="s">
        <v>8</v>
      </c>
      <c r="C133">
        <v>33</v>
      </c>
      <c r="D133" t="s">
        <v>16</v>
      </c>
      <c r="E133" s="7">
        <v>44190</v>
      </c>
      <c r="F133" t="s">
        <v>12</v>
      </c>
      <c r="G133" s="20">
        <v>96140</v>
      </c>
      <c r="H133" t="s">
        <v>207</v>
      </c>
      <c r="I133" s="8">
        <f ca="1">(TODAY() - Staff[[#This Row],[Date Joined]])/365</f>
        <v>4.1561643835616442</v>
      </c>
      <c r="J133" s="19">
        <f ca="1">ROUNDUP(IF(Staff[[#This Row],[Tenure]]&gt;2,3%,2%)*Staff[[#This Row],[Salary]],0)</f>
        <v>2885</v>
      </c>
      <c r="K133" s="9">
        <f>_xlfn.XLOOKUP(Staff[[#This Row],[Rating]],Sheet4!$B$2:$B$6,Sheet4!$C$2:$C$6)</f>
        <v>3</v>
      </c>
    </row>
    <row r="134" spans="1:11" x14ac:dyDescent="0.3">
      <c r="A134" t="s">
        <v>177</v>
      </c>
      <c r="B134" t="s">
        <v>15</v>
      </c>
      <c r="C134">
        <v>30</v>
      </c>
      <c r="D134" t="s">
        <v>16</v>
      </c>
      <c r="E134" s="7">
        <v>44544</v>
      </c>
      <c r="F134" t="s">
        <v>21</v>
      </c>
      <c r="G134" s="20">
        <v>96800</v>
      </c>
      <c r="H134" t="s">
        <v>205</v>
      </c>
      <c r="I134" s="8">
        <f ca="1">(TODAY() - Staff[[#This Row],[Date Joined]])/365</f>
        <v>3.1863013698630138</v>
      </c>
      <c r="J134" s="19">
        <f ca="1">ROUNDUP(IF(Staff[[#This Row],[Tenure]]&gt;2,3%,2%)*Staff[[#This Row],[Salary]],0)</f>
        <v>2904</v>
      </c>
      <c r="K134" s="9">
        <f>_xlfn.XLOOKUP(Staff[[#This Row],[Rating]],Sheet4!$B$2:$B$6,Sheet4!$C$2:$C$6)</f>
        <v>3</v>
      </c>
    </row>
    <row r="135" spans="1:11" x14ac:dyDescent="0.3">
      <c r="A135" t="s">
        <v>85</v>
      </c>
      <c r="B135" t="s">
        <v>15</v>
      </c>
      <c r="C135">
        <v>30</v>
      </c>
      <c r="D135" t="s">
        <v>16</v>
      </c>
      <c r="E135" s="7">
        <v>44606</v>
      </c>
      <c r="F135" t="s">
        <v>21</v>
      </c>
      <c r="G135" s="20">
        <v>96800</v>
      </c>
      <c r="H135" t="s">
        <v>207</v>
      </c>
      <c r="I135" s="8">
        <f ca="1">(TODAY() - Staff[[#This Row],[Date Joined]])/365</f>
        <v>3.0164383561643837</v>
      </c>
      <c r="J135" s="19">
        <f ca="1">ROUNDUP(IF(Staff[[#This Row],[Tenure]]&gt;2,3%,2%)*Staff[[#This Row],[Salary]],0)</f>
        <v>2904</v>
      </c>
      <c r="K135" s="9">
        <f>_xlfn.XLOOKUP(Staff[[#This Row],[Rating]],Sheet4!$B$2:$B$6,Sheet4!$C$2:$C$6)</f>
        <v>3</v>
      </c>
    </row>
    <row r="136" spans="1:11" x14ac:dyDescent="0.3">
      <c r="A136" t="s">
        <v>198</v>
      </c>
      <c r="B136" t="s">
        <v>15</v>
      </c>
      <c r="C136">
        <v>40</v>
      </c>
      <c r="D136" t="s">
        <v>16</v>
      </c>
      <c r="E136" s="7">
        <v>44204</v>
      </c>
      <c r="F136" t="s">
        <v>9</v>
      </c>
      <c r="G136" s="20">
        <v>99750</v>
      </c>
      <c r="H136" t="s">
        <v>205</v>
      </c>
      <c r="I136" s="8">
        <f ca="1">(TODAY() - Staff[[#This Row],[Date Joined]])/365</f>
        <v>4.117808219178082</v>
      </c>
      <c r="J136" s="19">
        <f ca="1">ROUNDUP(IF(Staff[[#This Row],[Tenure]]&gt;2,3%,2%)*Staff[[#This Row],[Salary]],0)</f>
        <v>2993</v>
      </c>
      <c r="K136" s="9">
        <f>_xlfn.XLOOKUP(Staff[[#This Row],[Rating]],Sheet4!$B$2:$B$6,Sheet4!$C$2:$C$6)</f>
        <v>3</v>
      </c>
    </row>
    <row r="137" spans="1:11" x14ac:dyDescent="0.3">
      <c r="A137" t="s">
        <v>105</v>
      </c>
      <c r="B137" t="s">
        <v>15</v>
      </c>
      <c r="C137">
        <v>40</v>
      </c>
      <c r="D137" t="s">
        <v>16</v>
      </c>
      <c r="E137" s="7">
        <v>44263</v>
      </c>
      <c r="F137" t="s">
        <v>9</v>
      </c>
      <c r="G137" s="20">
        <v>99750</v>
      </c>
      <c r="H137" t="s">
        <v>207</v>
      </c>
      <c r="I137" s="8">
        <f ca="1">(TODAY() - Staff[[#This Row],[Date Joined]])/365</f>
        <v>3.956164383561644</v>
      </c>
      <c r="J137" s="19">
        <f ca="1">ROUNDUP(IF(Staff[[#This Row],[Tenure]]&gt;2,3%,2%)*Staff[[#This Row],[Salary]],0)</f>
        <v>2993</v>
      </c>
      <c r="K137" s="9">
        <f>_xlfn.XLOOKUP(Staff[[#This Row],[Rating]],Sheet4!$B$2:$B$6,Sheet4!$C$2:$C$6)</f>
        <v>3</v>
      </c>
    </row>
    <row r="138" spans="1:11" x14ac:dyDescent="0.3">
      <c r="A138" t="s">
        <v>200</v>
      </c>
      <c r="B138" t="s">
        <v>8</v>
      </c>
      <c r="C138">
        <v>28</v>
      </c>
      <c r="D138" t="s">
        <v>16</v>
      </c>
      <c r="E138" s="7">
        <v>44571</v>
      </c>
      <c r="F138" t="s">
        <v>9</v>
      </c>
      <c r="G138" s="20">
        <v>99970</v>
      </c>
      <c r="H138" t="s">
        <v>205</v>
      </c>
      <c r="I138" s="8">
        <f ca="1">(TODAY() - Staff[[#This Row],[Date Joined]])/365</f>
        <v>3.1123287671232878</v>
      </c>
      <c r="J138" s="19">
        <f ca="1">ROUNDUP(IF(Staff[[#This Row],[Tenure]]&gt;2,3%,2%)*Staff[[#This Row],[Salary]],0)</f>
        <v>3000</v>
      </c>
      <c r="K138" s="9">
        <f>_xlfn.XLOOKUP(Staff[[#This Row],[Rating]],Sheet4!$B$2:$B$6,Sheet4!$C$2:$C$6)</f>
        <v>3</v>
      </c>
    </row>
    <row r="139" spans="1:11" x14ac:dyDescent="0.3">
      <c r="A139" t="s">
        <v>107</v>
      </c>
      <c r="B139" t="s">
        <v>8</v>
      </c>
      <c r="C139">
        <v>28</v>
      </c>
      <c r="D139" t="s">
        <v>16</v>
      </c>
      <c r="E139" s="7">
        <v>44630</v>
      </c>
      <c r="F139" t="s">
        <v>9</v>
      </c>
      <c r="G139" s="20">
        <v>99970</v>
      </c>
      <c r="H139" t="s">
        <v>207</v>
      </c>
      <c r="I139" s="8">
        <f ca="1">(TODAY() - Staff[[#This Row],[Date Joined]])/365</f>
        <v>2.9506849315068493</v>
      </c>
      <c r="J139" s="19">
        <f ca="1">ROUNDUP(IF(Staff[[#This Row],[Tenure]]&gt;2,3%,2%)*Staff[[#This Row],[Salary]],0)</f>
        <v>3000</v>
      </c>
      <c r="K139" s="9">
        <f>_xlfn.XLOOKUP(Staff[[#This Row],[Rating]],Sheet4!$B$2:$B$6,Sheet4!$C$2:$C$6)</f>
        <v>3</v>
      </c>
    </row>
    <row r="140" spans="1:11" x14ac:dyDescent="0.3">
      <c r="A140" t="s">
        <v>196</v>
      </c>
      <c r="B140" t="s">
        <v>15</v>
      </c>
      <c r="C140">
        <v>24</v>
      </c>
      <c r="D140" t="s">
        <v>16</v>
      </c>
      <c r="E140" s="7">
        <v>44625</v>
      </c>
      <c r="F140" t="s">
        <v>12</v>
      </c>
      <c r="G140" s="20">
        <v>100420</v>
      </c>
      <c r="H140" t="s">
        <v>205</v>
      </c>
      <c r="I140" s="8">
        <f ca="1">(TODAY() - Staff[[#This Row],[Date Joined]])/365</f>
        <v>2.9643835616438357</v>
      </c>
      <c r="J140" s="19">
        <f ca="1">ROUNDUP(IF(Staff[[#This Row],[Tenure]]&gt;2,3%,2%)*Staff[[#This Row],[Salary]],0)</f>
        <v>3013</v>
      </c>
      <c r="K140" s="9">
        <f>_xlfn.XLOOKUP(Staff[[#This Row],[Rating]],Sheet4!$B$2:$B$6,Sheet4!$C$2:$C$6)</f>
        <v>3</v>
      </c>
    </row>
    <row r="141" spans="1:11" x14ac:dyDescent="0.3">
      <c r="A141" t="s">
        <v>103</v>
      </c>
      <c r="B141" t="s">
        <v>15</v>
      </c>
      <c r="C141">
        <v>24</v>
      </c>
      <c r="D141" t="s">
        <v>16</v>
      </c>
      <c r="E141" s="7">
        <v>44686</v>
      </c>
      <c r="F141" t="s">
        <v>12</v>
      </c>
      <c r="G141" s="20">
        <v>100420</v>
      </c>
      <c r="H141" t="s">
        <v>207</v>
      </c>
      <c r="I141" s="8">
        <f ca="1">(TODAY() - Staff[[#This Row],[Date Joined]])/365</f>
        <v>2.7972602739726029</v>
      </c>
      <c r="J141" s="19">
        <f ca="1">ROUNDUP(IF(Staff[[#This Row],[Tenure]]&gt;2,3%,2%)*Staff[[#This Row],[Salary]],0)</f>
        <v>3013</v>
      </c>
      <c r="K141" s="9">
        <f>_xlfn.XLOOKUP(Staff[[#This Row],[Rating]],Sheet4!$B$2:$B$6,Sheet4!$C$2:$C$6)</f>
        <v>3</v>
      </c>
    </row>
    <row r="142" spans="1:11" x14ac:dyDescent="0.3">
      <c r="A142" t="s">
        <v>143</v>
      </c>
      <c r="B142" t="s">
        <v>15</v>
      </c>
      <c r="C142">
        <v>31</v>
      </c>
      <c r="D142" t="s">
        <v>16</v>
      </c>
      <c r="E142" s="7">
        <v>44663</v>
      </c>
      <c r="F142" t="s">
        <v>9</v>
      </c>
      <c r="G142" s="20">
        <v>103550</v>
      </c>
      <c r="H142" t="s">
        <v>205</v>
      </c>
      <c r="I142" s="8">
        <f ca="1">(TODAY() - Staff[[#This Row],[Date Joined]])/365</f>
        <v>2.8602739726027395</v>
      </c>
      <c r="J142" s="19">
        <f ca="1">ROUNDUP(IF(Staff[[#This Row],[Tenure]]&gt;2,3%,2%)*Staff[[#This Row],[Salary]],0)</f>
        <v>3107</v>
      </c>
      <c r="K142" s="9">
        <f>_xlfn.XLOOKUP(Staff[[#This Row],[Rating]],Sheet4!$B$2:$B$6,Sheet4!$C$2:$C$6)</f>
        <v>3</v>
      </c>
    </row>
    <row r="143" spans="1:11" x14ac:dyDescent="0.3">
      <c r="A143" t="s">
        <v>50</v>
      </c>
      <c r="B143" t="s">
        <v>15</v>
      </c>
      <c r="C143">
        <v>31</v>
      </c>
      <c r="D143" t="s">
        <v>16</v>
      </c>
      <c r="E143" s="7">
        <v>44724</v>
      </c>
      <c r="F143" t="s">
        <v>9</v>
      </c>
      <c r="G143" s="20">
        <v>103550</v>
      </c>
      <c r="H143" t="s">
        <v>207</v>
      </c>
      <c r="I143" s="8">
        <f ca="1">(TODAY() - Staff[[#This Row],[Date Joined]])/365</f>
        <v>2.6931506849315068</v>
      </c>
      <c r="J143" s="19">
        <f ca="1">ROUNDUP(IF(Staff[[#This Row],[Tenure]]&gt;2,3%,2%)*Staff[[#This Row],[Salary]],0)</f>
        <v>3107</v>
      </c>
      <c r="K143" s="9">
        <f>_xlfn.XLOOKUP(Staff[[#This Row],[Rating]],Sheet4!$B$2:$B$6,Sheet4!$C$2:$C$6)</f>
        <v>3</v>
      </c>
    </row>
    <row r="144" spans="1:11" x14ac:dyDescent="0.3">
      <c r="A144" t="s">
        <v>189</v>
      </c>
      <c r="B144" t="s">
        <v>8</v>
      </c>
      <c r="C144">
        <v>28</v>
      </c>
      <c r="D144" t="s">
        <v>16</v>
      </c>
      <c r="E144" s="7">
        <v>44590</v>
      </c>
      <c r="F144" t="s">
        <v>9</v>
      </c>
      <c r="G144" s="20">
        <v>104120</v>
      </c>
      <c r="H144" t="s">
        <v>205</v>
      </c>
      <c r="I144" s="8">
        <f ca="1">(TODAY() - Staff[[#This Row],[Date Joined]])/365</f>
        <v>3.0602739726027397</v>
      </c>
      <c r="J144" s="19">
        <f ca="1">ROUNDUP(IF(Staff[[#This Row],[Tenure]]&gt;2,3%,2%)*Staff[[#This Row],[Salary]],0)</f>
        <v>3124</v>
      </c>
      <c r="K144" s="9">
        <f>_xlfn.XLOOKUP(Staff[[#This Row],[Rating]],Sheet4!$B$2:$B$6,Sheet4!$C$2:$C$6)</f>
        <v>3</v>
      </c>
    </row>
    <row r="145" spans="1:11" x14ac:dyDescent="0.3">
      <c r="A145" t="s">
        <v>96</v>
      </c>
      <c r="B145" t="s">
        <v>8</v>
      </c>
      <c r="C145">
        <v>28</v>
      </c>
      <c r="D145" t="s">
        <v>16</v>
      </c>
      <c r="E145" s="7">
        <v>44649</v>
      </c>
      <c r="F145" t="s">
        <v>9</v>
      </c>
      <c r="G145" s="20">
        <v>104120</v>
      </c>
      <c r="H145" t="s">
        <v>207</v>
      </c>
      <c r="I145" s="8">
        <f ca="1">(TODAY() - Staff[[#This Row],[Date Joined]])/365</f>
        <v>2.8986301369863012</v>
      </c>
      <c r="J145" s="19">
        <f ca="1">ROUNDUP(IF(Staff[[#This Row],[Tenure]]&gt;2,3%,2%)*Staff[[#This Row],[Salary]],0)</f>
        <v>3124</v>
      </c>
      <c r="K145" s="9">
        <f>_xlfn.XLOOKUP(Staff[[#This Row],[Rating]],Sheet4!$B$2:$B$6,Sheet4!$C$2:$C$6)</f>
        <v>3</v>
      </c>
    </row>
    <row r="146" spans="1:11" x14ac:dyDescent="0.3">
      <c r="A146" t="s">
        <v>194</v>
      </c>
      <c r="B146" t="s">
        <v>8</v>
      </c>
      <c r="C146">
        <v>40</v>
      </c>
      <c r="D146" t="s">
        <v>16</v>
      </c>
      <c r="E146" s="7">
        <v>44320</v>
      </c>
      <c r="F146" t="s">
        <v>12</v>
      </c>
      <c r="G146" s="20">
        <v>104410</v>
      </c>
      <c r="H146" t="s">
        <v>205</v>
      </c>
      <c r="I146" s="8">
        <f ca="1">(TODAY() - Staff[[#This Row],[Date Joined]])/365</f>
        <v>3.8</v>
      </c>
      <c r="J146" s="19">
        <f ca="1">ROUNDUP(IF(Staff[[#This Row],[Tenure]]&gt;2,3%,2%)*Staff[[#This Row],[Salary]],0)</f>
        <v>3133</v>
      </c>
      <c r="K146" s="9">
        <f>_xlfn.XLOOKUP(Staff[[#This Row],[Rating]],Sheet4!$B$2:$B$6,Sheet4!$C$2:$C$6)</f>
        <v>3</v>
      </c>
    </row>
    <row r="147" spans="1:11" x14ac:dyDescent="0.3">
      <c r="A147" t="s">
        <v>101</v>
      </c>
      <c r="B147" t="s">
        <v>8</v>
      </c>
      <c r="C147">
        <v>40</v>
      </c>
      <c r="D147" t="s">
        <v>16</v>
      </c>
      <c r="E147" s="7">
        <v>44381</v>
      </c>
      <c r="F147" t="s">
        <v>12</v>
      </c>
      <c r="G147" s="20">
        <v>104410</v>
      </c>
      <c r="H147" t="s">
        <v>207</v>
      </c>
      <c r="I147" s="8">
        <f ca="1">(TODAY() - Staff[[#This Row],[Date Joined]])/365</f>
        <v>3.6328767123287671</v>
      </c>
      <c r="J147" s="19">
        <f ca="1">ROUNDUP(IF(Staff[[#This Row],[Tenure]]&gt;2,3%,2%)*Staff[[#This Row],[Salary]],0)</f>
        <v>3133</v>
      </c>
      <c r="K147" s="9">
        <f>_xlfn.XLOOKUP(Staff[[#This Row],[Rating]],Sheet4!$B$2:$B$6,Sheet4!$C$2:$C$6)</f>
        <v>3</v>
      </c>
    </row>
    <row r="148" spans="1:11" x14ac:dyDescent="0.3">
      <c r="A148" t="s">
        <v>136</v>
      </c>
      <c r="B148" t="s">
        <v>8</v>
      </c>
      <c r="C148">
        <v>28</v>
      </c>
      <c r="D148" t="s">
        <v>16</v>
      </c>
      <c r="E148" s="7">
        <v>44425</v>
      </c>
      <c r="F148" t="s">
        <v>9</v>
      </c>
      <c r="G148" s="20">
        <v>104770</v>
      </c>
      <c r="H148" t="s">
        <v>205</v>
      </c>
      <c r="I148" s="8">
        <f ca="1">(TODAY() - Staff[[#This Row],[Date Joined]])/365</f>
        <v>3.5123287671232877</v>
      </c>
      <c r="J148" s="19">
        <f ca="1">ROUNDUP(IF(Staff[[#This Row],[Tenure]]&gt;2,3%,2%)*Staff[[#This Row],[Salary]],0)</f>
        <v>3144</v>
      </c>
      <c r="K148" s="9">
        <f>_xlfn.XLOOKUP(Staff[[#This Row],[Rating]],Sheet4!$B$2:$B$6,Sheet4!$C$2:$C$6)</f>
        <v>3</v>
      </c>
    </row>
    <row r="149" spans="1:11" x14ac:dyDescent="0.3">
      <c r="A149" t="s">
        <v>43</v>
      </c>
      <c r="B149" t="s">
        <v>8</v>
      </c>
      <c r="C149">
        <v>28</v>
      </c>
      <c r="D149" t="s">
        <v>16</v>
      </c>
      <c r="E149" s="7">
        <v>44486</v>
      </c>
      <c r="F149" t="s">
        <v>9</v>
      </c>
      <c r="G149" s="20">
        <v>104770</v>
      </c>
      <c r="H149" t="s">
        <v>207</v>
      </c>
      <c r="I149" s="8">
        <f ca="1">(TODAY() - Staff[[#This Row],[Date Joined]])/365</f>
        <v>3.3452054794520549</v>
      </c>
      <c r="J149" s="19">
        <f ca="1">ROUNDUP(IF(Staff[[#This Row],[Tenure]]&gt;2,3%,2%)*Staff[[#This Row],[Salary]],0)</f>
        <v>3144</v>
      </c>
      <c r="K149" s="9">
        <f>_xlfn.XLOOKUP(Staff[[#This Row],[Rating]],Sheet4!$B$2:$B$6,Sheet4!$C$2:$C$6)</f>
        <v>3</v>
      </c>
    </row>
    <row r="150" spans="1:11" x14ac:dyDescent="0.3">
      <c r="A150" t="s">
        <v>161</v>
      </c>
      <c r="B150" t="s">
        <v>15</v>
      </c>
      <c r="C150">
        <v>23</v>
      </c>
      <c r="D150" t="s">
        <v>16</v>
      </c>
      <c r="E150" s="7">
        <v>44378</v>
      </c>
      <c r="F150" t="s">
        <v>9</v>
      </c>
      <c r="G150" s="20">
        <v>106460</v>
      </c>
      <c r="H150" t="s">
        <v>205</v>
      </c>
      <c r="I150" s="8">
        <f ca="1">(TODAY() - Staff[[#This Row],[Date Joined]])/365</f>
        <v>3.6410958904109587</v>
      </c>
      <c r="J150" s="19">
        <f ca="1">ROUNDUP(IF(Staff[[#This Row],[Tenure]]&gt;2,3%,2%)*Staff[[#This Row],[Salary]],0)</f>
        <v>3194</v>
      </c>
      <c r="K150" s="9">
        <f>_xlfn.XLOOKUP(Staff[[#This Row],[Rating]],Sheet4!$B$2:$B$6,Sheet4!$C$2:$C$6)</f>
        <v>3</v>
      </c>
    </row>
    <row r="151" spans="1:11" x14ac:dyDescent="0.3">
      <c r="A151" t="s">
        <v>69</v>
      </c>
      <c r="B151" t="s">
        <v>15</v>
      </c>
      <c r="C151">
        <v>23</v>
      </c>
      <c r="D151" t="s">
        <v>16</v>
      </c>
      <c r="E151" s="7">
        <v>44440</v>
      </c>
      <c r="F151" t="s">
        <v>9</v>
      </c>
      <c r="G151" s="20">
        <v>106460</v>
      </c>
      <c r="H151" t="s">
        <v>207</v>
      </c>
      <c r="I151" s="8">
        <f ca="1">(TODAY() - Staff[[#This Row],[Date Joined]])/365</f>
        <v>3.4712328767123286</v>
      </c>
      <c r="J151" s="19">
        <f ca="1">ROUNDUP(IF(Staff[[#This Row],[Tenure]]&gt;2,3%,2%)*Staff[[#This Row],[Salary]],0)</f>
        <v>3194</v>
      </c>
      <c r="K151" s="9">
        <f>_xlfn.XLOOKUP(Staff[[#This Row],[Rating]],Sheet4!$B$2:$B$6,Sheet4!$C$2:$C$6)</f>
        <v>3</v>
      </c>
    </row>
    <row r="152" spans="1:11" x14ac:dyDescent="0.3">
      <c r="A152" t="s">
        <v>117</v>
      </c>
      <c r="B152" t="s">
        <v>15</v>
      </c>
      <c r="C152">
        <v>20</v>
      </c>
      <c r="D152" t="s">
        <v>16</v>
      </c>
      <c r="E152" s="7">
        <v>44397</v>
      </c>
      <c r="F152" t="s">
        <v>12</v>
      </c>
      <c r="G152" s="20">
        <v>107700</v>
      </c>
      <c r="H152" t="s">
        <v>205</v>
      </c>
      <c r="I152" s="8">
        <f ca="1">(TODAY() - Staff[[#This Row],[Date Joined]])/365</f>
        <v>3.5890410958904111</v>
      </c>
      <c r="J152" s="19">
        <f ca="1">ROUNDUP(IF(Staff[[#This Row],[Tenure]]&gt;2,3%,2%)*Staff[[#This Row],[Salary]],0)</f>
        <v>3231</v>
      </c>
      <c r="K152" s="9">
        <f>_xlfn.XLOOKUP(Staff[[#This Row],[Rating]],Sheet4!$B$2:$B$6,Sheet4!$C$2:$C$6)</f>
        <v>3</v>
      </c>
    </row>
    <row r="153" spans="1:11" x14ac:dyDescent="0.3">
      <c r="A153" t="s">
        <v>22</v>
      </c>
      <c r="B153" t="s">
        <v>15</v>
      </c>
      <c r="C153">
        <v>20</v>
      </c>
      <c r="D153" t="s">
        <v>16</v>
      </c>
      <c r="E153" s="7">
        <v>44459</v>
      </c>
      <c r="F153" t="s">
        <v>12</v>
      </c>
      <c r="G153" s="20">
        <v>107700</v>
      </c>
      <c r="H153" t="s">
        <v>207</v>
      </c>
      <c r="I153" s="8">
        <f ca="1">(TODAY() - Staff[[#This Row],[Date Joined]])/365</f>
        <v>3.419178082191781</v>
      </c>
      <c r="J153" s="19">
        <f ca="1">ROUNDUP(IF(Staff[[#This Row],[Tenure]]&gt;2,3%,2%)*Staff[[#This Row],[Salary]],0)</f>
        <v>3231</v>
      </c>
      <c r="K153" s="9">
        <f>_xlfn.XLOOKUP(Staff[[#This Row],[Rating]],Sheet4!$B$2:$B$6,Sheet4!$C$2:$C$6)</f>
        <v>3</v>
      </c>
    </row>
    <row r="154" spans="1:11" x14ac:dyDescent="0.3">
      <c r="A154" t="s">
        <v>127</v>
      </c>
      <c r="B154" t="s">
        <v>8</v>
      </c>
      <c r="C154">
        <v>38</v>
      </c>
      <c r="D154" t="s">
        <v>10</v>
      </c>
      <c r="E154" s="7">
        <v>44316</v>
      </c>
      <c r="F154" t="s">
        <v>19</v>
      </c>
      <c r="G154" s="20">
        <v>109160</v>
      </c>
      <c r="H154" t="s">
        <v>205</v>
      </c>
      <c r="I154" s="8">
        <f ca="1">(TODAY() - Staff[[#This Row],[Date Joined]])/365</f>
        <v>3.8109589041095893</v>
      </c>
      <c r="J154" s="19">
        <f ca="1">ROUNDUP(IF(Staff[[#This Row],[Tenure]]&gt;2,3%,2%)*Staff[[#This Row],[Salary]],0)</f>
        <v>3275</v>
      </c>
      <c r="K154" s="9">
        <f>_xlfn.XLOOKUP(Staff[[#This Row],[Rating]],Sheet4!$B$2:$B$6,Sheet4!$C$2:$C$6)</f>
        <v>5</v>
      </c>
    </row>
    <row r="155" spans="1:11" x14ac:dyDescent="0.3">
      <c r="A155" t="s">
        <v>33</v>
      </c>
      <c r="B155" t="s">
        <v>8</v>
      </c>
      <c r="C155">
        <v>38</v>
      </c>
      <c r="D155" t="s">
        <v>10</v>
      </c>
      <c r="E155" s="7">
        <v>44377</v>
      </c>
      <c r="F155" t="s">
        <v>19</v>
      </c>
      <c r="G155" s="20">
        <v>109160</v>
      </c>
      <c r="H155" t="s">
        <v>207</v>
      </c>
      <c r="I155" s="8">
        <f ca="1">(TODAY() - Staff[[#This Row],[Date Joined]])/365</f>
        <v>3.6438356164383561</v>
      </c>
      <c r="J155" s="19">
        <f ca="1">ROUNDUP(IF(Staff[[#This Row],[Tenure]]&gt;2,3%,2%)*Staff[[#This Row],[Salary]],0)</f>
        <v>3275</v>
      </c>
      <c r="K155" s="9">
        <f>_xlfn.XLOOKUP(Staff[[#This Row],[Rating]],Sheet4!$B$2:$B$6,Sheet4!$C$2:$C$6)</f>
        <v>5</v>
      </c>
    </row>
    <row r="156" spans="1:11" x14ac:dyDescent="0.3">
      <c r="A156" t="s">
        <v>128</v>
      </c>
      <c r="B156" t="s">
        <v>15</v>
      </c>
      <c r="C156">
        <v>25</v>
      </c>
      <c r="D156" t="s">
        <v>13</v>
      </c>
      <c r="E156" s="7">
        <v>44665</v>
      </c>
      <c r="F156" t="s">
        <v>9</v>
      </c>
      <c r="G156" s="20">
        <v>109190</v>
      </c>
      <c r="H156" t="s">
        <v>205</v>
      </c>
      <c r="I156" s="8">
        <f ca="1">(TODAY() - Staff[[#This Row],[Date Joined]])/365</f>
        <v>2.8547945205479452</v>
      </c>
      <c r="J156" s="19">
        <f ca="1">ROUNDUP(IF(Staff[[#This Row],[Tenure]]&gt;2,3%,2%)*Staff[[#This Row],[Salary]],0)</f>
        <v>3276</v>
      </c>
      <c r="K156" s="9">
        <f>_xlfn.XLOOKUP(Staff[[#This Row],[Rating]],Sheet4!$B$2:$B$6,Sheet4!$C$2:$C$6)</f>
        <v>4</v>
      </c>
    </row>
    <row r="157" spans="1:11" x14ac:dyDescent="0.3">
      <c r="A157" t="s">
        <v>34</v>
      </c>
      <c r="B157" t="s">
        <v>15</v>
      </c>
      <c r="C157">
        <v>25</v>
      </c>
      <c r="D157" t="s">
        <v>13</v>
      </c>
      <c r="E157" s="7">
        <v>44726</v>
      </c>
      <c r="F157" t="s">
        <v>9</v>
      </c>
      <c r="G157" s="20">
        <v>109190</v>
      </c>
      <c r="H157" t="s">
        <v>207</v>
      </c>
      <c r="I157" s="8">
        <f ca="1">(TODAY() - Staff[[#This Row],[Date Joined]])/365</f>
        <v>2.6876712328767125</v>
      </c>
      <c r="J157" s="19">
        <f ca="1">ROUNDUP(IF(Staff[[#This Row],[Tenure]]&gt;2,3%,2%)*Staff[[#This Row],[Salary]],0)</f>
        <v>3276</v>
      </c>
      <c r="K157" s="9">
        <f>_xlfn.XLOOKUP(Staff[[#This Row],[Rating]],Sheet4!$B$2:$B$6,Sheet4!$C$2:$C$6)</f>
        <v>4</v>
      </c>
    </row>
    <row r="158" spans="1:11" x14ac:dyDescent="0.3">
      <c r="A158" t="s">
        <v>180</v>
      </c>
      <c r="B158" t="s">
        <v>15</v>
      </c>
      <c r="C158">
        <v>29</v>
      </c>
      <c r="D158" t="s">
        <v>24</v>
      </c>
      <c r="E158" s="7">
        <v>44119</v>
      </c>
      <c r="F158" t="s">
        <v>12</v>
      </c>
      <c r="G158" s="20">
        <v>112110</v>
      </c>
      <c r="H158" t="s">
        <v>205</v>
      </c>
      <c r="I158" s="8">
        <f ca="1">(TODAY() - Staff[[#This Row],[Date Joined]])/365</f>
        <v>4.3506849315068497</v>
      </c>
      <c r="J158" s="19">
        <f ca="1">ROUNDUP(IF(Staff[[#This Row],[Tenure]]&gt;2,3%,2%)*Staff[[#This Row],[Salary]],0)</f>
        <v>3364</v>
      </c>
      <c r="K158" s="9">
        <f>_xlfn.XLOOKUP(Staff[[#This Row],[Rating]],Sheet4!$B$2:$B$6,Sheet4!$C$2:$C$6)</f>
        <v>2</v>
      </c>
    </row>
    <row r="159" spans="1:11" x14ac:dyDescent="0.3">
      <c r="A159" t="s">
        <v>87</v>
      </c>
      <c r="B159" t="s">
        <v>15</v>
      </c>
      <c r="C159">
        <v>29</v>
      </c>
      <c r="D159" t="s">
        <v>24</v>
      </c>
      <c r="E159" s="7">
        <v>44180</v>
      </c>
      <c r="F159" t="s">
        <v>12</v>
      </c>
      <c r="G159" s="20">
        <v>112110</v>
      </c>
      <c r="H159" t="s">
        <v>207</v>
      </c>
      <c r="I159" s="8">
        <f ca="1">(TODAY() - Staff[[#This Row],[Date Joined]])/365</f>
        <v>4.183561643835616</v>
      </c>
      <c r="J159" s="19">
        <f ca="1">ROUNDUP(IF(Staff[[#This Row],[Tenure]]&gt;2,3%,2%)*Staff[[#This Row],[Salary]],0)</f>
        <v>3364</v>
      </c>
      <c r="K159" s="9">
        <f>_xlfn.XLOOKUP(Staff[[#This Row],[Rating]],Sheet4!$B$2:$B$6,Sheet4!$C$2:$C$6)</f>
        <v>2</v>
      </c>
    </row>
    <row r="160" spans="1:11" x14ac:dyDescent="0.3">
      <c r="A160" t="s">
        <v>173</v>
      </c>
      <c r="B160" t="s">
        <v>8</v>
      </c>
      <c r="C160">
        <v>30</v>
      </c>
      <c r="D160" t="s">
        <v>16</v>
      </c>
      <c r="E160" s="7">
        <v>44800</v>
      </c>
      <c r="F160" t="s">
        <v>9</v>
      </c>
      <c r="G160" s="20">
        <v>112570</v>
      </c>
      <c r="H160" t="s">
        <v>205</v>
      </c>
      <c r="I160" s="8">
        <f ca="1">(TODAY() - Staff[[#This Row],[Date Joined]])/365</f>
        <v>2.484931506849315</v>
      </c>
      <c r="J160" s="19">
        <f ca="1">ROUNDUP(IF(Staff[[#This Row],[Tenure]]&gt;2,3%,2%)*Staff[[#This Row],[Salary]],0)</f>
        <v>3378</v>
      </c>
      <c r="K160" s="9">
        <f>_xlfn.XLOOKUP(Staff[[#This Row],[Rating]],Sheet4!$B$2:$B$6,Sheet4!$C$2:$C$6)</f>
        <v>3</v>
      </c>
    </row>
    <row r="161" spans="1:11" x14ac:dyDescent="0.3">
      <c r="A161" t="s">
        <v>81</v>
      </c>
      <c r="B161" t="s">
        <v>8</v>
      </c>
      <c r="C161">
        <v>30</v>
      </c>
      <c r="D161" t="s">
        <v>16</v>
      </c>
      <c r="E161" s="7">
        <v>44861</v>
      </c>
      <c r="F161" t="s">
        <v>9</v>
      </c>
      <c r="G161" s="20">
        <v>112570</v>
      </c>
      <c r="H161" t="s">
        <v>207</v>
      </c>
      <c r="I161" s="8">
        <f ca="1">(TODAY() - Staff[[#This Row],[Date Joined]])/365</f>
        <v>2.3178082191780822</v>
      </c>
      <c r="J161" s="19">
        <f ca="1">ROUNDUP(IF(Staff[[#This Row],[Tenure]]&gt;2,3%,2%)*Staff[[#This Row],[Salary]],0)</f>
        <v>3378</v>
      </c>
      <c r="K161" s="9">
        <f>_xlfn.XLOOKUP(Staff[[#This Row],[Rating]],Sheet4!$B$2:$B$6,Sheet4!$C$2:$C$6)</f>
        <v>3</v>
      </c>
    </row>
    <row r="162" spans="1:11" x14ac:dyDescent="0.3">
      <c r="A162" t="s">
        <v>156</v>
      </c>
      <c r="B162" t="s">
        <v>15</v>
      </c>
      <c r="C162">
        <v>20</v>
      </c>
      <c r="D162" t="s">
        <v>16</v>
      </c>
      <c r="E162" s="7">
        <v>44122</v>
      </c>
      <c r="F162" t="s">
        <v>12</v>
      </c>
      <c r="G162" s="20">
        <v>112650</v>
      </c>
      <c r="H162" t="s">
        <v>205</v>
      </c>
      <c r="I162" s="8">
        <f ca="1">(TODAY() - Staff[[#This Row],[Date Joined]])/365</f>
        <v>4.3424657534246576</v>
      </c>
      <c r="J162" s="19">
        <f ca="1">ROUNDUP(IF(Staff[[#This Row],[Tenure]]&gt;2,3%,2%)*Staff[[#This Row],[Salary]],0)</f>
        <v>3380</v>
      </c>
      <c r="K162" s="9">
        <f>_xlfn.XLOOKUP(Staff[[#This Row],[Rating]],Sheet4!$B$2:$B$6,Sheet4!$C$2:$C$6)</f>
        <v>3</v>
      </c>
    </row>
    <row r="163" spans="1:11" x14ac:dyDescent="0.3">
      <c r="A163" t="s">
        <v>178</v>
      </c>
      <c r="B163" t="s">
        <v>15</v>
      </c>
      <c r="C163">
        <v>34</v>
      </c>
      <c r="D163" t="s">
        <v>16</v>
      </c>
      <c r="E163" s="7">
        <v>44642</v>
      </c>
      <c r="F163" t="s">
        <v>9</v>
      </c>
      <c r="G163" s="20">
        <v>112650</v>
      </c>
      <c r="H163" t="s">
        <v>205</v>
      </c>
      <c r="I163" s="8">
        <f ca="1">(TODAY() - Staff[[#This Row],[Date Joined]])/365</f>
        <v>2.9178082191780823</v>
      </c>
      <c r="J163" s="19">
        <f ca="1">ROUNDUP(IF(Staff[[#This Row],[Tenure]]&gt;2,3%,2%)*Staff[[#This Row],[Salary]],0)</f>
        <v>3380</v>
      </c>
      <c r="K163" s="9">
        <f>_xlfn.XLOOKUP(Staff[[#This Row],[Rating]],Sheet4!$B$2:$B$6,Sheet4!$C$2:$C$6)</f>
        <v>3</v>
      </c>
    </row>
    <row r="164" spans="1:11" x14ac:dyDescent="0.3">
      <c r="A164" t="s">
        <v>64</v>
      </c>
      <c r="B164" t="s">
        <v>15</v>
      </c>
      <c r="C164">
        <v>20</v>
      </c>
      <c r="D164" t="s">
        <v>16</v>
      </c>
      <c r="E164" s="7">
        <v>44183</v>
      </c>
      <c r="F164" t="s">
        <v>12</v>
      </c>
      <c r="G164" s="20">
        <v>112650</v>
      </c>
      <c r="H164" t="s">
        <v>207</v>
      </c>
      <c r="I164" s="8">
        <f ca="1">(TODAY() - Staff[[#This Row],[Date Joined]])/365</f>
        <v>4.1753424657534248</v>
      </c>
      <c r="J164" s="19">
        <f ca="1">ROUNDUP(IF(Staff[[#This Row],[Tenure]]&gt;2,3%,2%)*Staff[[#This Row],[Salary]],0)</f>
        <v>3380</v>
      </c>
      <c r="K164" s="9">
        <f>_xlfn.XLOOKUP(Staff[[#This Row],[Rating]],Sheet4!$B$2:$B$6,Sheet4!$C$2:$C$6)</f>
        <v>3</v>
      </c>
    </row>
    <row r="165" spans="1:11" x14ac:dyDescent="0.3">
      <c r="A165" t="s">
        <v>150</v>
      </c>
      <c r="B165" t="s">
        <v>15</v>
      </c>
      <c r="C165">
        <v>22</v>
      </c>
      <c r="D165" t="s">
        <v>13</v>
      </c>
      <c r="E165" s="7">
        <v>44384</v>
      </c>
      <c r="F165" t="s">
        <v>19</v>
      </c>
      <c r="G165" s="20">
        <v>112780</v>
      </c>
      <c r="H165" t="s">
        <v>205</v>
      </c>
      <c r="I165" s="8">
        <f ca="1">(TODAY() - Staff[[#This Row],[Date Joined]])/365</f>
        <v>3.6246575342465754</v>
      </c>
      <c r="J165" s="19">
        <f ca="1">ROUNDUP(IF(Staff[[#This Row],[Tenure]]&gt;2,3%,2%)*Staff[[#This Row],[Salary]],0)</f>
        <v>3384</v>
      </c>
      <c r="K165" s="9">
        <f>_xlfn.XLOOKUP(Staff[[#This Row],[Rating]],Sheet4!$B$2:$B$6,Sheet4!$C$2:$C$6)</f>
        <v>4</v>
      </c>
    </row>
    <row r="166" spans="1:11" x14ac:dyDescent="0.3">
      <c r="A166" t="s">
        <v>58</v>
      </c>
      <c r="B166" t="s">
        <v>15</v>
      </c>
      <c r="C166">
        <v>22</v>
      </c>
      <c r="D166" t="s">
        <v>13</v>
      </c>
      <c r="E166" s="7">
        <v>44446</v>
      </c>
      <c r="F166" t="s">
        <v>19</v>
      </c>
      <c r="G166" s="20">
        <v>112780</v>
      </c>
      <c r="H166" t="s">
        <v>207</v>
      </c>
      <c r="I166" s="8">
        <f ca="1">(TODAY() - Staff[[#This Row],[Date Joined]])/365</f>
        <v>3.4547945205479453</v>
      </c>
      <c r="J166" s="19">
        <f ca="1">ROUNDUP(IF(Staff[[#This Row],[Tenure]]&gt;2,3%,2%)*Staff[[#This Row],[Salary]],0)</f>
        <v>3384</v>
      </c>
      <c r="K166" s="9">
        <f>_xlfn.XLOOKUP(Staff[[#This Row],[Rating]],Sheet4!$B$2:$B$6,Sheet4!$C$2:$C$6)</f>
        <v>4</v>
      </c>
    </row>
    <row r="167" spans="1:11" x14ac:dyDescent="0.3">
      <c r="A167" t="s">
        <v>191</v>
      </c>
      <c r="B167" t="s">
        <v>15</v>
      </c>
      <c r="C167">
        <v>27</v>
      </c>
      <c r="D167" t="s">
        <v>42</v>
      </c>
      <c r="E167" s="7">
        <v>44547</v>
      </c>
      <c r="F167" t="s">
        <v>9</v>
      </c>
      <c r="G167" s="20">
        <v>113280</v>
      </c>
      <c r="H167" t="s">
        <v>205</v>
      </c>
      <c r="I167" s="8">
        <f ca="1">(TODAY() - Staff[[#This Row],[Date Joined]])/365</f>
        <v>3.1780821917808217</v>
      </c>
      <c r="J167" s="19">
        <f ca="1">ROUNDUP(IF(Staff[[#This Row],[Tenure]]&gt;2,3%,2%)*Staff[[#This Row],[Salary]],0)</f>
        <v>3399</v>
      </c>
      <c r="K167" s="9">
        <f>_xlfn.XLOOKUP(Staff[[#This Row],[Rating]],Sheet4!$B$2:$B$6,Sheet4!$C$2:$C$6)</f>
        <v>1</v>
      </c>
    </row>
    <row r="168" spans="1:11" x14ac:dyDescent="0.3">
      <c r="A168" t="s">
        <v>98</v>
      </c>
      <c r="B168" t="s">
        <v>15</v>
      </c>
      <c r="C168">
        <v>27</v>
      </c>
      <c r="D168" t="s">
        <v>42</v>
      </c>
      <c r="E168" s="7">
        <v>44609</v>
      </c>
      <c r="F168" t="s">
        <v>9</v>
      </c>
      <c r="G168" s="20">
        <v>113280</v>
      </c>
      <c r="H168" t="s">
        <v>207</v>
      </c>
      <c r="I168" s="8">
        <f ca="1">(TODAY() - Staff[[#This Row],[Date Joined]])/365</f>
        <v>3.0082191780821916</v>
      </c>
      <c r="J168" s="19">
        <f ca="1">ROUNDUP(IF(Staff[[#This Row],[Tenure]]&gt;2,3%,2%)*Staff[[#This Row],[Salary]],0)</f>
        <v>3399</v>
      </c>
      <c r="K168" s="9">
        <f>_xlfn.XLOOKUP(Staff[[#This Row],[Rating]],Sheet4!$B$2:$B$6,Sheet4!$C$2:$C$6)</f>
        <v>1</v>
      </c>
    </row>
    <row r="169" spans="1:11" x14ac:dyDescent="0.3">
      <c r="A169" t="s">
        <v>147</v>
      </c>
      <c r="B169" t="s">
        <v>8</v>
      </c>
      <c r="C169">
        <v>30</v>
      </c>
      <c r="D169" t="s">
        <v>16</v>
      </c>
      <c r="E169" s="7">
        <v>44789</v>
      </c>
      <c r="F169" t="s">
        <v>9</v>
      </c>
      <c r="G169" s="20">
        <v>114180</v>
      </c>
      <c r="H169" t="s">
        <v>205</v>
      </c>
      <c r="I169" s="8">
        <f ca="1">(TODAY() - Staff[[#This Row],[Date Joined]])/365</f>
        <v>2.515068493150685</v>
      </c>
      <c r="J169" s="19">
        <f ca="1">ROUNDUP(IF(Staff[[#This Row],[Tenure]]&gt;2,3%,2%)*Staff[[#This Row],[Salary]],0)</f>
        <v>3426</v>
      </c>
      <c r="K169" s="9">
        <f>_xlfn.XLOOKUP(Staff[[#This Row],[Rating]],Sheet4!$B$2:$B$6,Sheet4!$C$2:$C$6)</f>
        <v>3</v>
      </c>
    </row>
    <row r="170" spans="1:11" x14ac:dyDescent="0.3">
      <c r="A170" t="s">
        <v>54</v>
      </c>
      <c r="B170" t="s">
        <v>8</v>
      </c>
      <c r="C170">
        <v>30</v>
      </c>
      <c r="D170" t="s">
        <v>16</v>
      </c>
      <c r="E170" s="7">
        <v>44850</v>
      </c>
      <c r="F170" t="s">
        <v>9</v>
      </c>
      <c r="G170" s="20">
        <v>114180</v>
      </c>
      <c r="H170" t="s">
        <v>207</v>
      </c>
      <c r="I170" s="8">
        <f ca="1">(TODAY() - Staff[[#This Row],[Date Joined]])/365</f>
        <v>2.3479452054794518</v>
      </c>
      <c r="J170" s="19">
        <f ca="1">ROUNDUP(IF(Staff[[#This Row],[Tenure]]&gt;2,3%,2%)*Staff[[#This Row],[Salary]],0)</f>
        <v>3426</v>
      </c>
      <c r="K170" s="9">
        <f>_xlfn.XLOOKUP(Staff[[#This Row],[Rating]],Sheet4!$B$2:$B$6,Sheet4!$C$2:$C$6)</f>
        <v>3</v>
      </c>
    </row>
    <row r="171" spans="1:11" x14ac:dyDescent="0.3">
      <c r="A171" t="s">
        <v>114</v>
      </c>
      <c r="B171" t="s">
        <v>8</v>
      </c>
      <c r="C171">
        <v>44</v>
      </c>
      <c r="D171" t="s">
        <v>16</v>
      </c>
      <c r="E171" s="7">
        <v>44985</v>
      </c>
      <c r="F171" t="s">
        <v>12</v>
      </c>
      <c r="G171" s="20">
        <v>114870</v>
      </c>
      <c r="H171" t="s">
        <v>205</v>
      </c>
      <c r="I171" s="8">
        <f ca="1">(TODAY() - Staff[[#This Row],[Date Joined]])/365</f>
        <v>1.978082191780822</v>
      </c>
      <c r="J171" s="19">
        <f ca="1">ROUNDUP(IF(Staff[[#This Row],[Tenure]]&gt;2,3%,2%)*Staff[[#This Row],[Salary]],0)</f>
        <v>2298</v>
      </c>
      <c r="K171" s="9">
        <f>_xlfn.XLOOKUP(Staff[[#This Row],[Rating]],Sheet4!$B$2:$B$6,Sheet4!$C$2:$C$6)</f>
        <v>3</v>
      </c>
    </row>
    <row r="172" spans="1:11" x14ac:dyDescent="0.3">
      <c r="A172" t="s">
        <v>17</v>
      </c>
      <c r="B172" t="s">
        <v>8</v>
      </c>
      <c r="C172">
        <v>43</v>
      </c>
      <c r="D172" t="s">
        <v>16</v>
      </c>
      <c r="E172" s="7">
        <v>45045</v>
      </c>
      <c r="F172" t="s">
        <v>12</v>
      </c>
      <c r="G172" s="20">
        <v>114870</v>
      </c>
      <c r="H172" t="s">
        <v>207</v>
      </c>
      <c r="I172" s="8">
        <f ca="1">(TODAY() - Staff[[#This Row],[Date Joined]])/365</f>
        <v>1.8136986301369864</v>
      </c>
      <c r="J172" s="19">
        <f ca="1">ROUNDUP(IF(Staff[[#This Row],[Tenure]]&gt;2,3%,2%)*Staff[[#This Row],[Salary]],0)</f>
        <v>2298</v>
      </c>
      <c r="K172" s="9">
        <f>_xlfn.XLOOKUP(Staff[[#This Row],[Rating]],Sheet4!$B$2:$B$6,Sheet4!$C$2:$C$6)</f>
        <v>3</v>
      </c>
    </row>
    <row r="173" spans="1:11" x14ac:dyDescent="0.3">
      <c r="A173" t="s">
        <v>175</v>
      </c>
      <c r="B173" t="s">
        <v>8</v>
      </c>
      <c r="C173">
        <v>36</v>
      </c>
      <c r="D173" t="s">
        <v>16</v>
      </c>
      <c r="E173" s="7">
        <v>44023</v>
      </c>
      <c r="F173" t="s">
        <v>9</v>
      </c>
      <c r="G173" s="20">
        <v>114890</v>
      </c>
      <c r="H173" t="s">
        <v>205</v>
      </c>
      <c r="I173" s="8">
        <f ca="1">(TODAY() - Staff[[#This Row],[Date Joined]])/365</f>
        <v>4.6136986301369864</v>
      </c>
      <c r="J173" s="19">
        <f ca="1">ROUNDUP(IF(Staff[[#This Row],[Tenure]]&gt;2,3%,2%)*Staff[[#This Row],[Salary]],0)</f>
        <v>3447</v>
      </c>
      <c r="K173" s="9">
        <f>_xlfn.XLOOKUP(Staff[[#This Row],[Rating]],Sheet4!$B$2:$B$6,Sheet4!$C$2:$C$6)</f>
        <v>3</v>
      </c>
    </row>
    <row r="174" spans="1:11" x14ac:dyDescent="0.3">
      <c r="A174" t="s">
        <v>83</v>
      </c>
      <c r="B174" t="s">
        <v>8</v>
      </c>
      <c r="C174">
        <v>36</v>
      </c>
      <c r="D174" t="s">
        <v>16</v>
      </c>
      <c r="E174" s="7">
        <v>44085</v>
      </c>
      <c r="F174" t="s">
        <v>9</v>
      </c>
      <c r="G174" s="20">
        <v>114890</v>
      </c>
      <c r="H174" t="s">
        <v>207</v>
      </c>
      <c r="I174" s="8">
        <f ca="1">(TODAY() - Staff[[#This Row],[Date Joined]])/365</f>
        <v>4.4438356164383563</v>
      </c>
      <c r="J174" s="19">
        <f ca="1">ROUNDUP(IF(Staff[[#This Row],[Tenure]]&gt;2,3%,2%)*Staff[[#This Row],[Salary]],0)</f>
        <v>3447</v>
      </c>
      <c r="K174" s="9">
        <f>_xlfn.XLOOKUP(Staff[[#This Row],[Rating]],Sheet4!$B$2:$B$6,Sheet4!$C$2:$C$6)</f>
        <v>3</v>
      </c>
    </row>
    <row r="175" spans="1:11" x14ac:dyDescent="0.3">
      <c r="A175" t="s">
        <v>142</v>
      </c>
      <c r="B175" t="s">
        <v>206</v>
      </c>
      <c r="C175">
        <v>37</v>
      </c>
      <c r="D175" t="s">
        <v>24</v>
      </c>
      <c r="E175" s="7">
        <v>44085</v>
      </c>
      <c r="F175" t="s">
        <v>21</v>
      </c>
      <c r="G175" s="20">
        <v>115440</v>
      </c>
      <c r="H175" t="s">
        <v>205</v>
      </c>
      <c r="I175" s="8">
        <f ca="1">(TODAY() - Staff[[#This Row],[Date Joined]])/365</f>
        <v>4.4438356164383563</v>
      </c>
      <c r="J175" s="19">
        <f ca="1">ROUNDUP(IF(Staff[[#This Row],[Tenure]]&gt;2,3%,2%)*Staff[[#This Row],[Salary]],0)</f>
        <v>3464</v>
      </c>
      <c r="K175" s="9">
        <f>_xlfn.XLOOKUP(Staff[[#This Row],[Rating]],Sheet4!$B$2:$B$6,Sheet4!$C$2:$C$6)</f>
        <v>2</v>
      </c>
    </row>
    <row r="176" spans="1:11" x14ac:dyDescent="0.3">
      <c r="A176" t="s">
        <v>49</v>
      </c>
      <c r="B176" t="s">
        <v>206</v>
      </c>
      <c r="C176">
        <v>37</v>
      </c>
      <c r="D176" t="s">
        <v>24</v>
      </c>
      <c r="E176" s="7">
        <v>44146</v>
      </c>
      <c r="F176" t="s">
        <v>21</v>
      </c>
      <c r="G176" s="20">
        <v>115440</v>
      </c>
      <c r="H176" t="s">
        <v>207</v>
      </c>
      <c r="I176" s="8">
        <f ca="1">(TODAY() - Staff[[#This Row],[Date Joined]])/365</f>
        <v>4.2767123287671236</v>
      </c>
      <c r="J176" s="19">
        <f ca="1">ROUNDUP(IF(Staff[[#This Row],[Tenure]]&gt;2,3%,2%)*Staff[[#This Row],[Salary]],0)</f>
        <v>3464</v>
      </c>
      <c r="K176" s="9">
        <f>_xlfn.XLOOKUP(Staff[[#This Row],[Rating]],Sheet4!$B$2:$B$6,Sheet4!$C$2:$C$6)</f>
        <v>2</v>
      </c>
    </row>
    <row r="177" spans="1:11" x14ac:dyDescent="0.3">
      <c r="A177" t="s">
        <v>134</v>
      </c>
      <c r="B177" t="s">
        <v>15</v>
      </c>
      <c r="C177">
        <v>33</v>
      </c>
      <c r="D177" t="s">
        <v>16</v>
      </c>
      <c r="E177" s="7">
        <v>44103</v>
      </c>
      <c r="F177" t="s">
        <v>9</v>
      </c>
      <c r="G177" s="20">
        <v>115920</v>
      </c>
      <c r="H177" t="s">
        <v>205</v>
      </c>
      <c r="I177" s="8">
        <f ca="1">(TODAY() - Staff[[#This Row],[Date Joined]])/365</f>
        <v>4.3945205479452056</v>
      </c>
      <c r="J177" s="19">
        <f ca="1">ROUNDUP(IF(Staff[[#This Row],[Tenure]]&gt;2,3%,2%)*Staff[[#This Row],[Salary]],0)</f>
        <v>3478</v>
      </c>
      <c r="K177" s="9">
        <f>_xlfn.XLOOKUP(Staff[[#This Row],[Rating]],Sheet4!$B$2:$B$6,Sheet4!$C$2:$C$6)</f>
        <v>3</v>
      </c>
    </row>
    <row r="178" spans="1:11" x14ac:dyDescent="0.3">
      <c r="A178" t="s">
        <v>40</v>
      </c>
      <c r="B178" t="s">
        <v>15</v>
      </c>
      <c r="C178">
        <v>33</v>
      </c>
      <c r="D178" t="s">
        <v>16</v>
      </c>
      <c r="E178" s="7">
        <v>44164</v>
      </c>
      <c r="F178" t="s">
        <v>9</v>
      </c>
      <c r="G178" s="20">
        <v>115920</v>
      </c>
      <c r="H178" t="s">
        <v>207</v>
      </c>
      <c r="I178" s="8">
        <f ca="1">(TODAY() - Staff[[#This Row],[Date Joined]])/365</f>
        <v>4.2273972602739729</v>
      </c>
      <c r="J178" s="19">
        <f ca="1">ROUNDUP(IF(Staff[[#This Row],[Tenure]]&gt;2,3%,2%)*Staff[[#This Row],[Salary]],0)</f>
        <v>3478</v>
      </c>
      <c r="K178" s="9">
        <f>_xlfn.XLOOKUP(Staff[[#This Row],[Rating]],Sheet4!$B$2:$B$6,Sheet4!$C$2:$C$6)</f>
        <v>3</v>
      </c>
    </row>
    <row r="179" spans="1:11" x14ac:dyDescent="0.3">
      <c r="A179" t="s">
        <v>148</v>
      </c>
      <c r="B179" t="s">
        <v>8</v>
      </c>
      <c r="C179">
        <v>37</v>
      </c>
      <c r="D179" t="s">
        <v>16</v>
      </c>
      <c r="E179" s="7">
        <v>44389</v>
      </c>
      <c r="F179" t="s">
        <v>56</v>
      </c>
      <c r="G179" s="20">
        <v>118100</v>
      </c>
      <c r="H179" t="s">
        <v>205</v>
      </c>
      <c r="I179" s="8">
        <f ca="1">(TODAY() - Staff[[#This Row],[Date Joined]])/365</f>
        <v>3.6109589041095891</v>
      </c>
      <c r="J179" s="19">
        <f ca="1">ROUNDUP(IF(Staff[[#This Row],[Tenure]]&gt;2,3%,2%)*Staff[[#This Row],[Salary]],0)</f>
        <v>3543</v>
      </c>
      <c r="K179" s="9">
        <f>_xlfn.XLOOKUP(Staff[[#This Row],[Rating]],Sheet4!$B$2:$B$6,Sheet4!$C$2:$C$6)</f>
        <v>3</v>
      </c>
    </row>
    <row r="180" spans="1:11" x14ac:dyDescent="0.3">
      <c r="A180" t="s">
        <v>55</v>
      </c>
      <c r="B180" t="s">
        <v>8</v>
      </c>
      <c r="C180">
        <v>37</v>
      </c>
      <c r="D180" t="s">
        <v>16</v>
      </c>
      <c r="E180" s="7">
        <v>44451</v>
      </c>
      <c r="F180" t="s">
        <v>56</v>
      </c>
      <c r="G180" s="20">
        <v>132000</v>
      </c>
      <c r="H180" t="s">
        <v>207</v>
      </c>
      <c r="I180" s="8">
        <f ca="1">(TODAY() - Staff[[#This Row],[Date Joined]])/365</f>
        <v>3.441095890410959</v>
      </c>
      <c r="J180" s="19">
        <f ca="1">ROUNDUP(IF(Staff[[#This Row],[Tenure]]&gt;2,3%,2%)*Staff[[#This Row],[Salary]],0)</f>
        <v>3960</v>
      </c>
      <c r="K180" s="9">
        <f>_xlfn.XLOOKUP(Staff[[#This Row],[Rating]],Sheet4!$B$2:$B$6,Sheet4!$C$2:$C$6)</f>
        <v>3</v>
      </c>
    </row>
    <row r="181" spans="1:11" x14ac:dyDescent="0.3">
      <c r="A181" t="s">
        <v>199</v>
      </c>
      <c r="B181" t="s">
        <v>15</v>
      </c>
      <c r="C181">
        <v>36</v>
      </c>
      <c r="D181" t="s">
        <v>16</v>
      </c>
      <c r="E181" s="7">
        <v>43958</v>
      </c>
      <c r="F181" t="s">
        <v>12</v>
      </c>
      <c r="G181" s="20">
        <v>148000</v>
      </c>
      <c r="H181" t="s">
        <v>205</v>
      </c>
      <c r="I181" s="8">
        <f ca="1">(TODAY() - Staff[[#This Row],[Date Joined]])/365</f>
        <v>4.7917808219178086</v>
      </c>
      <c r="J181" s="19">
        <f ca="1">ROUNDUP(IF(Staff[[#This Row],[Tenure]]&gt;2,3%,2%)*Staff[[#This Row],[Salary]],0)</f>
        <v>4440</v>
      </c>
      <c r="K181" s="9">
        <f>_xlfn.XLOOKUP(Staff[[#This Row],[Rating]],Sheet4!$B$2:$B$6,Sheet4!$C$2:$C$6)</f>
        <v>3</v>
      </c>
    </row>
    <row r="182" spans="1:11" x14ac:dyDescent="0.3">
      <c r="A182" t="s">
        <v>106</v>
      </c>
      <c r="B182" t="s">
        <v>15</v>
      </c>
      <c r="C182">
        <v>36</v>
      </c>
      <c r="D182" t="s">
        <v>16</v>
      </c>
      <c r="E182" s="7">
        <v>44019</v>
      </c>
      <c r="F182" t="s">
        <v>12</v>
      </c>
      <c r="G182" s="20">
        <v>137000</v>
      </c>
      <c r="H182" t="s">
        <v>207</v>
      </c>
      <c r="I182" s="8">
        <f ca="1">(TODAY() - Staff[[#This Row],[Date Joined]])/365</f>
        <v>4.624657534246575</v>
      </c>
      <c r="J182" s="19">
        <f ca="1">ROUNDUP(IF(Staff[[#This Row],[Tenure]]&gt;2,3%,2%)*Staff[[#This Row],[Salary]],0)</f>
        <v>4110</v>
      </c>
      <c r="K182" s="9">
        <f>_xlfn.XLOOKUP(Staff[[#This Row],[Rating]],Sheet4!$B$2:$B$6,Sheet4!$C$2:$C$6)</f>
        <v>3</v>
      </c>
    </row>
    <row r="183" spans="1:11" x14ac:dyDescent="0.3">
      <c r="A183" t="s">
        <v>152</v>
      </c>
      <c r="B183" t="s">
        <v>8</v>
      </c>
      <c r="C183">
        <v>27</v>
      </c>
      <c r="D183" t="s">
        <v>16</v>
      </c>
      <c r="E183" s="7">
        <v>44061</v>
      </c>
      <c r="F183" t="s">
        <v>56</v>
      </c>
      <c r="G183" s="20">
        <v>119110</v>
      </c>
      <c r="H183" t="s">
        <v>205</v>
      </c>
      <c r="I183" s="8">
        <f ca="1">(TODAY() - Staff[[#This Row],[Date Joined]])/365</f>
        <v>4.5095890410958903</v>
      </c>
      <c r="J183" s="19">
        <f ca="1">ROUNDUP(IF(Staff[[#This Row],[Tenure]]&gt;2,3%,2%)*Staff[[#This Row],[Salary]],0)</f>
        <v>3574</v>
      </c>
      <c r="K183" s="9">
        <f>_xlfn.XLOOKUP(Staff[[#This Row],[Rating]],Sheet4!$B$2:$B$6,Sheet4!$C$2:$C$6)</f>
        <v>3</v>
      </c>
    </row>
    <row r="184" spans="1:11" x14ac:dyDescent="0.3">
      <c r="A184" t="s">
        <v>60</v>
      </c>
      <c r="B184" t="s">
        <v>8</v>
      </c>
      <c r="C184">
        <v>27</v>
      </c>
      <c r="D184" t="s">
        <v>16</v>
      </c>
      <c r="E184" s="7">
        <v>44122</v>
      </c>
      <c r="F184" t="s">
        <v>56</v>
      </c>
      <c r="G184" s="20">
        <v>119110</v>
      </c>
      <c r="H184" t="s">
        <v>207</v>
      </c>
      <c r="I184" s="8">
        <f ca="1">(TODAY() - Staff[[#This Row],[Date Joined]])/365</f>
        <v>4.3424657534246576</v>
      </c>
      <c r="J184" s="19">
        <f ca="1">ROUNDUP(IF(Staff[[#This Row],[Tenure]]&gt;2,3%,2%)*Staff[[#This Row],[Salary]],0)</f>
        <v>3574</v>
      </c>
      <c r="K184" s="9">
        <f>_xlfn.XLOOKUP(Staff[[#This Row],[Rating]],Sheet4!$B$2:$B$6,Sheet4!$C$2:$C$6)</f>
        <v>3</v>
      </c>
    </row>
    <row r="185" spans="1:11" x14ac:dyDescent="0.3">
      <c r="I185" s="8">
        <f ca="1">SUM(I2:I184)</f>
        <v>638.72876712328718</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F79-E0A2-4744-AD6E-A7CD29FAF861}">
  <dimension ref="A1"/>
  <sheetViews>
    <sheetView workbookViewId="0">
      <selection activeCell="I22" sqref="I22"/>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B1AB-B72A-4043-AEEB-583E0C9FF32F}">
  <dimension ref="B5:D11"/>
  <sheetViews>
    <sheetView topLeftCell="A5" workbookViewId="0">
      <selection activeCell="F22" sqref="F22"/>
    </sheetView>
  </sheetViews>
  <sheetFormatPr defaultRowHeight="14.4" x14ac:dyDescent="0.3"/>
  <cols>
    <col min="2" max="2" width="13.109375" bestFit="1" customWidth="1"/>
    <col min="3" max="3" width="13.88671875" bestFit="1" customWidth="1"/>
    <col min="4" max="4" width="15.77734375" bestFit="1" customWidth="1"/>
  </cols>
  <sheetData>
    <row r="5" spans="2:4" x14ac:dyDescent="0.3">
      <c r="B5" s="15" t="s">
        <v>231</v>
      </c>
      <c r="C5" t="s">
        <v>225</v>
      </c>
      <c r="D5" t="s">
        <v>228</v>
      </c>
    </row>
    <row r="6" spans="2:4" x14ac:dyDescent="0.3">
      <c r="B6" s="16" t="s">
        <v>10</v>
      </c>
      <c r="C6">
        <v>4</v>
      </c>
      <c r="D6" s="19">
        <v>92080</v>
      </c>
    </row>
    <row r="7" spans="2:4" x14ac:dyDescent="0.3">
      <c r="B7" s="16" t="s">
        <v>13</v>
      </c>
      <c r="C7">
        <v>20</v>
      </c>
      <c r="D7" s="19">
        <v>75933</v>
      </c>
    </row>
    <row r="8" spans="2:4" x14ac:dyDescent="0.3">
      <c r="B8" s="16" t="s">
        <v>16</v>
      </c>
      <c r="C8">
        <v>137</v>
      </c>
      <c r="D8" s="19">
        <v>76798.759124087592</v>
      </c>
    </row>
    <row r="9" spans="2:4" x14ac:dyDescent="0.3">
      <c r="B9" s="16" t="s">
        <v>24</v>
      </c>
      <c r="C9">
        <v>16</v>
      </c>
      <c r="D9" s="19">
        <v>78115</v>
      </c>
    </row>
    <row r="10" spans="2:4" x14ac:dyDescent="0.3">
      <c r="B10" s="16" t="s">
        <v>42</v>
      </c>
      <c r="C10">
        <v>6</v>
      </c>
      <c r="D10" s="19">
        <v>77423.333333333328</v>
      </c>
    </row>
    <row r="11" spans="2:4" x14ac:dyDescent="0.3">
      <c r="B11" s="16" t="s">
        <v>224</v>
      </c>
      <c r="C11">
        <v>183</v>
      </c>
      <c r="D11" s="19">
        <v>77173.715846994543</v>
      </c>
    </row>
  </sheetData>
  <conditionalFormatting pivot="1" sqref="D6:D10">
    <cfRule type="dataBar" priority="1">
      <dataBar>
        <cfvo type="min"/>
        <cfvo type="max"/>
        <color rgb="FF008AEF"/>
      </dataBar>
      <extLst>
        <ext xmlns:x14="http://schemas.microsoft.com/office/spreadsheetml/2009/9/main" uri="{B025F937-C7B1-47D3-B67F-A62EFF666E3E}">
          <x14:id>{8F6E2D83-0470-446A-8EE2-BB51D5D0F1FF}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F6E2D83-0470-446A-8EE2-BB51D5D0F1FF}">
            <x14:dataBar minLength="0" maxLength="100" border="1" negativeBarBorderColorSameAsPositive="0">
              <x14:cfvo type="autoMin"/>
              <x14:cfvo type="autoMax"/>
              <x14:borderColor rgb="FF008AEF"/>
              <x14:negativeFillColor rgb="FFFF0000"/>
              <x14:negativeBorderColor rgb="FFFF0000"/>
              <x14:axisColor rgb="FF000000"/>
            </x14:dataBar>
          </x14:cfRule>
          <xm:sqref>D6:D10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6D7F2-435A-4E14-9EB5-1F3C586C698D}">
  <dimension ref="C6:AA44"/>
  <sheetViews>
    <sheetView workbookViewId="0">
      <selection activeCell="Q29" sqref="Q29"/>
    </sheetView>
  </sheetViews>
  <sheetFormatPr defaultRowHeight="14.4" x14ac:dyDescent="0.3"/>
  <cols>
    <col min="3" max="3" width="12.5546875" bestFit="1" customWidth="1"/>
    <col min="4" max="4" width="13.88671875" bestFit="1" customWidth="1"/>
    <col min="25" max="26" width="9.88671875" bestFit="1" customWidth="1"/>
    <col min="27" max="27" width="12.109375" bestFit="1" customWidth="1"/>
  </cols>
  <sheetData>
    <row r="6" spans="3:27" x14ac:dyDescent="0.3">
      <c r="Y6" t="s">
        <v>249</v>
      </c>
      <c r="Z6" t="s">
        <v>250</v>
      </c>
      <c r="AA6" t="s">
        <v>251</v>
      </c>
    </row>
    <row r="7" spans="3:27" x14ac:dyDescent="0.3">
      <c r="C7" s="15" t="s">
        <v>231</v>
      </c>
      <c r="D7" t="s">
        <v>225</v>
      </c>
      <c r="X7" cm="1">
        <f t="array" ref="X7:X42">_xlfn.SEQUENCE(36)</f>
        <v>1</v>
      </c>
      <c r="Y7" s="25" cm="1">
        <f t="array" ref="Y7:Y42">EDATE(DATE(2020,4,1),_xlfn.ANCHORARRAY(X7)+0)</f>
        <v>43952</v>
      </c>
      <c r="Z7">
        <f>COUNTIFS(Staff[Date Joined],"&gt;="&amp;Y7, Staff[Date Joined],"&lt;="&amp;EOMONTH(Y7,0))</f>
        <v>3</v>
      </c>
      <c r="AA7">
        <f>SUM($Z$7:Z7)</f>
        <v>3</v>
      </c>
    </row>
    <row r="8" spans="3:27" x14ac:dyDescent="0.3">
      <c r="C8" s="16" t="s">
        <v>233</v>
      </c>
      <c r="X8">
        <v>2</v>
      </c>
      <c r="Y8" s="25">
        <v>43983</v>
      </c>
      <c r="Z8">
        <f>COUNTIFS(Staff[Date Joined],"&gt;="&amp;Y8, Staff[Date Joined],"&lt;="&amp;EOMONTH(Y8,0))</f>
        <v>1</v>
      </c>
      <c r="AA8">
        <f>SUM($Z$7:Z8)</f>
        <v>4</v>
      </c>
    </row>
    <row r="9" spans="3:27" x14ac:dyDescent="0.3">
      <c r="C9" s="24" t="s">
        <v>234</v>
      </c>
      <c r="D9">
        <v>3</v>
      </c>
      <c r="X9">
        <v>3</v>
      </c>
      <c r="Y9" s="25">
        <v>44013</v>
      </c>
      <c r="Z9">
        <f>COUNTIFS(Staff[Date Joined],"&gt;="&amp;Y9, Staff[Date Joined],"&lt;="&amp;EOMONTH(Y9,0))</f>
        <v>5</v>
      </c>
      <c r="AA9">
        <f>SUM($Z$7:Z9)</f>
        <v>9</v>
      </c>
    </row>
    <row r="10" spans="3:27" x14ac:dyDescent="0.3">
      <c r="C10" s="24" t="s">
        <v>235</v>
      </c>
      <c r="D10">
        <v>4</v>
      </c>
      <c r="X10">
        <v>4</v>
      </c>
      <c r="Y10" s="25">
        <v>44044</v>
      </c>
      <c r="Z10">
        <f>COUNTIFS(Staff[Date Joined],"&gt;="&amp;Y10, Staff[Date Joined],"&lt;="&amp;EOMONTH(Y10,0))</f>
        <v>3</v>
      </c>
      <c r="AA10">
        <f>SUM($Z$7:Z10)</f>
        <v>12</v>
      </c>
    </row>
    <row r="11" spans="3:27" x14ac:dyDescent="0.3">
      <c r="C11" s="24" t="s">
        <v>236</v>
      </c>
      <c r="D11">
        <v>9</v>
      </c>
      <c r="X11">
        <v>5</v>
      </c>
      <c r="Y11" s="25">
        <v>44075</v>
      </c>
      <c r="Z11">
        <f>COUNTIFS(Staff[Date Joined],"&gt;="&amp;Y11, Staff[Date Joined],"&lt;="&amp;EOMONTH(Y11,0))</f>
        <v>6</v>
      </c>
      <c r="AA11">
        <f>SUM($Z$7:Z11)</f>
        <v>18</v>
      </c>
    </row>
    <row r="12" spans="3:27" x14ac:dyDescent="0.3">
      <c r="C12" s="24" t="s">
        <v>237</v>
      </c>
      <c r="D12">
        <v>12</v>
      </c>
      <c r="X12">
        <v>6</v>
      </c>
      <c r="Y12" s="25">
        <v>44105</v>
      </c>
      <c r="Z12">
        <f>COUNTIFS(Staff[Date Joined],"&gt;="&amp;Y12, Staff[Date Joined],"&lt;="&amp;EOMONTH(Y12,0))</f>
        <v>6</v>
      </c>
      <c r="AA12">
        <f>SUM($Z$7:Z12)</f>
        <v>24</v>
      </c>
    </row>
    <row r="13" spans="3:27" x14ac:dyDescent="0.3">
      <c r="C13" s="24" t="s">
        <v>238</v>
      </c>
      <c r="D13">
        <v>18</v>
      </c>
      <c r="X13">
        <v>7</v>
      </c>
      <c r="Y13" s="25">
        <v>44136</v>
      </c>
      <c r="Z13">
        <f>COUNTIFS(Staff[Date Joined],"&gt;="&amp;Y13, Staff[Date Joined],"&lt;="&amp;EOMONTH(Y13,0))</f>
        <v>6</v>
      </c>
      <c r="AA13">
        <f>SUM($Z$7:Z13)</f>
        <v>30</v>
      </c>
    </row>
    <row r="14" spans="3:27" x14ac:dyDescent="0.3">
      <c r="C14" s="24" t="s">
        <v>239</v>
      </c>
      <c r="D14">
        <v>24</v>
      </c>
      <c r="X14">
        <v>8</v>
      </c>
      <c r="Y14" s="25">
        <v>44166</v>
      </c>
      <c r="Z14">
        <f>COUNTIFS(Staff[Date Joined],"&gt;="&amp;Y14, Staff[Date Joined],"&lt;="&amp;EOMONTH(Y14,0))</f>
        <v>7</v>
      </c>
      <c r="AA14">
        <f>SUM($Z$7:Z14)</f>
        <v>37</v>
      </c>
    </row>
    <row r="15" spans="3:27" x14ac:dyDescent="0.3">
      <c r="C15" s="24" t="s">
        <v>240</v>
      </c>
      <c r="D15">
        <v>30</v>
      </c>
      <c r="X15">
        <v>9</v>
      </c>
      <c r="Y15" s="25">
        <v>44197</v>
      </c>
      <c r="Z15">
        <f>COUNTIFS(Staff[Date Joined],"&gt;="&amp;Y15, Staff[Date Joined],"&lt;="&amp;EOMONTH(Y15,0))</f>
        <v>6</v>
      </c>
      <c r="AA15">
        <f>SUM($Z$7:Z15)</f>
        <v>43</v>
      </c>
    </row>
    <row r="16" spans="3:27" x14ac:dyDescent="0.3">
      <c r="C16" s="24" t="s">
        <v>241</v>
      </c>
      <c r="D16">
        <v>37</v>
      </c>
      <c r="X16">
        <v>10</v>
      </c>
      <c r="Y16" s="25">
        <v>44228</v>
      </c>
      <c r="Z16">
        <f>COUNTIFS(Staff[Date Joined],"&gt;="&amp;Y16, Staff[Date Joined],"&lt;="&amp;EOMONTH(Y16,0))</f>
        <v>4</v>
      </c>
      <c r="AA16">
        <f>SUM($Z$7:Z16)</f>
        <v>47</v>
      </c>
    </row>
    <row r="17" spans="3:27" x14ac:dyDescent="0.3">
      <c r="C17" s="16" t="s">
        <v>242</v>
      </c>
      <c r="X17">
        <v>11</v>
      </c>
      <c r="Y17" s="25">
        <v>44256</v>
      </c>
      <c r="Z17">
        <f>COUNTIFS(Staff[Date Joined],"&gt;="&amp;Y17, Staff[Date Joined],"&lt;="&amp;EOMONTH(Y17,0))</f>
        <v>9</v>
      </c>
      <c r="AA17">
        <f>SUM($Z$7:Z17)</f>
        <v>56</v>
      </c>
    </row>
    <row r="18" spans="3:27" x14ac:dyDescent="0.3">
      <c r="C18" s="24" t="s">
        <v>243</v>
      </c>
      <c r="D18">
        <v>6</v>
      </c>
      <c r="X18">
        <v>12</v>
      </c>
      <c r="Y18" s="25">
        <v>44287</v>
      </c>
      <c r="Z18">
        <f>COUNTIFS(Staff[Date Joined],"&gt;="&amp;Y18, Staff[Date Joined],"&lt;="&amp;EOMONTH(Y18,0))</f>
        <v>5</v>
      </c>
      <c r="AA18">
        <f>SUM($Z$7:Z18)</f>
        <v>61</v>
      </c>
    </row>
    <row r="19" spans="3:27" x14ac:dyDescent="0.3">
      <c r="C19" s="24" t="s">
        <v>244</v>
      </c>
      <c r="D19">
        <v>10</v>
      </c>
      <c r="X19">
        <v>13</v>
      </c>
      <c r="Y19" s="25">
        <v>44317</v>
      </c>
      <c r="Z19">
        <f>COUNTIFS(Staff[Date Joined],"&gt;="&amp;Y19, Staff[Date Joined],"&lt;="&amp;EOMONTH(Y19,0))</f>
        <v>10</v>
      </c>
      <c r="AA19">
        <f>SUM($Z$7:Z19)</f>
        <v>71</v>
      </c>
    </row>
    <row r="20" spans="3:27" x14ac:dyDescent="0.3">
      <c r="C20" s="24" t="s">
        <v>245</v>
      </c>
      <c r="D20">
        <v>19</v>
      </c>
      <c r="X20">
        <v>14</v>
      </c>
      <c r="Y20" s="25">
        <v>44348</v>
      </c>
      <c r="Z20">
        <f>COUNTIFS(Staff[Date Joined],"&gt;="&amp;Y20, Staff[Date Joined],"&lt;="&amp;EOMONTH(Y20,0))</f>
        <v>6</v>
      </c>
      <c r="AA20">
        <f>SUM($Z$7:Z20)</f>
        <v>77</v>
      </c>
    </row>
    <row r="21" spans="3:27" x14ac:dyDescent="0.3">
      <c r="C21" s="24" t="s">
        <v>246</v>
      </c>
      <c r="D21">
        <v>24</v>
      </c>
      <c r="X21">
        <v>15</v>
      </c>
      <c r="Y21" s="25">
        <v>44378</v>
      </c>
      <c r="Z21">
        <f>COUNTIFS(Staff[Date Joined],"&gt;="&amp;Y21, Staff[Date Joined],"&lt;="&amp;EOMONTH(Y21,0))</f>
        <v>13</v>
      </c>
      <c r="AA21">
        <f>SUM($Z$7:Z21)</f>
        <v>90</v>
      </c>
    </row>
    <row r="22" spans="3:27" x14ac:dyDescent="0.3">
      <c r="C22" s="24" t="s">
        <v>234</v>
      </c>
      <c r="D22">
        <v>34</v>
      </c>
      <c r="X22">
        <v>16</v>
      </c>
      <c r="Y22" s="25">
        <v>44409</v>
      </c>
      <c r="Z22">
        <f>COUNTIFS(Staff[Date Joined],"&gt;="&amp;Y22, Staff[Date Joined],"&lt;="&amp;EOMONTH(Y22,0))</f>
        <v>4</v>
      </c>
      <c r="AA22">
        <f>SUM($Z$7:Z22)</f>
        <v>94</v>
      </c>
    </row>
    <row r="23" spans="3:27" x14ac:dyDescent="0.3">
      <c r="C23" s="24" t="s">
        <v>235</v>
      </c>
      <c r="D23">
        <v>40</v>
      </c>
      <c r="X23">
        <v>17</v>
      </c>
      <c r="Y23" s="25">
        <v>44440</v>
      </c>
      <c r="Z23">
        <f>COUNTIFS(Staff[Date Joined],"&gt;="&amp;Y23, Staff[Date Joined],"&lt;="&amp;EOMONTH(Y23,0))</f>
        <v>11</v>
      </c>
      <c r="AA23">
        <f>SUM($Z$7:Z23)</f>
        <v>105</v>
      </c>
    </row>
    <row r="24" spans="3:27" x14ac:dyDescent="0.3">
      <c r="C24" s="24" t="s">
        <v>236</v>
      </c>
      <c r="D24">
        <v>53</v>
      </c>
      <c r="X24">
        <v>18</v>
      </c>
      <c r="Y24" s="25">
        <v>44470</v>
      </c>
      <c r="Z24">
        <f>COUNTIFS(Staff[Date Joined],"&gt;="&amp;Y24, Staff[Date Joined],"&lt;="&amp;EOMONTH(Y24,0))</f>
        <v>3</v>
      </c>
      <c r="AA24">
        <f>SUM($Z$7:Z24)</f>
        <v>108</v>
      </c>
    </row>
    <row r="25" spans="3:27" x14ac:dyDescent="0.3">
      <c r="C25" s="24" t="s">
        <v>237</v>
      </c>
      <c r="D25">
        <v>57</v>
      </c>
      <c r="X25">
        <v>19</v>
      </c>
      <c r="Y25" s="25">
        <v>44501</v>
      </c>
      <c r="Z25">
        <f>COUNTIFS(Staff[Date Joined],"&gt;="&amp;Y25, Staff[Date Joined],"&lt;="&amp;EOMONTH(Y25,0))</f>
        <v>4</v>
      </c>
      <c r="AA25">
        <f>SUM($Z$7:Z25)</f>
        <v>112</v>
      </c>
    </row>
    <row r="26" spans="3:27" x14ac:dyDescent="0.3">
      <c r="C26" s="24" t="s">
        <v>238</v>
      </c>
      <c r="D26">
        <v>68</v>
      </c>
      <c r="X26">
        <v>20</v>
      </c>
      <c r="Y26" s="25">
        <v>44531</v>
      </c>
      <c r="Z26">
        <f>COUNTIFS(Staff[Date Joined],"&gt;="&amp;Y26, Staff[Date Joined],"&lt;="&amp;EOMONTH(Y26,0))</f>
        <v>7</v>
      </c>
      <c r="AA26">
        <f>SUM($Z$7:Z26)</f>
        <v>119</v>
      </c>
    </row>
    <row r="27" spans="3:27" x14ac:dyDescent="0.3">
      <c r="C27" s="24" t="s">
        <v>239</v>
      </c>
      <c r="D27">
        <v>71</v>
      </c>
      <c r="X27">
        <v>21</v>
      </c>
      <c r="Y27" s="25">
        <v>44562</v>
      </c>
      <c r="Z27">
        <f>COUNTIFS(Staff[Date Joined],"&gt;="&amp;Y27, Staff[Date Joined],"&lt;="&amp;EOMONTH(Y27,0))</f>
        <v>3</v>
      </c>
      <c r="AA27">
        <f>SUM($Z$7:Z27)</f>
        <v>122</v>
      </c>
    </row>
    <row r="28" spans="3:27" x14ac:dyDescent="0.3">
      <c r="C28" s="24" t="s">
        <v>240</v>
      </c>
      <c r="D28">
        <v>75</v>
      </c>
      <c r="X28">
        <v>22</v>
      </c>
      <c r="Y28" s="25">
        <v>44593</v>
      </c>
      <c r="Z28">
        <f>COUNTIFS(Staff[Date Joined],"&gt;="&amp;Y28, Staff[Date Joined],"&lt;="&amp;EOMONTH(Y28,0))</f>
        <v>10</v>
      </c>
      <c r="AA28">
        <f>SUM($Z$7:Z28)</f>
        <v>132</v>
      </c>
    </row>
    <row r="29" spans="3:27" x14ac:dyDescent="0.3">
      <c r="C29" s="24" t="s">
        <v>241</v>
      </c>
      <c r="D29">
        <v>82</v>
      </c>
      <c r="X29">
        <v>23</v>
      </c>
      <c r="Y29" s="25">
        <v>44621</v>
      </c>
      <c r="Z29">
        <f>COUNTIFS(Staff[Date Joined],"&gt;="&amp;Y29, Staff[Date Joined],"&lt;="&amp;EOMONTH(Y29,0))</f>
        <v>9</v>
      </c>
      <c r="AA29">
        <f>SUM($Z$7:Z29)</f>
        <v>141</v>
      </c>
    </row>
    <row r="30" spans="3:27" x14ac:dyDescent="0.3">
      <c r="C30" s="16" t="s">
        <v>247</v>
      </c>
      <c r="X30">
        <v>24</v>
      </c>
      <c r="Y30" s="25">
        <v>44652</v>
      </c>
      <c r="Z30">
        <f>COUNTIFS(Staff[Date Joined],"&gt;="&amp;Y30, Staff[Date Joined],"&lt;="&amp;EOMONTH(Y30,0))</f>
        <v>9</v>
      </c>
      <c r="AA30">
        <f>SUM($Z$7:Z30)</f>
        <v>150</v>
      </c>
    </row>
    <row r="31" spans="3:27" x14ac:dyDescent="0.3">
      <c r="C31" s="24" t="s">
        <v>243</v>
      </c>
      <c r="D31">
        <v>3</v>
      </c>
      <c r="X31">
        <v>25</v>
      </c>
      <c r="Y31" s="25">
        <v>44682</v>
      </c>
      <c r="Z31">
        <f>COUNTIFS(Staff[Date Joined],"&gt;="&amp;Y31, Staff[Date Joined],"&lt;="&amp;EOMONTH(Y31,0))</f>
        <v>9</v>
      </c>
      <c r="AA31">
        <f>SUM($Z$7:Z31)</f>
        <v>159</v>
      </c>
    </row>
    <row r="32" spans="3:27" x14ac:dyDescent="0.3">
      <c r="C32" s="24" t="s">
        <v>244</v>
      </c>
      <c r="D32">
        <v>13</v>
      </c>
      <c r="X32">
        <v>26</v>
      </c>
      <c r="Y32" s="25">
        <v>44713</v>
      </c>
      <c r="Z32">
        <f>COUNTIFS(Staff[Date Joined],"&gt;="&amp;Y32, Staff[Date Joined],"&lt;="&amp;EOMONTH(Y32,0))</f>
        <v>7</v>
      </c>
      <c r="AA32">
        <f>SUM($Z$7:Z32)</f>
        <v>166</v>
      </c>
    </row>
    <row r="33" spans="3:27" x14ac:dyDescent="0.3">
      <c r="C33" s="24" t="s">
        <v>245</v>
      </c>
      <c r="D33">
        <v>22</v>
      </c>
      <c r="X33">
        <v>27</v>
      </c>
      <c r="Y33" s="25">
        <v>44743</v>
      </c>
      <c r="Z33">
        <f>COUNTIFS(Staff[Date Joined],"&gt;="&amp;Y33, Staff[Date Joined],"&lt;="&amp;EOMONTH(Y33,0))</f>
        <v>5</v>
      </c>
      <c r="AA33">
        <f>SUM($Z$7:Z33)</f>
        <v>171</v>
      </c>
    </row>
    <row r="34" spans="3:27" x14ac:dyDescent="0.3">
      <c r="C34" s="24" t="s">
        <v>246</v>
      </c>
      <c r="D34">
        <v>31</v>
      </c>
      <c r="X34">
        <v>28</v>
      </c>
      <c r="Y34" s="25">
        <v>44774</v>
      </c>
      <c r="Z34">
        <f>COUNTIFS(Staff[Date Joined],"&gt;="&amp;Y34, Staff[Date Joined],"&lt;="&amp;EOMONTH(Y34,0))</f>
        <v>5</v>
      </c>
      <c r="AA34">
        <f>SUM($Z$7:Z34)</f>
        <v>176</v>
      </c>
    </row>
    <row r="35" spans="3:27" x14ac:dyDescent="0.3">
      <c r="C35" s="24" t="s">
        <v>234</v>
      </c>
      <c r="D35">
        <v>40</v>
      </c>
      <c r="X35">
        <v>29</v>
      </c>
      <c r="Y35" s="25">
        <v>44805</v>
      </c>
      <c r="Z35">
        <f>COUNTIFS(Staff[Date Joined],"&gt;="&amp;Y35, Staff[Date Joined],"&lt;="&amp;EOMONTH(Y35,0))</f>
        <v>2</v>
      </c>
      <c r="AA35">
        <f>SUM($Z$7:Z35)</f>
        <v>178</v>
      </c>
    </row>
    <row r="36" spans="3:27" x14ac:dyDescent="0.3">
      <c r="C36" s="24" t="s">
        <v>235</v>
      </c>
      <c r="D36">
        <v>47</v>
      </c>
      <c r="X36">
        <v>30</v>
      </c>
      <c r="Y36" s="25">
        <v>44835</v>
      </c>
      <c r="Z36">
        <f>COUNTIFS(Staff[Date Joined],"&gt;="&amp;Y36, Staff[Date Joined],"&lt;="&amp;EOMONTH(Y36,0))</f>
        <v>3</v>
      </c>
      <c r="AA36">
        <f>SUM($Z$7:Z36)</f>
        <v>181</v>
      </c>
    </row>
    <row r="37" spans="3:27" x14ac:dyDescent="0.3">
      <c r="C37" s="24" t="s">
        <v>236</v>
      </c>
      <c r="D37">
        <v>52</v>
      </c>
      <c r="X37">
        <v>31</v>
      </c>
      <c r="Y37" s="25">
        <v>44866</v>
      </c>
      <c r="Z37">
        <f>COUNTIFS(Staff[Date Joined],"&gt;="&amp;Y37, Staff[Date Joined],"&lt;="&amp;EOMONTH(Y37,0))</f>
        <v>0</v>
      </c>
      <c r="AA37">
        <f>SUM($Z$7:Z37)</f>
        <v>181</v>
      </c>
    </row>
    <row r="38" spans="3:27" x14ac:dyDescent="0.3">
      <c r="C38" s="24" t="s">
        <v>237</v>
      </c>
      <c r="D38">
        <v>57</v>
      </c>
      <c r="X38">
        <v>32</v>
      </c>
      <c r="Y38" s="25">
        <v>44896</v>
      </c>
      <c r="Z38">
        <f>COUNTIFS(Staff[Date Joined],"&gt;="&amp;Y38, Staff[Date Joined],"&lt;="&amp;EOMONTH(Y38,0))</f>
        <v>0</v>
      </c>
      <c r="AA38">
        <f>SUM($Z$7:Z38)</f>
        <v>181</v>
      </c>
    </row>
    <row r="39" spans="3:27" x14ac:dyDescent="0.3">
      <c r="C39" s="24" t="s">
        <v>238</v>
      </c>
      <c r="D39">
        <v>59</v>
      </c>
      <c r="X39">
        <v>33</v>
      </c>
      <c r="Y39" s="25">
        <v>44927</v>
      </c>
      <c r="Z39">
        <f>COUNTIFS(Staff[Date Joined],"&gt;="&amp;Y39, Staff[Date Joined],"&lt;="&amp;EOMONTH(Y39,0))</f>
        <v>0</v>
      </c>
      <c r="AA39">
        <f>SUM($Z$7:Z39)</f>
        <v>181</v>
      </c>
    </row>
    <row r="40" spans="3:27" x14ac:dyDescent="0.3">
      <c r="C40" s="24" t="s">
        <v>239</v>
      </c>
      <c r="D40">
        <v>62</v>
      </c>
      <c r="X40">
        <v>34</v>
      </c>
      <c r="Y40" s="25">
        <v>44958</v>
      </c>
      <c r="Z40">
        <f>COUNTIFS(Staff[Date Joined],"&gt;="&amp;Y40, Staff[Date Joined],"&lt;="&amp;EOMONTH(Y40,0))</f>
        <v>1</v>
      </c>
      <c r="AA40">
        <f>SUM($Z$7:Z40)</f>
        <v>182</v>
      </c>
    </row>
    <row r="41" spans="3:27" x14ac:dyDescent="0.3">
      <c r="C41" s="16" t="s">
        <v>248</v>
      </c>
      <c r="X41">
        <v>35</v>
      </c>
      <c r="Y41" s="25">
        <v>44986</v>
      </c>
      <c r="Z41">
        <f>COUNTIFS(Staff[Date Joined],"&gt;="&amp;Y41, Staff[Date Joined],"&lt;="&amp;EOMONTH(Y41,0))</f>
        <v>0</v>
      </c>
      <c r="AA41">
        <f>SUM($Z$7:Z41)</f>
        <v>182</v>
      </c>
    </row>
    <row r="42" spans="3:27" x14ac:dyDescent="0.3">
      <c r="C42" s="24" t="s">
        <v>244</v>
      </c>
      <c r="D42">
        <v>1</v>
      </c>
      <c r="X42">
        <v>36</v>
      </c>
      <c r="Y42" s="25">
        <v>45017</v>
      </c>
      <c r="Z42">
        <f>COUNTIFS(Staff[Date Joined],"&gt;="&amp;Y42, Staff[Date Joined],"&lt;="&amp;EOMONTH(Y42,0))</f>
        <v>1</v>
      </c>
      <c r="AA42">
        <f>SUM($Z$7:Z42)</f>
        <v>183</v>
      </c>
    </row>
    <row r="43" spans="3:27" x14ac:dyDescent="0.3">
      <c r="C43" s="24" t="s">
        <v>246</v>
      </c>
      <c r="D43">
        <v>2</v>
      </c>
    </row>
    <row r="44" spans="3:27" x14ac:dyDescent="0.3">
      <c r="C44" s="16" t="s">
        <v>224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5FF0C-8909-42B7-B2D0-8B9C7A37DB09}">
  <dimension ref="B4:M20"/>
  <sheetViews>
    <sheetView tabSelected="1" topLeftCell="A4" workbookViewId="0">
      <selection activeCell="H11" sqref="H11"/>
    </sheetView>
  </sheetViews>
  <sheetFormatPr defaultRowHeight="14.4" x14ac:dyDescent="0.3"/>
  <cols>
    <col min="2" max="2" width="18.77734375" customWidth="1"/>
    <col min="3" max="3" width="2.109375" customWidth="1"/>
    <col min="4" max="4" width="18.77734375" customWidth="1"/>
    <col min="5" max="5" width="1" customWidth="1"/>
    <col min="6" max="6" width="21.6640625" customWidth="1"/>
    <col min="9" max="9" width="18.77734375" customWidth="1"/>
    <col min="10" max="10" width="2.109375" customWidth="1"/>
    <col min="11" max="11" width="18.77734375" customWidth="1"/>
    <col min="12" max="12" width="1" customWidth="1"/>
    <col min="13" max="13" width="17.5546875" customWidth="1"/>
  </cols>
  <sheetData>
    <row r="4" spans="2:13" ht="99.6" customHeight="1" x14ac:dyDescent="0.3">
      <c r="B4" s="34">
        <f>COUNTIFS(Staff[Country],"NZ")</f>
        <v>91</v>
      </c>
      <c r="D4" s="35">
        <f>COUNTIFS(Staff[Country],"NZ",Staff[Gender],"Female")/B4</f>
        <v>0.47252747252747251</v>
      </c>
      <c r="F4" s="36">
        <f>AVERAGEIFS(Staff[Salary], Staff[Country],"NZ")</f>
        <v>77209.780219780223</v>
      </c>
      <c r="I4" s="37">
        <f>COUNTIFS(Staff[Country],"India")</f>
        <v>92</v>
      </c>
      <c r="J4" s="33"/>
      <c r="K4" s="38">
        <f>COUNTIFS(Staff[Country],"India",Staff[Gender],"Female")/I4</f>
        <v>0.46739130434782611</v>
      </c>
      <c r="L4" s="33"/>
      <c r="M4" s="39">
        <f>AVERAGEIFS(Staff[Salary], Staff[Country],"India")</f>
        <v>77481.304347826081</v>
      </c>
    </row>
    <row r="6" spans="2:13" x14ac:dyDescent="0.3">
      <c r="B6" s="41" t="s">
        <v>252</v>
      </c>
      <c r="C6" s="40"/>
      <c r="D6" s="40"/>
      <c r="E6" s="40"/>
      <c r="F6" s="40"/>
      <c r="G6" s="40"/>
      <c r="H6" s="40"/>
      <c r="I6" s="40"/>
      <c r="J6" s="40"/>
      <c r="K6" s="40"/>
      <c r="L6" s="40"/>
      <c r="M6" s="40"/>
    </row>
    <row r="7" spans="2:13" x14ac:dyDescent="0.3">
      <c r="B7" s="40"/>
      <c r="C7" s="40"/>
      <c r="D7" s="40"/>
      <c r="E7" s="40"/>
      <c r="F7" s="40"/>
      <c r="G7" s="40"/>
      <c r="H7" s="40"/>
      <c r="I7" s="40"/>
      <c r="J7" s="40"/>
      <c r="K7" s="40"/>
      <c r="L7" s="40"/>
      <c r="M7" s="40"/>
    </row>
    <row r="10" spans="2:13" x14ac:dyDescent="0.3">
      <c r="B10" s="26"/>
      <c r="C10" s="27"/>
      <c r="D10" s="27"/>
      <c r="E10" s="27"/>
      <c r="F10" s="28"/>
      <c r="I10" s="26"/>
      <c r="J10" s="27"/>
      <c r="K10" s="27"/>
      <c r="L10" s="27"/>
      <c r="M10" s="28"/>
    </row>
    <row r="11" spans="2:13" x14ac:dyDescent="0.3">
      <c r="B11" s="29"/>
      <c r="F11" s="30"/>
      <c r="I11" s="29"/>
      <c r="M11" s="30"/>
    </row>
    <row r="12" spans="2:13" x14ac:dyDescent="0.3">
      <c r="B12" s="29"/>
      <c r="F12" s="30"/>
      <c r="I12" s="29"/>
      <c r="M12" s="30"/>
    </row>
    <row r="13" spans="2:13" x14ac:dyDescent="0.3">
      <c r="B13" s="29"/>
      <c r="F13" s="30"/>
      <c r="I13" s="29"/>
      <c r="M13" s="30"/>
    </row>
    <row r="14" spans="2:13" x14ac:dyDescent="0.3">
      <c r="B14" s="29"/>
      <c r="F14" s="30"/>
      <c r="I14" s="29"/>
      <c r="M14" s="30"/>
    </row>
    <row r="15" spans="2:13" x14ac:dyDescent="0.3">
      <c r="B15" s="29"/>
      <c r="F15" s="30"/>
      <c r="I15" s="29"/>
      <c r="M15" s="30"/>
    </row>
    <row r="16" spans="2:13" x14ac:dyDescent="0.3">
      <c r="B16" s="29"/>
      <c r="F16" s="30"/>
      <c r="I16" s="29"/>
      <c r="M16" s="30"/>
    </row>
    <row r="17" spans="2:13" x14ac:dyDescent="0.3">
      <c r="B17" s="29"/>
      <c r="F17" s="30"/>
      <c r="I17" s="29"/>
      <c r="M17" s="30"/>
    </row>
    <row r="18" spans="2:13" x14ac:dyDescent="0.3">
      <c r="B18" s="29"/>
      <c r="F18" s="30"/>
      <c r="I18" s="29"/>
      <c r="M18" s="30"/>
    </row>
    <row r="19" spans="2:13" x14ac:dyDescent="0.3">
      <c r="B19" s="29"/>
      <c r="F19" s="30"/>
      <c r="I19" s="29"/>
      <c r="M19" s="30"/>
    </row>
    <row r="20" spans="2:13" x14ac:dyDescent="0.3">
      <c r="B20" s="31"/>
      <c r="C20" s="21"/>
      <c r="D20" s="21"/>
      <c r="E20" s="21"/>
      <c r="F20" s="32"/>
      <c r="I20" s="31"/>
      <c r="J20" s="21"/>
      <c r="K20" s="21"/>
      <c r="L20" s="21"/>
      <c r="M20" s="32"/>
    </row>
  </sheetData>
  <mergeCells count="1">
    <mergeCell ref="B6:M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C136-6411-468B-AA3E-CA557BD6EE96}">
  <dimension ref="B2:C6"/>
  <sheetViews>
    <sheetView workbookViewId="0">
      <selection activeCell="B14" sqref="B14"/>
    </sheetView>
  </sheetViews>
  <sheetFormatPr defaultRowHeight="14.4" x14ac:dyDescent="0.3"/>
  <cols>
    <col min="2" max="2" width="13.109375" bestFit="1" customWidth="1"/>
  </cols>
  <sheetData>
    <row r="2" spans="2:3" x14ac:dyDescent="0.3">
      <c r="B2" s="22" t="s">
        <v>10</v>
      </c>
      <c r="C2" s="23">
        <v>5</v>
      </c>
    </row>
    <row r="3" spans="2:3" x14ac:dyDescent="0.3">
      <c r="B3" s="22" t="s">
        <v>13</v>
      </c>
      <c r="C3" s="23">
        <v>4</v>
      </c>
    </row>
    <row r="4" spans="2:3" x14ac:dyDescent="0.3">
      <c r="B4" s="22" t="s">
        <v>16</v>
      </c>
      <c r="C4" s="23">
        <v>3</v>
      </c>
    </row>
    <row r="5" spans="2:3" x14ac:dyDescent="0.3">
      <c r="B5" s="22" t="s">
        <v>24</v>
      </c>
      <c r="C5" s="23">
        <v>2</v>
      </c>
    </row>
    <row r="6" spans="2:3" x14ac:dyDescent="0.3">
      <c r="B6" s="22" t="s">
        <v>42</v>
      </c>
      <c r="C6" s="2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4EA95-2DE9-4DA3-9930-B362783D1BBC}">
  <dimension ref="B5:G13"/>
  <sheetViews>
    <sheetView topLeftCell="A4" workbookViewId="0">
      <selection activeCell="J10" sqref="J10"/>
    </sheetView>
  </sheetViews>
  <sheetFormatPr defaultRowHeight="14.4" x14ac:dyDescent="0.3"/>
  <cols>
    <col min="1" max="2" width="12.5546875" bestFit="1" customWidth="1"/>
    <col min="3" max="3" width="13.88671875" bestFit="1" customWidth="1"/>
    <col min="6" max="6" width="12.5546875" bestFit="1" customWidth="1"/>
    <col min="7" max="7" width="13.88671875" bestFit="1" customWidth="1"/>
  </cols>
  <sheetData>
    <row r="5" spans="2:7" x14ac:dyDescent="0.3">
      <c r="B5" s="15" t="s">
        <v>204</v>
      </c>
      <c r="C5" t="s" vm="2">
        <v>205</v>
      </c>
      <c r="F5" s="15" t="s">
        <v>204</v>
      </c>
      <c r="G5" t="s" vm="1">
        <v>207</v>
      </c>
    </row>
    <row r="7" spans="2:7" x14ac:dyDescent="0.3">
      <c r="B7" s="15" t="s">
        <v>231</v>
      </c>
      <c r="C7" t="s">
        <v>225</v>
      </c>
      <c r="F7" s="15" t="s">
        <v>231</v>
      </c>
      <c r="G7" t="s">
        <v>225</v>
      </c>
    </row>
    <row r="8" spans="2:7" x14ac:dyDescent="0.3">
      <c r="B8" s="16" t="s">
        <v>9</v>
      </c>
      <c r="C8">
        <v>28</v>
      </c>
      <c r="F8" s="16" t="s">
        <v>12</v>
      </c>
      <c r="G8">
        <v>27</v>
      </c>
    </row>
    <row r="9" spans="2:7" x14ac:dyDescent="0.3">
      <c r="B9" s="16" t="s">
        <v>12</v>
      </c>
      <c r="C9">
        <v>27</v>
      </c>
      <c r="F9" s="16" t="s">
        <v>9</v>
      </c>
      <c r="G9">
        <v>27</v>
      </c>
    </row>
    <row r="10" spans="2:7" x14ac:dyDescent="0.3">
      <c r="B10" s="16" t="s">
        <v>21</v>
      </c>
      <c r="C10">
        <v>19</v>
      </c>
      <c r="F10" s="16" t="s">
        <v>21</v>
      </c>
      <c r="G10">
        <v>19</v>
      </c>
    </row>
    <row r="11" spans="2:7" x14ac:dyDescent="0.3">
      <c r="B11" s="16" t="s">
        <v>19</v>
      </c>
      <c r="C11">
        <v>14</v>
      </c>
      <c r="F11" s="16" t="s">
        <v>19</v>
      </c>
      <c r="G11">
        <v>14</v>
      </c>
    </row>
    <row r="12" spans="2:7" x14ac:dyDescent="0.3">
      <c r="B12" s="16" t="s">
        <v>56</v>
      </c>
      <c r="C12">
        <v>4</v>
      </c>
      <c r="F12" s="16" t="s">
        <v>56</v>
      </c>
      <c r="G12">
        <v>4</v>
      </c>
    </row>
    <row r="13" spans="2:7" x14ac:dyDescent="0.3">
      <c r="B13" s="16" t="s">
        <v>224</v>
      </c>
      <c r="C13">
        <v>92</v>
      </c>
      <c r="F13" s="16" t="s">
        <v>224</v>
      </c>
      <c r="G13">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36F4-5C02-4E96-A1C7-7C30439B0A70}">
  <dimension ref="B3:I62"/>
  <sheetViews>
    <sheetView topLeftCell="A3" workbookViewId="0">
      <selection activeCell="B3" sqref="B3"/>
    </sheetView>
  </sheetViews>
  <sheetFormatPr defaultRowHeight="14.4" x14ac:dyDescent="0.3"/>
  <cols>
    <col min="2" max="2" width="29.6640625" customWidth="1"/>
    <col min="3" max="3" width="14.77734375" customWidth="1"/>
    <col min="4" max="4" width="17" customWidth="1"/>
    <col min="8" max="8" width="15.88671875" bestFit="1" customWidth="1"/>
  </cols>
  <sheetData>
    <row r="3" spans="2:9" ht="25.8" x14ac:dyDescent="0.5">
      <c r="B3" s="11">
        <v>3</v>
      </c>
      <c r="D3" t="s">
        <v>219</v>
      </c>
    </row>
    <row r="6" spans="2:9" x14ac:dyDescent="0.3">
      <c r="B6" t="s">
        <v>220</v>
      </c>
      <c r="C6" s="14" t="s">
        <v>12</v>
      </c>
    </row>
    <row r="9" spans="2:9" x14ac:dyDescent="0.3">
      <c r="B9" t="str" cm="1">
        <f t="array" aca="1" ref="B9:D62" ca="1">_xlfn._xlws.SORT(CHOOSE({1,2,3},INDEX(_xlfn._xlws.FILTER(Staff[], Staff[Department]=C6),,1),INDEX(_xlfn._xlws.FILTER(Staff[], Staff[Department]=C6),,7), INDEX(_xlfn._xlws.FILTER(Staff[], Staff[Department]=C6),,4)),2,-1)</f>
        <v>Heer Pennathur</v>
      </c>
      <c r="C9">
        <f ca="1"/>
        <v>148000</v>
      </c>
      <c r="D9" t="str">
        <f ca="1"/>
        <v>Average</v>
      </c>
      <c r="H9" t="s">
        <v>221</v>
      </c>
      <c r="I9">
        <f>COUNTIFS(Staff[Department],C6)</f>
        <v>54</v>
      </c>
    </row>
    <row r="10" spans="2:9" x14ac:dyDescent="0.3">
      <c r="B10" t="str">
        <f ca="1"/>
        <v>Tawnya Tickel</v>
      </c>
      <c r="C10">
        <f ca="1"/>
        <v>137000</v>
      </c>
      <c r="D10" t="str">
        <f ca="1"/>
        <v>Average</v>
      </c>
    </row>
    <row r="11" spans="2:9" x14ac:dyDescent="0.3">
      <c r="B11" t="str">
        <f ca="1"/>
        <v>Ramnath Ravuri</v>
      </c>
      <c r="C11">
        <f ca="1"/>
        <v>114870</v>
      </c>
      <c r="D11" t="str">
        <f ca="1"/>
        <v>Average</v>
      </c>
    </row>
    <row r="12" spans="2:9" x14ac:dyDescent="0.3">
      <c r="B12" t="str">
        <f ca="1"/>
        <v>Wilone O'Kielt</v>
      </c>
      <c r="C12">
        <f ca="1"/>
        <v>114870</v>
      </c>
      <c r="D12" t="str">
        <f ca="1"/>
        <v>Average</v>
      </c>
    </row>
    <row r="13" spans="2:9" x14ac:dyDescent="0.3">
      <c r="B13" t="str">
        <f ca="1"/>
        <v>Deepali Charan</v>
      </c>
      <c r="C13">
        <f ca="1"/>
        <v>112650</v>
      </c>
      <c r="D13" t="str">
        <f ca="1"/>
        <v>Average</v>
      </c>
    </row>
    <row r="14" spans="2:9" x14ac:dyDescent="0.3">
      <c r="B14" t="str">
        <f ca="1"/>
        <v>Mollie Hanway</v>
      </c>
      <c r="C14">
        <f ca="1"/>
        <v>112650</v>
      </c>
      <c r="D14" t="str">
        <f ca="1"/>
        <v>Average</v>
      </c>
    </row>
    <row r="15" spans="2:9" x14ac:dyDescent="0.3">
      <c r="B15" t="str">
        <f ca="1"/>
        <v>Narois Motiwala</v>
      </c>
      <c r="C15">
        <f ca="1"/>
        <v>112110</v>
      </c>
      <c r="D15" t="str">
        <f ca="1"/>
        <v>Poor</v>
      </c>
    </row>
    <row r="16" spans="2:9" x14ac:dyDescent="0.3">
      <c r="B16" t="str">
        <f ca="1"/>
        <v>Bev Lashley</v>
      </c>
      <c r="C16">
        <f ca="1"/>
        <v>112110</v>
      </c>
      <c r="D16" t="str">
        <f ca="1"/>
        <v>Poor</v>
      </c>
    </row>
    <row r="17" spans="2:4" x14ac:dyDescent="0.3">
      <c r="B17" t="str">
        <f ca="1"/>
        <v>Hridaynath Tendulkar</v>
      </c>
      <c r="C17">
        <f ca="1"/>
        <v>107700</v>
      </c>
      <c r="D17" t="str">
        <f ca="1"/>
        <v>Average</v>
      </c>
    </row>
    <row r="18" spans="2:4" x14ac:dyDescent="0.3">
      <c r="B18" t="str">
        <f ca="1"/>
        <v>Kaine Padly</v>
      </c>
      <c r="C18">
        <f ca="1"/>
        <v>107700</v>
      </c>
      <c r="D18" t="str">
        <f ca="1"/>
        <v>Average</v>
      </c>
    </row>
    <row r="19" spans="2:4" x14ac:dyDescent="0.3">
      <c r="B19" t="str">
        <f ca="1"/>
        <v>Manjusri Ruchi</v>
      </c>
      <c r="C19">
        <f ca="1"/>
        <v>104410</v>
      </c>
      <c r="D19" t="str">
        <f ca="1"/>
        <v>Average</v>
      </c>
    </row>
    <row r="20" spans="2:4" x14ac:dyDescent="0.3">
      <c r="B20" t="str">
        <f ca="1"/>
        <v>Caro Chappel</v>
      </c>
      <c r="C20">
        <f ca="1"/>
        <v>104410</v>
      </c>
      <c r="D20" t="str">
        <f ca="1"/>
        <v>Average</v>
      </c>
    </row>
    <row r="21" spans="2:4" x14ac:dyDescent="0.3">
      <c r="B21" t="str">
        <f ca="1"/>
        <v>Amlankusum Rajabhushan</v>
      </c>
      <c r="C21">
        <f ca="1"/>
        <v>100420</v>
      </c>
      <c r="D21" t="str">
        <f ca="1"/>
        <v>Average</v>
      </c>
    </row>
    <row r="22" spans="2:4" x14ac:dyDescent="0.3">
      <c r="B22" t="str">
        <f ca="1"/>
        <v>Collin Jagson</v>
      </c>
      <c r="C22">
        <f ca="1"/>
        <v>100420</v>
      </c>
      <c r="D22" t="str">
        <f ca="1"/>
        <v>Average</v>
      </c>
    </row>
    <row r="23" spans="2:4" x14ac:dyDescent="0.3">
      <c r="B23" t="str">
        <f ca="1"/>
        <v>Sukhdev Nageshwar</v>
      </c>
      <c r="C23">
        <f ca="1"/>
        <v>96140</v>
      </c>
      <c r="D23" t="str">
        <f ca="1"/>
        <v>Average</v>
      </c>
    </row>
    <row r="24" spans="2:4" x14ac:dyDescent="0.3">
      <c r="B24" t="str">
        <f ca="1"/>
        <v>Torrance Collier</v>
      </c>
      <c r="C24">
        <f ca="1"/>
        <v>96140</v>
      </c>
      <c r="D24" t="str">
        <f ca="1"/>
        <v>Average</v>
      </c>
    </row>
    <row r="25" spans="2:4" x14ac:dyDescent="0.3">
      <c r="B25" t="str">
        <f ca="1"/>
        <v>Rukma Vinita</v>
      </c>
      <c r="C25">
        <f ca="1"/>
        <v>91310</v>
      </c>
      <c r="D25" t="str">
        <f ca="1"/>
        <v>Average</v>
      </c>
    </row>
    <row r="26" spans="2:4" x14ac:dyDescent="0.3">
      <c r="B26" t="str">
        <f ca="1"/>
        <v>Madge McCloughen</v>
      </c>
      <c r="C26">
        <f ca="1"/>
        <v>91310</v>
      </c>
      <c r="D26" t="str">
        <f ca="1"/>
        <v>Average</v>
      </c>
    </row>
    <row r="27" spans="2:4" x14ac:dyDescent="0.3">
      <c r="B27" t="str">
        <f ca="1"/>
        <v>Karuna Pashupathy</v>
      </c>
      <c r="C27">
        <f ca="1"/>
        <v>90700</v>
      </c>
      <c r="D27" t="str">
        <f ca="1"/>
        <v>Above average</v>
      </c>
    </row>
    <row r="28" spans="2:4" x14ac:dyDescent="0.3">
      <c r="B28" t="str">
        <f ca="1"/>
        <v>Dennison Crosswaite</v>
      </c>
      <c r="C28">
        <f ca="1"/>
        <v>90700</v>
      </c>
      <c r="D28" t="str">
        <f ca="1"/>
        <v>Above average</v>
      </c>
    </row>
    <row r="29" spans="2:4" x14ac:dyDescent="0.3">
      <c r="B29" t="str">
        <f ca="1"/>
        <v>Gangadutt Ragha</v>
      </c>
      <c r="C29">
        <f ca="1"/>
        <v>88050</v>
      </c>
      <c r="D29" t="str">
        <f ca="1"/>
        <v>Poor</v>
      </c>
    </row>
    <row r="30" spans="2:4" x14ac:dyDescent="0.3">
      <c r="B30" t="str">
        <f ca="1"/>
        <v>Ches Bonnell</v>
      </c>
      <c r="C30">
        <f ca="1"/>
        <v>88050</v>
      </c>
      <c r="D30" t="str">
        <f ca="1"/>
        <v>Poor</v>
      </c>
    </row>
    <row r="31" spans="2:4" x14ac:dyDescent="0.3">
      <c r="B31" t="str">
        <f ca="1"/>
        <v>Godavari Veena</v>
      </c>
      <c r="C31">
        <f ca="1"/>
        <v>87620</v>
      </c>
      <c r="D31" t="str">
        <f ca="1"/>
        <v>Average</v>
      </c>
    </row>
    <row r="32" spans="2:4" x14ac:dyDescent="0.3">
      <c r="B32" t="str">
        <f ca="1"/>
        <v>Merrilee Plenty</v>
      </c>
      <c r="C32">
        <f ca="1"/>
        <v>87620</v>
      </c>
      <c r="D32" t="str">
        <f ca="1"/>
        <v>Average</v>
      </c>
    </row>
    <row r="33" spans="2:4" x14ac:dyDescent="0.3">
      <c r="B33" t="str">
        <f ca="1"/>
        <v>Kunja Prashanta Vibha</v>
      </c>
      <c r="C33">
        <f ca="1"/>
        <v>83750</v>
      </c>
      <c r="D33" t="str">
        <f ca="1"/>
        <v>Average</v>
      </c>
    </row>
    <row r="34" spans="2:4" x14ac:dyDescent="0.3">
      <c r="B34" t="str">
        <f ca="1"/>
        <v>Agnes Collicott</v>
      </c>
      <c r="C34">
        <f ca="1"/>
        <v>83750</v>
      </c>
      <c r="D34" t="str">
        <f ca="1"/>
        <v>Average</v>
      </c>
    </row>
    <row r="35" spans="2:4" x14ac:dyDescent="0.3">
      <c r="B35" t="str">
        <f ca="1"/>
        <v>Bhuvan Pals</v>
      </c>
      <c r="C35">
        <f ca="1"/>
        <v>80700</v>
      </c>
      <c r="D35" t="str">
        <f ca="1"/>
        <v>Above average</v>
      </c>
    </row>
    <row r="36" spans="2:4" x14ac:dyDescent="0.3">
      <c r="B36" t="str">
        <f ca="1"/>
        <v>Van Tuxwell</v>
      </c>
      <c r="C36">
        <f ca="1"/>
        <v>80700</v>
      </c>
      <c r="D36" t="str">
        <f ca="1"/>
        <v>Above average</v>
      </c>
    </row>
    <row r="37" spans="2:4" x14ac:dyDescent="0.3">
      <c r="B37" t="str">
        <f ca="1"/>
        <v>Ayog Chakrabarti</v>
      </c>
      <c r="C37">
        <f ca="1"/>
        <v>75480</v>
      </c>
      <c r="D37" t="str">
        <f ca="1"/>
        <v>Very poor</v>
      </c>
    </row>
    <row r="38" spans="2:4" x14ac:dyDescent="0.3">
      <c r="B38" t="str">
        <f ca="1"/>
        <v>Camilla Castle</v>
      </c>
      <c r="C38">
        <f ca="1"/>
        <v>75480</v>
      </c>
      <c r="D38" t="str">
        <f ca="1"/>
        <v>Very poor</v>
      </c>
    </row>
    <row r="39" spans="2:4" x14ac:dyDescent="0.3">
      <c r="B39" t="str">
        <f ca="1"/>
        <v>Hemavati Muthiah</v>
      </c>
      <c r="C39">
        <f ca="1"/>
        <v>75280</v>
      </c>
      <c r="D39" t="str">
        <f ca="1"/>
        <v>Average</v>
      </c>
    </row>
    <row r="40" spans="2:4" x14ac:dyDescent="0.3">
      <c r="B40" t="str">
        <f ca="1"/>
        <v>Elia Cockton</v>
      </c>
      <c r="C40">
        <f ca="1"/>
        <v>75280</v>
      </c>
      <c r="D40" t="str">
        <f ca="1"/>
        <v>Average</v>
      </c>
    </row>
    <row r="41" spans="2:4" x14ac:dyDescent="0.3">
      <c r="B41" t="str">
        <f ca="1"/>
        <v>Shekhar Eswara</v>
      </c>
      <c r="C41">
        <f ca="1"/>
        <v>69710</v>
      </c>
      <c r="D41" t="str">
        <f ca="1"/>
        <v>Average</v>
      </c>
    </row>
    <row r="42" spans="2:4" x14ac:dyDescent="0.3">
      <c r="B42" t="str">
        <f ca="1"/>
        <v>Myer McCory</v>
      </c>
      <c r="C42">
        <f ca="1"/>
        <v>69710</v>
      </c>
      <c r="D42" t="str">
        <f ca="1"/>
        <v>Average</v>
      </c>
    </row>
    <row r="43" spans="2:4" x14ac:dyDescent="0.3">
      <c r="B43" t="str">
        <f ca="1"/>
        <v>Rameshwari Chikodi</v>
      </c>
      <c r="C43">
        <f ca="1"/>
        <v>69120</v>
      </c>
      <c r="D43" t="str">
        <f ca="1"/>
        <v>Average</v>
      </c>
    </row>
    <row r="44" spans="2:4" x14ac:dyDescent="0.3">
      <c r="B44" t="str">
        <f ca="1"/>
        <v>Andria Kimpton</v>
      </c>
      <c r="C44">
        <f ca="1"/>
        <v>69120</v>
      </c>
      <c r="D44" t="str">
        <f ca="1"/>
        <v>Average</v>
      </c>
    </row>
    <row r="45" spans="2:4" x14ac:dyDescent="0.3">
      <c r="B45" t="str">
        <f ca="1"/>
        <v>Jaishree Atasi Yavatkar</v>
      </c>
      <c r="C45">
        <f ca="1"/>
        <v>69070</v>
      </c>
      <c r="D45" t="str">
        <f ca="1"/>
        <v>Average</v>
      </c>
    </row>
    <row r="46" spans="2:4" x14ac:dyDescent="0.3">
      <c r="B46" t="str">
        <f ca="1"/>
        <v>Murry Dryburgh</v>
      </c>
      <c r="C46">
        <f ca="1"/>
        <v>69070</v>
      </c>
      <c r="D46" t="str">
        <f ca="1"/>
        <v>Average</v>
      </c>
    </row>
    <row r="47" spans="2:4" x14ac:dyDescent="0.3">
      <c r="B47" t="str">
        <f ca="1"/>
        <v>Fullara Sushanti Mokate</v>
      </c>
      <c r="C47">
        <f ca="1"/>
        <v>62780</v>
      </c>
      <c r="D47" t="str">
        <f ca="1"/>
        <v>Average</v>
      </c>
    </row>
    <row r="48" spans="2:4" x14ac:dyDescent="0.3">
      <c r="B48" t="str">
        <f ca="1"/>
        <v>Vic Radolf</v>
      </c>
      <c r="C48">
        <f ca="1"/>
        <v>62780</v>
      </c>
      <c r="D48" t="str">
        <f ca="1"/>
        <v>Average</v>
      </c>
    </row>
    <row r="49" spans="2:4" x14ac:dyDescent="0.3">
      <c r="B49" t="str">
        <f ca="1"/>
        <v>Pratigya Rema</v>
      </c>
      <c r="C49">
        <f ca="1"/>
        <v>58100</v>
      </c>
      <c r="D49" t="str">
        <f ca="1"/>
        <v>Average</v>
      </c>
    </row>
    <row r="50" spans="2:4" x14ac:dyDescent="0.3">
      <c r="B50" t="str">
        <f ca="1"/>
        <v>Brien Boise</v>
      </c>
      <c r="C50">
        <f ca="1"/>
        <v>58100</v>
      </c>
      <c r="D50" t="str">
        <f ca="1"/>
        <v>Average</v>
      </c>
    </row>
    <row r="51" spans="2:4" x14ac:dyDescent="0.3">
      <c r="B51" t="str">
        <f ca="1"/>
        <v>Pragya Nilufar</v>
      </c>
      <c r="C51">
        <f ca="1"/>
        <v>53870</v>
      </c>
      <c r="D51" t="str">
        <f ca="1"/>
        <v>Average</v>
      </c>
    </row>
    <row r="52" spans="2:4" x14ac:dyDescent="0.3">
      <c r="B52" t="str">
        <f ca="1"/>
        <v>William Reeveley</v>
      </c>
      <c r="C52">
        <f ca="1"/>
        <v>53870</v>
      </c>
      <c r="D52" t="str">
        <f ca="1"/>
        <v>Average</v>
      </c>
    </row>
    <row r="53" spans="2:4" x14ac:dyDescent="0.3">
      <c r="B53" t="str">
        <f ca="1"/>
        <v>Amal Nimesh</v>
      </c>
      <c r="C53">
        <f ca="1"/>
        <v>48950</v>
      </c>
      <c r="D53" t="str">
        <f ca="1"/>
        <v>Average</v>
      </c>
    </row>
    <row r="54" spans="2:4" x14ac:dyDescent="0.3">
      <c r="B54" t="str">
        <f ca="1"/>
        <v>Gunar Cockshoot</v>
      </c>
      <c r="C54">
        <f ca="1"/>
        <v>48950</v>
      </c>
      <c r="D54" t="str">
        <f ca="1"/>
        <v>Average</v>
      </c>
    </row>
    <row r="55" spans="2:4" x14ac:dyDescent="0.3">
      <c r="B55" t="str">
        <f ca="1"/>
        <v>Yagna Sujeev</v>
      </c>
      <c r="C55">
        <f ca="1"/>
        <v>43840</v>
      </c>
      <c r="D55" t="str">
        <f ca="1"/>
        <v>Above average</v>
      </c>
    </row>
    <row r="56" spans="2:4" x14ac:dyDescent="0.3">
      <c r="B56" t="str">
        <f ca="1"/>
        <v>Kassi Jonson</v>
      </c>
      <c r="C56">
        <f ca="1"/>
        <v>43840</v>
      </c>
      <c r="D56" t="str">
        <f ca="1"/>
        <v>Above average</v>
      </c>
    </row>
    <row r="57" spans="2:4" x14ac:dyDescent="0.3">
      <c r="B57" t="str">
        <f ca="1"/>
        <v>Jagajeet Viraj</v>
      </c>
      <c r="C57">
        <f ca="1"/>
        <v>41980</v>
      </c>
      <c r="D57" t="str">
        <f ca="1"/>
        <v>Average</v>
      </c>
    </row>
    <row r="58" spans="2:4" x14ac:dyDescent="0.3">
      <c r="B58" t="str">
        <f ca="1"/>
        <v>Dotty Strutley</v>
      </c>
      <c r="C58">
        <f ca="1"/>
        <v>41980</v>
      </c>
      <c r="D58" t="str">
        <f ca="1"/>
        <v>Average</v>
      </c>
    </row>
    <row r="59" spans="2:4" x14ac:dyDescent="0.3">
      <c r="B59" t="str">
        <f ca="1"/>
        <v>Suchira Bhanupriya Tapti</v>
      </c>
      <c r="C59">
        <f ca="1"/>
        <v>34980</v>
      </c>
      <c r="D59" t="str">
        <f ca="1"/>
        <v>Average</v>
      </c>
    </row>
    <row r="60" spans="2:4" x14ac:dyDescent="0.3">
      <c r="B60" t="str">
        <f ca="1"/>
        <v>Niall Selesnick</v>
      </c>
      <c r="C60">
        <f ca="1"/>
        <v>34980</v>
      </c>
      <c r="D60" t="str">
        <f ca="1"/>
        <v>Average</v>
      </c>
    </row>
    <row r="61" spans="2:4" x14ac:dyDescent="0.3">
      <c r="B61" t="str">
        <f ca="1"/>
        <v>Shubhra Potla</v>
      </c>
      <c r="C61">
        <f ca="1"/>
        <v>33920</v>
      </c>
      <c r="D61" t="str">
        <f ca="1"/>
        <v>Average</v>
      </c>
    </row>
    <row r="62" spans="2:4" x14ac:dyDescent="0.3">
      <c r="B62" t="str">
        <f ca="1"/>
        <v>Gretchen Callow</v>
      </c>
      <c r="C62">
        <f ca="1"/>
        <v>33920</v>
      </c>
      <c r="D62" t="str">
        <f ca="1"/>
        <v>Average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30AA3-FBF9-4C94-B3BE-4100B81BD101}">
  <dimension ref="B4:D14"/>
  <sheetViews>
    <sheetView workbookViewId="0">
      <selection activeCell="G16" sqref="G16"/>
    </sheetView>
  </sheetViews>
  <sheetFormatPr defaultRowHeight="14.4" x14ac:dyDescent="0.3"/>
  <cols>
    <col min="2" max="2" width="16" bestFit="1" customWidth="1"/>
    <col min="3" max="3" width="15.5546875" bestFit="1" customWidth="1"/>
    <col min="4" max="4" width="9.44140625" bestFit="1" customWidth="1"/>
    <col min="5" max="5" width="10.77734375" bestFit="1" customWidth="1"/>
    <col min="6" max="6" width="12" bestFit="1" customWidth="1"/>
    <col min="7" max="7" width="15.5546875" bestFit="1" customWidth="1"/>
    <col min="8" max="9" width="18.6640625" bestFit="1" customWidth="1"/>
  </cols>
  <sheetData>
    <row r="4" spans="2:4" ht="25.8" x14ac:dyDescent="0.5">
      <c r="B4" s="11">
        <v>4</v>
      </c>
      <c r="C4" t="s">
        <v>222</v>
      </c>
    </row>
    <row r="9" spans="2:4" x14ac:dyDescent="0.3">
      <c r="C9" s="15" t="s">
        <v>223</v>
      </c>
    </row>
    <row r="10" spans="2:4" x14ac:dyDescent="0.3">
      <c r="B10" s="15" t="s">
        <v>227</v>
      </c>
      <c r="C10" t="s">
        <v>8</v>
      </c>
      <c r="D10" t="s">
        <v>15</v>
      </c>
    </row>
    <row r="11" spans="2:4" x14ac:dyDescent="0.3">
      <c r="B11" s="16" t="s">
        <v>225</v>
      </c>
      <c r="C11">
        <v>86</v>
      </c>
      <c r="D11">
        <v>89</v>
      </c>
    </row>
    <row r="12" spans="2:4" x14ac:dyDescent="0.3">
      <c r="B12" s="16" t="s">
        <v>226</v>
      </c>
      <c r="C12" s="17">
        <v>31.406976744186046</v>
      </c>
      <c r="D12" s="17">
        <v>29.393258426966291</v>
      </c>
    </row>
    <row r="13" spans="2:4" x14ac:dyDescent="0.3">
      <c r="B13" s="16" t="s">
        <v>228</v>
      </c>
      <c r="C13" s="18">
        <v>78284.186046511633</v>
      </c>
      <c r="D13" s="18">
        <v>74915.168539325838</v>
      </c>
    </row>
    <row r="14" spans="2:4" x14ac:dyDescent="0.3">
      <c r="B14" s="16" t="s">
        <v>229</v>
      </c>
      <c r="C14" s="17">
        <v>3.4791971965594151</v>
      </c>
      <c r="D14" s="17">
        <v>3.4700938894874573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89CEAA-B2D3-4212-B464-7317EEA461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All_staff</vt:lpstr>
      <vt:lpstr>salary_spread</vt:lpstr>
      <vt:lpstr>salary vs rating</vt:lpstr>
      <vt:lpstr>Employee Trend</vt:lpstr>
      <vt:lpstr>NZ vs. IND</vt:lpstr>
      <vt:lpstr>Sheet4</vt:lpstr>
      <vt:lpstr>Sheet7</vt:lpstr>
      <vt:lpstr>Info Finder v2.0</vt:lpstr>
      <vt:lpstr>Male vs 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Prasaanth R</cp:lastModifiedBy>
  <dcterms:created xsi:type="dcterms:W3CDTF">2021-03-14T20:21:32Z</dcterms:created>
  <dcterms:modified xsi:type="dcterms:W3CDTF">2025-02-19T07:55:09Z</dcterms:modified>
</cp:coreProperties>
</file>