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13_ncr:1_{8858147D-F698-45E4-9ACB-DA67F8E71E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H45" i="1"/>
  <c r="D45" i="1"/>
  <c r="K44" i="1"/>
  <c r="C44" i="1"/>
  <c r="C43" i="1"/>
  <c r="H26" i="1" l="1"/>
  <c r="H24" i="1"/>
  <c r="G26" i="1"/>
  <c r="G24" i="1"/>
  <c r="F26" i="1"/>
  <c r="F24" i="1"/>
  <c r="E26" i="1"/>
  <c r="E24" i="1"/>
  <c r="D26" i="1"/>
  <c r="D24" i="1"/>
  <c r="D5" i="1" l="1"/>
  <c r="D25" i="1" s="1"/>
  <c r="H17" i="1"/>
  <c r="G17" i="1"/>
  <c r="F17" i="1"/>
  <c r="E17" i="1"/>
  <c r="M7" i="1"/>
  <c r="M25" i="1" s="1"/>
  <c r="M26" i="1" s="1"/>
  <c r="E5" i="1" l="1"/>
  <c r="C18" i="1"/>
  <c r="D18" i="1" s="1"/>
  <c r="D6" i="1" l="1"/>
  <c r="D7" i="1" s="1"/>
  <c r="H18" i="1"/>
  <c r="G18" i="1"/>
  <c r="F18" i="1"/>
  <c r="E18" i="1"/>
  <c r="E6" i="1" s="1"/>
  <c r="E7" i="1" s="1"/>
  <c r="F5" i="1"/>
  <c r="E25" i="1"/>
  <c r="C24" i="1"/>
  <c r="C26" i="1"/>
  <c r="C19" i="1"/>
  <c r="D19" i="1" s="1"/>
  <c r="C7" i="1"/>
  <c r="C9" i="1" s="1"/>
  <c r="M27" i="1" s="1"/>
  <c r="E19" i="1" l="1"/>
  <c r="E8" i="1" s="1"/>
  <c r="E9" i="1" s="1"/>
  <c r="E11" i="1" s="1"/>
  <c r="F19" i="1"/>
  <c r="F8" i="1" s="1"/>
  <c r="D8" i="1"/>
  <c r="D9" i="1" s="1"/>
  <c r="D11" i="1" s="1"/>
  <c r="H19" i="1"/>
  <c r="G19" i="1"/>
  <c r="G5" i="1"/>
  <c r="F25" i="1"/>
  <c r="F6" i="1"/>
  <c r="F7" i="1" s="1"/>
  <c r="G6" i="1"/>
  <c r="M20" i="1"/>
  <c r="C31" i="1" s="1"/>
  <c r="M19" i="1"/>
  <c r="C20" i="1"/>
  <c r="C11" i="1"/>
  <c r="C13" i="1" s="1"/>
  <c r="C15" i="1" s="1"/>
  <c r="C23" i="1" s="1"/>
  <c r="C27" i="1" s="1"/>
  <c r="F9" i="1" l="1"/>
  <c r="F11" i="1" s="1"/>
  <c r="G8" i="1"/>
  <c r="H5" i="1"/>
  <c r="G25" i="1"/>
  <c r="G7" i="1"/>
  <c r="G9" i="1" s="1"/>
  <c r="G11" i="1" s="1"/>
  <c r="H20" i="1"/>
  <c r="G20" i="1"/>
  <c r="E20" i="1"/>
  <c r="F20" i="1"/>
  <c r="D20" i="1"/>
  <c r="M21" i="1"/>
  <c r="M28" i="1" s="1"/>
  <c r="C30" i="1"/>
  <c r="D34" i="1"/>
  <c r="D30" i="1" l="1"/>
  <c r="D33" i="1"/>
  <c r="D12" i="1" s="1"/>
  <c r="D13" i="1" s="1"/>
  <c r="D14" i="1" s="1"/>
  <c r="D15" i="1" s="1"/>
  <c r="D23" i="1" s="1"/>
  <c r="D27" i="1" s="1"/>
  <c r="D37" i="1" s="1"/>
  <c r="D31" i="1" s="1"/>
  <c r="H25" i="1"/>
  <c r="H6" i="1"/>
  <c r="H7" i="1" s="1"/>
  <c r="H8" i="1"/>
  <c r="H9" i="1" l="1"/>
  <c r="C42" i="1" s="1"/>
  <c r="E34" i="1"/>
  <c r="E33" i="1"/>
  <c r="E12" i="1" s="1"/>
  <c r="E13" i="1" s="1"/>
  <c r="E14" i="1" s="1"/>
  <c r="E15" i="1" s="1"/>
  <c r="E23" i="1" s="1"/>
  <c r="E27" i="1" s="1"/>
  <c r="E37" i="1" s="1"/>
  <c r="E31" i="1" s="1"/>
  <c r="E30" i="1"/>
  <c r="H11" i="1" l="1"/>
  <c r="F34" i="1"/>
  <c r="F30" i="1"/>
  <c r="F33" i="1"/>
  <c r="F12" i="1" l="1"/>
  <c r="F13" i="1" s="1"/>
  <c r="F14" i="1" s="1"/>
  <c r="F15" i="1" s="1"/>
  <c r="F23" i="1" s="1"/>
  <c r="F27" i="1" s="1"/>
  <c r="F37" i="1" s="1"/>
  <c r="F31" i="1" s="1"/>
  <c r="G30" i="1"/>
  <c r="G33" i="1"/>
  <c r="G34" i="1" l="1"/>
  <c r="G12" i="1" s="1"/>
  <c r="G13" i="1" s="1"/>
  <c r="H30" i="1"/>
  <c r="C40" i="1" s="1"/>
  <c r="H33" i="1"/>
  <c r="G14" i="1" l="1"/>
  <c r="G15" i="1" s="1"/>
  <c r="G23" i="1" s="1"/>
  <c r="G27" i="1" s="1"/>
  <c r="G37" i="1" s="1"/>
  <c r="G31" i="1" s="1"/>
  <c r="H34" i="1" l="1"/>
  <c r="H12" i="1" s="1"/>
  <c r="H13" i="1" s="1"/>
  <c r="H14" i="1" s="1"/>
  <c r="H15" i="1" s="1"/>
  <c r="H23" i="1" s="1"/>
  <c r="H27" i="1" s="1"/>
  <c r="H37" i="1" s="1"/>
  <c r="H31" i="1" s="1"/>
  <c r="C41" i="1" s="1"/>
</calcChain>
</file>

<file path=xl/sharedStrings.xml><?xml version="1.0" encoding="utf-8"?>
<sst xmlns="http://schemas.openxmlformats.org/spreadsheetml/2006/main" count="68" uniqueCount="59">
  <si>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</si>
  <si>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</si>
  <si>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</si>
  <si>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</si>
  <si>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</si>
  <si>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</si>
  <si>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</si>
  <si>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</si>
  <si>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</si>
  <si>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</si>
  <si>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</si>
  <si>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</si>
  <si>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</si>
  <si>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</si>
  <si>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</si>
  <si>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</si>
  <si>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</si>
  <si>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</si>
  <si>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</si>
  <si>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</si>
  <si>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</si>
  <si>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</si>
  <si>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</si>
  <si>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</si>
  <si>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</si>
  <si>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</si>
  <si>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</si>
  <si>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</si>
  <si>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</si>
  <si>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</si>
  <si>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</si>
  <si>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</si>
  <si>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</si>
  <si>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</si>
  <si>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</si>
  <si>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</si>
  <si>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</si>
  <si>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</si>
  <si>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</si>
  <si>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</si>
  <si>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</si>
  <si>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</si>
  <si>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</si>
  <si>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</si>
  <si>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</si>
  <si>
    <t>Debt schedule</t>
  </si>
  <si>
    <t>Term A Outstanding</t>
  </si>
  <si>
    <t>Term B Outstanding</t>
  </si>
  <si>
    <t>Term A Interest expense</t>
  </si>
  <si>
    <t>Term B Interest expense</t>
  </si>
  <si>
    <t>Term A Repaid</t>
  </si>
  <si>
    <t>Term B Repaid</t>
  </si>
  <si>
    <t>IRR</t>
  </si>
  <si>
    <t>EV exit</t>
  </si>
  <si>
    <t>Equity exit</t>
  </si>
  <si>
    <t>Debt outstanding (end of 2027)</t>
  </si>
  <si>
    <t>Investor cash flow</t>
  </si>
  <si>
    <t>Cash-on-cash</t>
  </si>
  <si>
    <t>Sensitivity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</si>
</sst>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166" fontId="4" fillId="2" borderId="0" xfId="0" applyNumberFormat="1" applyFont="1" applyFill="1"/>
    <xf numFmtId="9" fontId="4" fillId="4" borderId="0" xfId="0" applyNumberFormat="1" applyFont="1" applyFill="1"/>
    <xf numFmtId="167" fontId="4" fillId="4" borderId="0" xfId="2" applyNumberFormat="1" applyFont="1" applyFill="1"/>
    <xf numFmtId="0" fontId="11" fillId="4" borderId="0" xfId="0" applyFont="1" applyFill="1"/>
    <xf numFmtId="0" fontId="12" fillId="3" borderId="0" xfId="0" applyFont="1" applyFill="1"/>
    <xf numFmtId="167" fontId="12" fillId="3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8"/>
  <sheetViews>
    <sheetView tabSelected="1" zoomScale="130" zoomScaleNormal="130" workbookViewId="0">
      <pane ySplit="4" topLeftCell="A5" activePane="bottomLeft" state="frozen"/>
      <selection pane="bottomLeft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2:14" s="1" customFormat="1" ht="15.75" x14ac:dyDescent="0.25">
      <c r="B1" s="2" t="s">
        <v>27</v>
      </c>
    </row>
    <row r="2" spans="2:14" x14ac:dyDescent="0.2">
      <c r="M2" s="4"/>
    </row>
    <row r="3" spans="2:14" x14ac:dyDescent="0.2">
      <c r="C3" s="4"/>
      <c r="D3" s="40" t="s">
        <v>13</v>
      </c>
      <c r="E3" s="41"/>
      <c r="F3" s="41"/>
      <c r="G3" s="41"/>
      <c r="H3" s="42"/>
    </row>
    <row r="4" spans="2:14" ht="19.5" customHeight="1" thickBot="1" x14ac:dyDescent="0.25">
      <c r="B4" s="5" t="s">
        <v>24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21</v>
      </c>
    </row>
    <row r="5" spans="2:14" x14ac:dyDescent="0.2">
      <c r="B5" s="19" t="s">
        <v>23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19" t="s">
        <v>11</v>
      </c>
      <c r="M5" s="24">
        <v>5.65</v>
      </c>
      <c r="N5" s="22"/>
    </row>
    <row r="6" spans="2:14" x14ac:dyDescent="0.2">
      <c r="B6" s="3" t="s">
        <v>0</v>
      </c>
      <c r="C6" s="4">
        <v>-1230</v>
      </c>
      <c r="D6" s="4">
        <f>D18*D$5</f>
        <v>-1233.7099999999998</v>
      </c>
      <c r="E6" s="4">
        <f t="shared" ref="E6:H6" si="1">E18*E$5</f>
        <v>-1320.0697</v>
      </c>
      <c r="F6" s="4">
        <f t="shared" si="1"/>
        <v>-1412.4745790000002</v>
      </c>
      <c r="G6" s="4">
        <f t="shared" si="1"/>
        <v>-1511.3477995300002</v>
      </c>
      <c r="H6" s="4">
        <f t="shared" si="1"/>
        <v>-1617.1421454971003</v>
      </c>
      <c r="L6" s="3" t="s">
        <v>20</v>
      </c>
      <c r="M6" s="29">
        <v>1300</v>
      </c>
      <c r="N6" s="22"/>
    </row>
    <row r="7" spans="2:14" x14ac:dyDescent="0.2">
      <c r="B7" s="3" t="s">
        <v>1</v>
      </c>
      <c r="C7" s="4">
        <f>C5+C6</f>
        <v>2620</v>
      </c>
      <c r="D7" s="4">
        <f>D5+D6</f>
        <v>2885.79</v>
      </c>
      <c r="E7" s="4">
        <f t="shared" ref="E7:H7" si="2">E5+E6</f>
        <v>3087.7953000000007</v>
      </c>
      <c r="F7" s="4">
        <f t="shared" si="2"/>
        <v>3303.9409710000004</v>
      </c>
      <c r="G7" s="4">
        <f t="shared" si="2"/>
        <v>3535.2168389700009</v>
      </c>
      <c r="H7" s="4">
        <f t="shared" si="2"/>
        <v>3782.6820176979008</v>
      </c>
      <c r="L7" s="3" t="s">
        <v>28</v>
      </c>
      <c r="M7" s="7">
        <f>M5*M6</f>
        <v>7345.0000000000009</v>
      </c>
      <c r="N7" s="23"/>
    </row>
    <row r="8" spans="2:14" x14ac:dyDescent="0.2">
      <c r="B8" s="3" t="s">
        <v>8</v>
      </c>
      <c r="C8" s="4">
        <v>-890</v>
      </c>
      <c r="D8" s="4">
        <f>D19*D$5</f>
        <v>-869.91</v>
      </c>
      <c r="E8" s="4">
        <f t="shared" ref="E8:H8" si="3">E19*E$5</f>
        <v>-930.80370000000016</v>
      </c>
      <c r="F8" s="4">
        <f t="shared" si="3"/>
        <v>-995.95995900000014</v>
      </c>
      <c r="G8" s="4">
        <f t="shared" si="3"/>
        <v>-1065.6771561300002</v>
      </c>
      <c r="H8" s="4">
        <f t="shared" si="3"/>
        <v>-1140.2745570591003</v>
      </c>
      <c r="L8" s="3" t="s">
        <v>29</v>
      </c>
      <c r="M8" s="7">
        <v>5120</v>
      </c>
      <c r="N8" s="22"/>
    </row>
    <row r="9" spans="2:14" x14ac:dyDescent="0.2">
      <c r="B9" s="3" t="s">
        <v>2</v>
      </c>
      <c r="C9" s="4">
        <f>C7+C8</f>
        <v>1730</v>
      </c>
      <c r="D9" s="4">
        <f>D7+D8</f>
        <v>2015.88</v>
      </c>
      <c r="E9" s="4">
        <f t="shared" ref="E9:H9" si="4">E7+E8</f>
        <v>2156.9916000000003</v>
      </c>
      <c r="F9" s="4">
        <f t="shared" si="4"/>
        <v>2307.9810120000002</v>
      </c>
      <c r="G9" s="4">
        <f t="shared" si="4"/>
        <v>2469.5396828400008</v>
      </c>
      <c r="H9" s="4">
        <f t="shared" si="4"/>
        <v>2642.4074606388003</v>
      </c>
      <c r="L9" s="3" t="s">
        <v>30</v>
      </c>
      <c r="M9" s="8">
        <v>0.2</v>
      </c>
      <c r="N9" s="22"/>
    </row>
    <row r="10" spans="2:14" x14ac:dyDescent="0.2">
      <c r="B10" s="3" t="s">
        <v>3</v>
      </c>
      <c r="C10" s="4">
        <v>-300</v>
      </c>
      <c r="D10" s="4">
        <v>-320</v>
      </c>
      <c r="E10" s="4">
        <v>-320</v>
      </c>
      <c r="F10" s="4">
        <v>-320</v>
      </c>
      <c r="G10" s="4">
        <v>-320</v>
      </c>
      <c r="H10" s="4">
        <v>-320</v>
      </c>
      <c r="M10" s="4"/>
    </row>
    <row r="11" spans="2:14" x14ac:dyDescent="0.2">
      <c r="B11" s="3" t="s">
        <v>4</v>
      </c>
      <c r="C11" s="4">
        <f>C9+C10</f>
        <v>1430</v>
      </c>
      <c r="D11" s="4">
        <f t="shared" ref="D11:H11" si="5">D9+D10</f>
        <v>1695.88</v>
      </c>
      <c r="E11" s="4">
        <f t="shared" si="5"/>
        <v>1836.9916000000003</v>
      </c>
      <c r="F11" s="4">
        <f t="shared" si="5"/>
        <v>1987.9810120000002</v>
      </c>
      <c r="G11" s="4">
        <f t="shared" si="5"/>
        <v>2149.5396828400008</v>
      </c>
      <c r="H11" s="4">
        <f t="shared" si="5"/>
        <v>2322.4074606388003</v>
      </c>
      <c r="L11" s="4"/>
      <c r="M11" s="4" t="s">
        <v>31</v>
      </c>
    </row>
    <row r="12" spans="2:14" x14ac:dyDescent="0.2">
      <c r="B12" s="3" t="s">
        <v>5</v>
      </c>
      <c r="C12" s="4">
        <v>-250</v>
      </c>
      <c r="D12" s="4">
        <f>D33+D34</f>
        <v>-683.35</v>
      </c>
      <c r="E12" s="4">
        <f>E33+E34</f>
        <v>-631.76467000000002</v>
      </c>
      <c r="F12" s="4">
        <f>F33+F34</f>
        <v>-569.18645642000001</v>
      </c>
      <c r="G12" s="4">
        <f>G33+G34</f>
        <v>-494.43247042252</v>
      </c>
      <c r="H12" s="4">
        <f>H33+H34</f>
        <v>-406.21387128019109</v>
      </c>
      <c r="L12" s="3" t="s">
        <v>32</v>
      </c>
      <c r="M12" s="30">
        <v>3</v>
      </c>
      <c r="N12" s="3" t="s">
        <v>34</v>
      </c>
    </row>
    <row r="13" spans="2:14" x14ac:dyDescent="0.2">
      <c r="B13" s="3" t="s">
        <v>12</v>
      </c>
      <c r="C13" s="4">
        <f t="shared" ref="C13" si="6">C11+C12</f>
        <v>1180</v>
      </c>
      <c r="D13" s="4">
        <f>D11+D12</f>
        <v>1012.5300000000001</v>
      </c>
      <c r="E13" s="4">
        <f>E11+E12</f>
        <v>1205.2269300000003</v>
      </c>
      <c r="F13" s="4">
        <f>F11+F12</f>
        <v>1418.7945555800002</v>
      </c>
      <c r="G13" s="4">
        <f>G11+G12</f>
        <v>1655.1072124174807</v>
      </c>
      <c r="H13" s="4">
        <f>H11+H12</f>
        <v>1916.1935893586092</v>
      </c>
      <c r="L13" s="4" t="s">
        <v>33</v>
      </c>
      <c r="M13" s="30">
        <v>3.5</v>
      </c>
      <c r="N13" s="3" t="s">
        <v>34</v>
      </c>
    </row>
    <row r="14" spans="2:14" x14ac:dyDescent="0.2">
      <c r="B14" s="3" t="s">
        <v>6</v>
      </c>
      <c r="C14" s="4">
        <v>-236</v>
      </c>
      <c r="D14" s="4">
        <f>-D13*$M$9</f>
        <v>-202.50600000000003</v>
      </c>
      <c r="E14" s="4">
        <f>-E13*$M$9</f>
        <v>-241.04538600000006</v>
      </c>
      <c r="F14" s="4">
        <f>-F13*$M$9</f>
        <v>-283.75891111600004</v>
      </c>
      <c r="G14" s="4">
        <f>-G13*$M$9</f>
        <v>-331.02144248349617</v>
      </c>
      <c r="H14" s="4">
        <f>-H13*$M$9</f>
        <v>-383.23871787172186</v>
      </c>
      <c r="L14" s="4"/>
      <c r="M14" s="4"/>
    </row>
    <row r="15" spans="2:14" ht="12.75" thickBot="1" x14ac:dyDescent="0.25">
      <c r="B15" s="14" t="s">
        <v>7</v>
      </c>
      <c r="C15" s="15">
        <f t="shared" ref="C15:H15" si="7">C13+C14</f>
        <v>944</v>
      </c>
      <c r="D15" s="15">
        <f t="shared" si="7"/>
        <v>810.02400000000011</v>
      </c>
      <c r="E15" s="15">
        <f t="shared" si="7"/>
        <v>964.18154400000026</v>
      </c>
      <c r="F15" s="15">
        <f t="shared" si="7"/>
        <v>1135.0356444640001</v>
      </c>
      <c r="G15" s="15">
        <f t="shared" si="7"/>
        <v>1324.0857699339845</v>
      </c>
      <c r="H15" s="15">
        <f t="shared" si="7"/>
        <v>1532.9548714868874</v>
      </c>
      <c r="L15" s="4"/>
      <c r="M15" s="31" t="s">
        <v>35</v>
      </c>
      <c r="N15" s="22"/>
    </row>
    <row r="16" spans="2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32</v>
      </c>
      <c r="M16" s="9">
        <v>0.05</v>
      </c>
      <c r="N16" s="22"/>
    </row>
    <row r="17" spans="2:14" x14ac:dyDescent="0.2">
      <c r="B17" s="18" t="s">
        <v>22</v>
      </c>
      <c r="C17" s="13" t="s">
        <v>15</v>
      </c>
      <c r="D17" s="16">
        <v>7.0000000000000007E-2</v>
      </c>
      <c r="E17" s="16">
        <f>$D$17</f>
        <v>7.0000000000000007E-2</v>
      </c>
      <c r="F17" s="16">
        <f t="shared" ref="F17:H17" si="8">$D$17</f>
        <v>7.0000000000000007E-2</v>
      </c>
      <c r="G17" s="16">
        <f t="shared" si="8"/>
        <v>7.0000000000000007E-2</v>
      </c>
      <c r="H17" s="16">
        <f t="shared" si="8"/>
        <v>7.0000000000000007E-2</v>
      </c>
      <c r="L17" s="4" t="s">
        <v>33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>
        <f>C18+2%</f>
        <v>-0.29948051948051946</v>
      </c>
      <c r="E18" s="16">
        <f>$D$18</f>
        <v>-0.29948051948051946</v>
      </c>
      <c r="F18" s="16">
        <f t="shared" ref="F18:H18" si="9">$D$18</f>
        <v>-0.29948051948051946</v>
      </c>
      <c r="G18" s="16">
        <f t="shared" si="9"/>
        <v>-0.29948051948051946</v>
      </c>
      <c r="H18" s="16">
        <f t="shared" si="9"/>
        <v>-0.29948051948051946</v>
      </c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>
        <f>C19+2%</f>
        <v>-0.21116883116883117</v>
      </c>
      <c r="E19" s="16">
        <f>$D$19</f>
        <v>-0.21116883116883117</v>
      </c>
      <c r="F19" s="16">
        <f t="shared" ref="F19:H19" si="10">$D$19</f>
        <v>-0.21116883116883117</v>
      </c>
      <c r="G19" s="16">
        <f t="shared" si="10"/>
        <v>-0.21116883116883117</v>
      </c>
      <c r="H19" s="16">
        <f t="shared" si="10"/>
        <v>-0.21116883116883117</v>
      </c>
      <c r="L19" s="3" t="s">
        <v>32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1">C9/C5</f>
        <v>0.44935064935064933</v>
      </c>
      <c r="D20" s="17">
        <f>$C$20</f>
        <v>0.44935064935064933</v>
      </c>
      <c r="E20" s="17">
        <f t="shared" ref="E20:H20" si="12">$C$20</f>
        <v>0.44935064935064933</v>
      </c>
      <c r="F20" s="17">
        <f t="shared" si="12"/>
        <v>0.44935064935064933</v>
      </c>
      <c r="G20" s="17">
        <f t="shared" si="12"/>
        <v>0.44935064935064933</v>
      </c>
      <c r="H20" s="17">
        <f t="shared" si="12"/>
        <v>0.44935064935064933</v>
      </c>
      <c r="L20" s="4" t="s">
        <v>33</v>
      </c>
      <c r="M20" s="4">
        <f>$C$9*M13</f>
        <v>6055</v>
      </c>
      <c r="N20" s="22"/>
    </row>
    <row r="21" spans="2:14" x14ac:dyDescent="0.2">
      <c r="L21" s="32" t="s">
        <v>36</v>
      </c>
      <c r="M21" s="32">
        <f>M19+M20</f>
        <v>11245</v>
      </c>
      <c r="N21" s="22"/>
    </row>
    <row r="22" spans="2:14" ht="12.75" thickBot="1" x14ac:dyDescent="0.25">
      <c r="B22" s="5" t="s">
        <v>25</v>
      </c>
      <c r="L22" s="4"/>
      <c r="M22" s="4"/>
      <c r="N22" s="22"/>
    </row>
    <row r="23" spans="2:14" x14ac:dyDescent="0.2">
      <c r="B23" s="19" t="s">
        <v>7</v>
      </c>
      <c r="C23" s="20">
        <f t="shared" ref="C23" si="13">C15</f>
        <v>944</v>
      </c>
      <c r="D23" s="20">
        <f>D15</f>
        <v>810.02400000000011</v>
      </c>
      <c r="E23" s="20">
        <f>E15</f>
        <v>964.18154400000026</v>
      </c>
      <c r="F23" s="20">
        <f>F15</f>
        <v>1135.0356444640001</v>
      </c>
      <c r="G23" s="20">
        <f>G15</f>
        <v>1324.0857699339845</v>
      </c>
      <c r="H23" s="20">
        <f>H15</f>
        <v>1532.9548714868874</v>
      </c>
      <c r="N23" s="22"/>
    </row>
    <row r="24" spans="2:14" x14ac:dyDescent="0.2">
      <c r="B24" s="3" t="s">
        <v>18</v>
      </c>
      <c r="C24" s="4">
        <f t="shared" ref="C24:H24" si="14">-C10</f>
        <v>300</v>
      </c>
      <c r="D24" s="4">
        <f t="shared" si="14"/>
        <v>320</v>
      </c>
      <c r="E24" s="4">
        <f t="shared" si="14"/>
        <v>320</v>
      </c>
      <c r="F24" s="4">
        <f t="shared" si="14"/>
        <v>320</v>
      </c>
      <c r="G24" s="4">
        <f t="shared" si="14"/>
        <v>320</v>
      </c>
      <c r="H24" s="4">
        <f t="shared" si="14"/>
        <v>320</v>
      </c>
      <c r="L24" s="3" t="s">
        <v>40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>1%*G5</f>
        <v>50.465646385000014</v>
      </c>
      <c r="H25" s="4">
        <f>1%*H5</f>
        <v>53.998241631950016</v>
      </c>
      <c r="L25" s="3" t="s">
        <v>41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15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>G10</f>
        <v>-320</v>
      </c>
      <c r="H26" s="4">
        <f>H10</f>
        <v>-320</v>
      </c>
      <c r="L26" s="4" t="s">
        <v>42</v>
      </c>
      <c r="M26" s="4">
        <f>M25+M8</f>
        <v>14668.500000000002</v>
      </c>
      <c r="N26" s="22"/>
    </row>
    <row r="27" spans="2:14" ht="12.75" thickBot="1" x14ac:dyDescent="0.25">
      <c r="B27" s="14" t="s">
        <v>26</v>
      </c>
      <c r="C27" s="15">
        <f t="shared" ref="C27:E27" si="16">SUM(C23:C26)</f>
        <v>894</v>
      </c>
      <c r="D27" s="15">
        <f t="shared" si="16"/>
        <v>851.21900000000005</v>
      </c>
      <c r="E27" s="15">
        <f t="shared" si="16"/>
        <v>1008.2601940000002</v>
      </c>
      <c r="F27" s="15">
        <f t="shared" ref="F27:G27" si="17">SUM(F23:F26)</f>
        <v>1182.1997999640002</v>
      </c>
      <c r="G27" s="15">
        <f t="shared" si="17"/>
        <v>1374.5514163189846</v>
      </c>
      <c r="H27" s="15">
        <f t="shared" ref="H27" si="18">SUM(H23:H26)</f>
        <v>1586.9531131188376</v>
      </c>
      <c r="L27" s="4" t="s">
        <v>43</v>
      </c>
      <c r="M27" s="34">
        <f>M26/C9</f>
        <v>8.4789017341040473</v>
      </c>
      <c r="N27" s="22"/>
    </row>
    <row r="28" spans="2:14" x14ac:dyDescent="0.2">
      <c r="L28" s="3" t="s">
        <v>44</v>
      </c>
      <c r="M28" s="4">
        <f>M26-M21</f>
        <v>3423.5000000000018</v>
      </c>
      <c r="N28" s="22"/>
    </row>
    <row r="29" spans="2:14" ht="12.75" thickBot="1" x14ac:dyDescent="0.25">
      <c r="B29" s="5" t="s">
        <v>45</v>
      </c>
      <c r="L29" s="4"/>
      <c r="M29" s="4"/>
      <c r="N29" s="22"/>
    </row>
    <row r="30" spans="2:14" x14ac:dyDescent="0.2">
      <c r="B30" s="19" t="s">
        <v>46</v>
      </c>
      <c r="C30" s="20">
        <f>M19</f>
        <v>5190</v>
      </c>
      <c r="D30" s="20">
        <f>C30-D36</f>
        <v>4790</v>
      </c>
      <c r="E30" s="20">
        <f t="shared" ref="E30:H30" si="19">D30-E36</f>
        <v>4390</v>
      </c>
      <c r="F30" s="20">
        <f t="shared" si="19"/>
        <v>3990</v>
      </c>
      <c r="G30" s="20">
        <f t="shared" si="19"/>
        <v>3590</v>
      </c>
      <c r="H30" s="20">
        <f t="shared" si="19"/>
        <v>3190</v>
      </c>
      <c r="L30" s="33" t="s">
        <v>37</v>
      </c>
      <c r="M30" s="33"/>
      <c r="N30" s="22"/>
    </row>
    <row r="31" spans="2:14" x14ac:dyDescent="0.2">
      <c r="B31" s="22" t="s">
        <v>47</v>
      </c>
      <c r="C31" s="27">
        <f>M20</f>
        <v>6055</v>
      </c>
      <c r="D31" s="27">
        <f>C31-D37</f>
        <v>5603.7809999999999</v>
      </c>
      <c r="E31" s="27">
        <f t="shared" ref="E31:H31" si="20">D31-E37</f>
        <v>4995.5208059999995</v>
      </c>
      <c r="F31" s="27">
        <f t="shared" si="20"/>
        <v>4213.3210060359997</v>
      </c>
      <c r="G31" s="27">
        <f t="shared" si="20"/>
        <v>3238.7695897170152</v>
      </c>
      <c r="H31" s="27">
        <f t="shared" si="20"/>
        <v>2051.8164765981774</v>
      </c>
      <c r="L31" s="3" t="s">
        <v>38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39</v>
      </c>
      <c r="M32" s="4"/>
      <c r="N32" s="22"/>
    </row>
    <row r="33" spans="2:14" x14ac:dyDescent="0.2">
      <c r="B33" s="22" t="s">
        <v>48</v>
      </c>
      <c r="C33" s="22"/>
      <c r="D33" s="28">
        <f>-C30*$M$16</f>
        <v>-259.5</v>
      </c>
      <c r="E33" s="28">
        <f t="shared" ref="E33:H33" si="21">-D30*$M$16</f>
        <v>-239.5</v>
      </c>
      <c r="F33" s="28">
        <f t="shared" si="21"/>
        <v>-219.5</v>
      </c>
      <c r="G33" s="28">
        <f t="shared" si="21"/>
        <v>-199.5</v>
      </c>
      <c r="H33" s="28">
        <f t="shared" si="21"/>
        <v>-179.5</v>
      </c>
      <c r="L33" s="25"/>
      <c r="M33" s="22"/>
      <c r="N33" s="22"/>
    </row>
    <row r="34" spans="2:14" x14ac:dyDescent="0.2">
      <c r="B34" s="22" t="s">
        <v>49</v>
      </c>
      <c r="C34" s="22"/>
      <c r="D34" s="28">
        <f>-C31*$M$17</f>
        <v>-423.85</v>
      </c>
      <c r="E34" s="28">
        <f t="shared" ref="E34:H34" si="22">-D31*$M$17</f>
        <v>-392.26467000000002</v>
      </c>
      <c r="F34" s="28">
        <f t="shared" si="22"/>
        <v>-349.68645642000001</v>
      </c>
      <c r="G34" s="28">
        <f t="shared" si="22"/>
        <v>-294.93247042252</v>
      </c>
      <c r="H34" s="28">
        <f t="shared" si="22"/>
        <v>-226.71387128019109</v>
      </c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 t="s">
        <v>50</v>
      </c>
      <c r="C36" s="22"/>
      <c r="D36" s="28">
        <v>400</v>
      </c>
      <c r="E36" s="28">
        <v>400</v>
      </c>
      <c r="F36" s="28">
        <v>400</v>
      </c>
      <c r="G36" s="28">
        <v>400</v>
      </c>
      <c r="H36" s="28">
        <v>400</v>
      </c>
      <c r="L36" s="22"/>
      <c r="M36" s="22"/>
      <c r="N36" s="22"/>
    </row>
    <row r="37" spans="2:14" x14ac:dyDescent="0.2">
      <c r="B37" s="22" t="s">
        <v>51</v>
      </c>
      <c r="C37" s="22"/>
      <c r="D37" s="28">
        <f>IF(D27&gt;400,D27-D36,0)</f>
        <v>451.21900000000005</v>
      </c>
      <c r="E37" s="28">
        <f>IF(E27&gt;400,E27-E36,0)</f>
        <v>608.26019400000018</v>
      </c>
      <c r="F37" s="28">
        <f>IF(F27&gt;400,F27-F36,0)</f>
        <v>782.19979996400025</v>
      </c>
      <c r="G37" s="28">
        <f>IF(G27&gt;400,G27-G36,0)</f>
        <v>974.55141631898459</v>
      </c>
      <c r="H37" s="28">
        <f>IF(H27&gt;400,H27-H36,0)</f>
        <v>1186.9531131188376</v>
      </c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B39" s="37" t="s">
        <v>55</v>
      </c>
      <c r="C39" s="35"/>
      <c r="D39" s="36"/>
      <c r="E39" s="36"/>
      <c r="F39" s="36"/>
      <c r="G39" s="36"/>
      <c r="H39" s="10"/>
    </row>
    <row r="40" spans="2:14" x14ac:dyDescent="0.2">
      <c r="B40" s="10" t="s">
        <v>32</v>
      </c>
      <c r="C40" s="11">
        <f>H30</f>
        <v>3190</v>
      </c>
      <c r="D40" s="10"/>
      <c r="E40" s="10"/>
      <c r="F40" s="10"/>
      <c r="G40" s="10"/>
      <c r="H40" s="10"/>
    </row>
    <row r="41" spans="2:14" x14ac:dyDescent="0.2">
      <c r="B41" s="10" t="s">
        <v>33</v>
      </c>
      <c r="C41" s="11">
        <f>H31</f>
        <v>2051.8164765981774</v>
      </c>
      <c r="D41" s="10"/>
      <c r="E41" s="10"/>
      <c r="F41" s="10"/>
      <c r="G41" s="10"/>
      <c r="H41" s="10"/>
    </row>
    <row r="42" spans="2:14" x14ac:dyDescent="0.2">
      <c r="B42" s="10" t="s">
        <v>53</v>
      </c>
      <c r="C42" s="11">
        <f>M27*H9</f>
        <v>22404.713200219798</v>
      </c>
      <c r="D42" s="10"/>
      <c r="E42" s="10"/>
      <c r="F42" s="10"/>
      <c r="G42" s="10"/>
      <c r="H42" s="10"/>
    </row>
    <row r="43" spans="2:14" x14ac:dyDescent="0.2">
      <c r="B43" s="10" t="s">
        <v>29</v>
      </c>
      <c r="C43" s="11">
        <f>C40+C41</f>
        <v>5241.8164765981774</v>
      </c>
      <c r="D43" s="10"/>
      <c r="E43" s="10"/>
      <c r="F43" s="10"/>
      <c r="G43" s="10"/>
      <c r="H43" s="10"/>
    </row>
    <row r="44" spans="2:14" x14ac:dyDescent="0.2">
      <c r="B44" s="10" t="s">
        <v>54</v>
      </c>
      <c r="C44" s="11">
        <f>C42-C43</f>
        <v>17162.896723621619</v>
      </c>
      <c r="D44" s="10"/>
      <c r="E44" s="10"/>
      <c r="F44" s="10"/>
      <c r="G44" s="10"/>
      <c r="H44" s="10"/>
      <c r="I44" s="3" t="s">
        <v>57</v>
      </c>
      <c r="K44" s="30">
        <f>C44/M28</f>
        <v>5.0132603252874572</v>
      </c>
    </row>
    <row r="45" spans="2:14" x14ac:dyDescent="0.2">
      <c r="B45" s="10" t="s">
        <v>56</v>
      </c>
      <c r="C45" s="10"/>
      <c r="D45" s="11">
        <f>-M28</f>
        <v>-3423.5000000000018</v>
      </c>
      <c r="E45" s="10">
        <v>0</v>
      </c>
      <c r="F45" s="10">
        <v>0</v>
      </c>
      <c r="G45" s="10">
        <v>0</v>
      </c>
      <c r="H45" s="11">
        <f>C44</f>
        <v>17162.896723621619</v>
      </c>
    </row>
    <row r="46" spans="2:14" x14ac:dyDescent="0.2">
      <c r="B46" s="38" t="s">
        <v>52</v>
      </c>
      <c r="C46" s="39">
        <f>IRR(D45:H45)</f>
        <v>0.49633923729483431</v>
      </c>
      <c r="D46" s="38"/>
      <c r="E46" s="38"/>
      <c r="F46" s="38"/>
      <c r="G46" s="38"/>
      <c r="H46" s="38"/>
    </row>
    <row r="48" spans="2:14" x14ac:dyDescent="0.2">
      <c r="B48" s="43" t="s">
        <v>58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2022-07-19T15:37:08Z</dcterms:modified>
</cp:coreProperties>
</file>