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pr4001\Downloads\"/>
    </mc:Choice>
  </mc:AlternateContent>
  <xr:revisionPtr revIDLastSave="0" documentId="13_ncr:1_{9D949BB8-51A5-46C5-A280-39845EC89042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Profit &amp; Loss" sheetId="1" r:id="rId1"/>
    <sheet name="Quarters" sheetId="3" r:id="rId2"/>
    <sheet name="Balance Sheet" sheetId="2" r:id="rId3"/>
    <sheet name="Finacials" sheetId="7" r:id="rId4"/>
    <sheet name="Historical FS" sheetId="8" r:id="rId5"/>
    <sheet name="Ratio Analysis" sheetId="11" r:id="rId6"/>
    <sheet name="Forecasting" sheetId="12" r:id="rId7"/>
    <sheet name="Data" sheetId="9" r:id="rId8"/>
    <sheet name="Data Sheet" sheetId="6" r:id="rId9"/>
    <sheet name="Cash Flow Data" sheetId="10" r:id="rId10"/>
    <sheet name="Cash Flow" sheetId="4" r:id="rId11"/>
    <sheet name="Customization" sheetId="5" r:id="rId12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12" l="1"/>
  <c r="N16" i="12"/>
  <c r="N17" i="12"/>
  <c r="N18" i="12"/>
  <c r="N14" i="12"/>
  <c r="N4" i="12" a="1"/>
  <c r="N4" i="12" s="1"/>
  <c r="L2" i="12"/>
  <c r="L5" i="12"/>
  <c r="L6" i="12" s="1"/>
  <c r="L7" i="12" s="1"/>
  <c r="L8" i="12" s="1"/>
  <c r="L9" i="12" s="1"/>
  <c r="L10" i="12" s="1"/>
  <c r="L11" i="12" s="1"/>
  <c r="L12" i="12" s="1"/>
  <c r="L13" i="12" s="1"/>
  <c r="L14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J14" i="12"/>
  <c r="J15" i="12"/>
  <c r="J16" i="12"/>
  <c r="J17" i="12"/>
  <c r="J18" i="12"/>
  <c r="I15" i="12"/>
  <c r="I16" i="12"/>
  <c r="I17" i="12"/>
  <c r="I18" i="12"/>
  <c r="I14" i="12"/>
  <c r="I4" i="12" a="1"/>
  <c r="I4" i="12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B2" i="12"/>
  <c r="G2" i="12"/>
  <c r="D4" i="12" a="1"/>
  <c r="D4" i="12" s="1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N10" i="12" l="1"/>
  <c r="N9" i="12"/>
  <c r="N8" i="12"/>
  <c r="N7" i="12"/>
  <c r="N11" i="12"/>
  <c r="N6" i="12"/>
  <c r="N13" i="12"/>
  <c r="O13" i="12" s="1"/>
  <c r="N5" i="12"/>
  <c r="O5" i="12" s="1"/>
  <c r="N12" i="12"/>
  <c r="L15" i="12"/>
  <c r="O10" i="12"/>
  <c r="O7" i="12"/>
  <c r="O9" i="12"/>
  <c r="I11" i="12"/>
  <c r="J11" i="12" s="1"/>
  <c r="I10" i="12"/>
  <c r="I8" i="12"/>
  <c r="I9" i="12"/>
  <c r="J10" i="12" s="1"/>
  <c r="I7" i="12"/>
  <c r="I13" i="12"/>
  <c r="I6" i="12"/>
  <c r="J6" i="12" s="1"/>
  <c r="I5" i="12"/>
  <c r="I12" i="12"/>
  <c r="J12" i="12"/>
  <c r="G15" i="12"/>
  <c r="J5" i="12"/>
  <c r="J7" i="12"/>
  <c r="D10" i="12"/>
  <c r="D9" i="12"/>
  <c r="D8" i="12"/>
  <c r="D7" i="12"/>
  <c r="D12" i="12"/>
  <c r="E12" i="12" s="1"/>
  <c r="D6" i="12"/>
  <c r="D11" i="12"/>
  <c r="D13" i="12"/>
  <c r="D5" i="12"/>
  <c r="E5" i="12" s="1"/>
  <c r="O14" i="12" l="1"/>
  <c r="O6" i="12"/>
  <c r="O11" i="12"/>
  <c r="L16" i="12"/>
  <c r="O15" i="12"/>
  <c r="O8" i="12"/>
  <c r="O12" i="12"/>
  <c r="E9" i="12"/>
  <c r="E11" i="12"/>
  <c r="E7" i="12"/>
  <c r="E10" i="12"/>
  <c r="E13" i="12"/>
  <c r="E6" i="12"/>
  <c r="D16" i="12"/>
  <c r="E16" i="12" s="1"/>
  <c r="D17" i="12"/>
  <c r="D14" i="12"/>
  <c r="E14" i="12" s="1"/>
  <c r="E8" i="12"/>
  <c r="D18" i="12"/>
  <c r="D15" i="12"/>
  <c r="J13" i="12"/>
  <c r="G16" i="12"/>
  <c r="J8" i="12"/>
  <c r="J9" i="12"/>
  <c r="O16" i="12" l="1"/>
  <c r="L17" i="12"/>
  <c r="E17" i="12"/>
  <c r="E15" i="12"/>
  <c r="E18" i="12"/>
  <c r="G17" i="12"/>
  <c r="O6" i="11"/>
  <c r="O7" i="11"/>
  <c r="O8" i="11"/>
  <c r="O9" i="11"/>
  <c r="O11" i="11"/>
  <c r="O12" i="11"/>
  <c r="O13" i="11"/>
  <c r="O14" i="11"/>
  <c r="O15" i="11"/>
  <c r="O17" i="11"/>
  <c r="O18" i="11"/>
  <c r="O19" i="11"/>
  <c r="O21" i="11"/>
  <c r="O22" i="11"/>
  <c r="O23" i="11"/>
  <c r="O24" i="11"/>
  <c r="O25" i="11"/>
  <c r="O27" i="11"/>
  <c r="O28" i="11"/>
  <c r="O29" i="11"/>
  <c r="O30" i="11"/>
  <c r="O31" i="11"/>
  <c r="O33" i="11"/>
  <c r="O34" i="11"/>
  <c r="O35" i="11"/>
  <c r="O36" i="11"/>
  <c r="O38" i="11"/>
  <c r="O39" i="11"/>
  <c r="O40" i="11"/>
  <c r="O5" i="11"/>
  <c r="N39" i="11"/>
  <c r="N40" i="11"/>
  <c r="N38" i="11"/>
  <c r="N34" i="11"/>
  <c r="N35" i="11"/>
  <c r="N36" i="11"/>
  <c r="N33" i="11"/>
  <c r="N28" i="11"/>
  <c r="N29" i="11"/>
  <c r="N30" i="11"/>
  <c r="N31" i="11"/>
  <c r="N27" i="11"/>
  <c r="N22" i="11"/>
  <c r="N23" i="11"/>
  <c r="N24" i="11"/>
  <c r="N25" i="11"/>
  <c r="N21" i="11"/>
  <c r="N18" i="11"/>
  <c r="N19" i="11"/>
  <c r="N17" i="11"/>
  <c r="N12" i="11"/>
  <c r="N13" i="11"/>
  <c r="N14" i="11"/>
  <c r="N15" i="11"/>
  <c r="N11" i="11"/>
  <c r="N6" i="11"/>
  <c r="N7" i="11"/>
  <c r="N8" i="11"/>
  <c r="N9" i="11"/>
  <c r="N5" i="11"/>
  <c r="D38" i="11"/>
  <c r="E38" i="11"/>
  <c r="F38" i="11"/>
  <c r="G38" i="11"/>
  <c r="H38" i="11"/>
  <c r="I38" i="11"/>
  <c r="J38" i="11"/>
  <c r="K38" i="11"/>
  <c r="L38" i="11"/>
  <c r="D39" i="11"/>
  <c r="E39" i="11"/>
  <c r="F39" i="11"/>
  <c r="G39" i="11"/>
  <c r="H39" i="11"/>
  <c r="I39" i="11"/>
  <c r="J39" i="11"/>
  <c r="K39" i="11"/>
  <c r="L39" i="11"/>
  <c r="D40" i="11"/>
  <c r="E40" i="11"/>
  <c r="F40" i="11"/>
  <c r="G40" i="11"/>
  <c r="H40" i="11"/>
  <c r="I40" i="11"/>
  <c r="J40" i="11"/>
  <c r="K40" i="11"/>
  <c r="L40" i="11"/>
  <c r="C40" i="11"/>
  <c r="C39" i="11"/>
  <c r="C38" i="11"/>
  <c r="L35" i="11"/>
  <c r="D35" i="11"/>
  <c r="E34" i="11"/>
  <c r="F33" i="11"/>
  <c r="L31" i="11"/>
  <c r="K31" i="11"/>
  <c r="J31" i="11"/>
  <c r="I31" i="11"/>
  <c r="H31" i="11"/>
  <c r="G31" i="11"/>
  <c r="F31" i="11"/>
  <c r="E31" i="11"/>
  <c r="D31" i="11"/>
  <c r="L30" i="11"/>
  <c r="K30" i="11"/>
  <c r="J30" i="11"/>
  <c r="I30" i="11"/>
  <c r="H30" i="11"/>
  <c r="G30" i="11"/>
  <c r="F30" i="11"/>
  <c r="E30" i="11"/>
  <c r="D30" i="11"/>
  <c r="L29" i="11"/>
  <c r="K29" i="11"/>
  <c r="K35" i="11" s="1"/>
  <c r="J29" i="11"/>
  <c r="J35" i="11" s="1"/>
  <c r="I29" i="11"/>
  <c r="I35" i="11" s="1"/>
  <c r="H29" i="11"/>
  <c r="H35" i="11" s="1"/>
  <c r="G29" i="11"/>
  <c r="G35" i="11" s="1"/>
  <c r="F29" i="11"/>
  <c r="F35" i="11" s="1"/>
  <c r="F36" i="11" s="1"/>
  <c r="E29" i="11"/>
  <c r="E35" i="11" s="1"/>
  <c r="D29" i="11"/>
  <c r="L28" i="11"/>
  <c r="L34" i="11" s="1"/>
  <c r="K28" i="11"/>
  <c r="K34" i="11" s="1"/>
  <c r="J28" i="11"/>
  <c r="J34" i="11" s="1"/>
  <c r="I28" i="11"/>
  <c r="I34" i="11" s="1"/>
  <c r="H28" i="11"/>
  <c r="H34" i="11" s="1"/>
  <c r="G28" i="11"/>
  <c r="G34" i="11" s="1"/>
  <c r="G36" i="11" s="1"/>
  <c r="F28" i="11"/>
  <c r="F34" i="11" s="1"/>
  <c r="E28" i="11"/>
  <c r="D28" i="11"/>
  <c r="D34" i="11" s="1"/>
  <c r="L27" i="11"/>
  <c r="L33" i="11" s="1"/>
  <c r="K27" i="11"/>
  <c r="K33" i="11" s="1"/>
  <c r="J27" i="11"/>
  <c r="J33" i="11" s="1"/>
  <c r="I27" i="11"/>
  <c r="I33" i="11" s="1"/>
  <c r="H27" i="11"/>
  <c r="H33" i="11" s="1"/>
  <c r="G27" i="11"/>
  <c r="G33" i="11" s="1"/>
  <c r="F27" i="11"/>
  <c r="E27" i="11"/>
  <c r="E33" i="11" s="1"/>
  <c r="E36" i="11" s="1"/>
  <c r="D27" i="11"/>
  <c r="D33" i="11" s="1"/>
  <c r="C31" i="11"/>
  <c r="C30" i="11"/>
  <c r="C29" i="11"/>
  <c r="C35" i="11" s="1"/>
  <c r="C28" i="11"/>
  <c r="C34" i="11" s="1"/>
  <c r="C27" i="11"/>
  <c r="C33" i="11" s="1"/>
  <c r="L25" i="11"/>
  <c r="K25" i="11"/>
  <c r="J25" i="11"/>
  <c r="I25" i="11"/>
  <c r="H25" i="11"/>
  <c r="G25" i="11"/>
  <c r="F25" i="11"/>
  <c r="E25" i="11"/>
  <c r="D25" i="11"/>
  <c r="L23" i="11"/>
  <c r="K23" i="11"/>
  <c r="J23" i="11"/>
  <c r="I23" i="11"/>
  <c r="H23" i="11"/>
  <c r="G23" i="11"/>
  <c r="F23" i="11"/>
  <c r="E23" i="11"/>
  <c r="D23" i="11"/>
  <c r="L22" i="11"/>
  <c r="L24" i="11" s="1"/>
  <c r="K22" i="11"/>
  <c r="K24" i="11" s="1"/>
  <c r="J22" i="11"/>
  <c r="J24" i="11" s="1"/>
  <c r="I22" i="11"/>
  <c r="I24" i="11" s="1"/>
  <c r="H22" i="11"/>
  <c r="H24" i="11" s="1"/>
  <c r="G22" i="11"/>
  <c r="G24" i="11" s="1"/>
  <c r="F22" i="11"/>
  <c r="E22" i="11"/>
  <c r="E24" i="11" s="1"/>
  <c r="D22" i="11"/>
  <c r="D24" i="11" s="1"/>
  <c r="L21" i="11"/>
  <c r="K21" i="11"/>
  <c r="J21" i="11"/>
  <c r="I21" i="11"/>
  <c r="H21" i="11"/>
  <c r="G21" i="11"/>
  <c r="F21" i="11"/>
  <c r="E21" i="11"/>
  <c r="D21" i="11"/>
  <c r="C25" i="11"/>
  <c r="J7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C23" i="11"/>
  <c r="C22" i="11"/>
  <c r="C24" i="11" s="1"/>
  <c r="C21" i="11"/>
  <c r="L18" i="11"/>
  <c r="K18" i="11"/>
  <c r="J18" i="11"/>
  <c r="I18" i="11"/>
  <c r="H18" i="11"/>
  <c r="G18" i="11"/>
  <c r="F18" i="11"/>
  <c r="E18" i="11"/>
  <c r="D18" i="11"/>
  <c r="L17" i="11"/>
  <c r="K17" i="11"/>
  <c r="J17" i="11"/>
  <c r="I17" i="11"/>
  <c r="H17" i="11"/>
  <c r="G17" i="11"/>
  <c r="F17" i="11"/>
  <c r="E17" i="11"/>
  <c r="D17" i="11"/>
  <c r="C18" i="11"/>
  <c r="C17" i="11"/>
  <c r="L15" i="11"/>
  <c r="K15" i="11"/>
  <c r="J15" i="11"/>
  <c r="I15" i="11"/>
  <c r="H15" i="11"/>
  <c r="G15" i="11"/>
  <c r="F15" i="11"/>
  <c r="E15" i="11"/>
  <c r="D15" i="11"/>
  <c r="L14" i="11"/>
  <c r="K14" i="11"/>
  <c r="J14" i="11"/>
  <c r="I14" i="11"/>
  <c r="H14" i="11"/>
  <c r="G14" i="11"/>
  <c r="F14" i="11"/>
  <c r="E14" i="11"/>
  <c r="D14" i="11"/>
  <c r="L13" i="11"/>
  <c r="L19" i="11" s="1"/>
  <c r="K13" i="11"/>
  <c r="K19" i="11" s="1"/>
  <c r="J13" i="11"/>
  <c r="J19" i="11" s="1"/>
  <c r="I13" i="11"/>
  <c r="I19" i="11" s="1"/>
  <c r="H13" i="11"/>
  <c r="H19" i="11" s="1"/>
  <c r="G13" i="11"/>
  <c r="G19" i="11" s="1"/>
  <c r="F13" i="11"/>
  <c r="F19" i="11" s="1"/>
  <c r="E13" i="11"/>
  <c r="E19" i="11" s="1"/>
  <c r="D13" i="11"/>
  <c r="D19" i="11" s="1"/>
  <c r="L12" i="11"/>
  <c r="K12" i="11"/>
  <c r="J12" i="11"/>
  <c r="I12" i="11"/>
  <c r="H12" i="11"/>
  <c r="G12" i="11"/>
  <c r="F12" i="11"/>
  <c r="E12" i="11"/>
  <c r="D12" i="11"/>
  <c r="L11" i="11"/>
  <c r="K11" i="11"/>
  <c r="J11" i="11"/>
  <c r="I11" i="11"/>
  <c r="H11" i="11"/>
  <c r="G11" i="11"/>
  <c r="F11" i="11"/>
  <c r="E11" i="11"/>
  <c r="D11" i="11"/>
  <c r="C13" i="11"/>
  <c r="C19" i="11" s="1"/>
  <c r="C15" i="11"/>
  <c r="C14" i="11"/>
  <c r="C12" i="11"/>
  <c r="C11" i="11"/>
  <c r="D9" i="11"/>
  <c r="D8" i="11"/>
  <c r="D7" i="11"/>
  <c r="D6" i="11"/>
  <c r="D5" i="11"/>
  <c r="E5" i="11"/>
  <c r="F5" i="11"/>
  <c r="G5" i="11"/>
  <c r="H5" i="11"/>
  <c r="I5" i="11"/>
  <c r="J5" i="11"/>
  <c r="K5" i="11"/>
  <c r="L5" i="11"/>
  <c r="C5" i="11"/>
  <c r="C3" i="11"/>
  <c r="D3" i="11"/>
  <c r="E3" i="11"/>
  <c r="F3" i="11"/>
  <c r="G3" i="11"/>
  <c r="H3" i="11"/>
  <c r="I3" i="11"/>
  <c r="J3" i="11"/>
  <c r="K3" i="11"/>
  <c r="L3" i="11"/>
  <c r="B2" i="11"/>
  <c r="L18" i="12" l="1"/>
  <c r="O17" i="12"/>
  <c r="G18" i="12"/>
  <c r="J36" i="11"/>
  <c r="K36" i="11"/>
  <c r="D36" i="11"/>
  <c r="L36" i="11"/>
  <c r="C36" i="11"/>
  <c r="H36" i="11"/>
  <c r="I36" i="11"/>
  <c r="F24" i="11"/>
  <c r="O18" i="12" l="1"/>
  <c r="E57" i="8" l="1"/>
  <c r="K57" i="8"/>
  <c r="D56" i="8"/>
  <c r="E56" i="8"/>
  <c r="F56" i="8"/>
  <c r="G56" i="8"/>
  <c r="H56" i="8"/>
  <c r="I56" i="8"/>
  <c r="J56" i="8"/>
  <c r="K56" i="8"/>
  <c r="L56" i="8"/>
  <c r="C56" i="8"/>
  <c r="D59" i="8"/>
  <c r="E59" i="8"/>
  <c r="F59" i="8"/>
  <c r="F62" i="8" s="1"/>
  <c r="G59" i="8"/>
  <c r="G62" i="8" s="1"/>
  <c r="G64" i="8" s="1"/>
  <c r="G66" i="8" s="1"/>
  <c r="H59" i="8"/>
  <c r="I59" i="8"/>
  <c r="I62" i="8" s="1"/>
  <c r="J59" i="8"/>
  <c r="J62" i="8" s="1"/>
  <c r="K59" i="8"/>
  <c r="K62" i="8" s="1"/>
  <c r="K64" i="8" s="1"/>
  <c r="K66" i="8" s="1"/>
  <c r="L59" i="8"/>
  <c r="D60" i="8"/>
  <c r="E60" i="8"/>
  <c r="F60" i="8"/>
  <c r="G60" i="8"/>
  <c r="H60" i="8"/>
  <c r="I60" i="8"/>
  <c r="J60" i="8"/>
  <c r="K60" i="8"/>
  <c r="L60" i="8"/>
  <c r="D61" i="8"/>
  <c r="D62" i="8" s="1"/>
  <c r="D64" i="8" s="1"/>
  <c r="D66" i="8" s="1"/>
  <c r="E61" i="8"/>
  <c r="E62" i="8" s="1"/>
  <c r="E64" i="8" s="1"/>
  <c r="E66" i="8" s="1"/>
  <c r="F61" i="8"/>
  <c r="G61" i="8"/>
  <c r="H61" i="8"/>
  <c r="H62" i="8" s="1"/>
  <c r="I61" i="8"/>
  <c r="J61" i="8"/>
  <c r="K61" i="8"/>
  <c r="L61" i="8"/>
  <c r="L62" i="8" s="1"/>
  <c r="L64" i="8" s="1"/>
  <c r="L66" i="8" s="1"/>
  <c r="C60" i="8"/>
  <c r="C62" i="8" s="1"/>
  <c r="C64" i="8" s="1"/>
  <c r="C66" i="8" s="1"/>
  <c r="C61" i="8"/>
  <c r="C59" i="8"/>
  <c r="D53" i="8"/>
  <c r="D57" i="8" s="1"/>
  <c r="E53" i="8"/>
  <c r="F53" i="8"/>
  <c r="G53" i="8"/>
  <c r="G57" i="8" s="1"/>
  <c r="H53" i="8"/>
  <c r="H57" i="8" s="1"/>
  <c r="I53" i="8"/>
  <c r="I57" i="8" s="1"/>
  <c r="J53" i="8"/>
  <c r="K53" i="8"/>
  <c r="L53" i="8"/>
  <c r="L57" i="8" s="1"/>
  <c r="D54" i="8"/>
  <c r="E54" i="8"/>
  <c r="F54" i="8"/>
  <c r="G54" i="8"/>
  <c r="H54" i="8"/>
  <c r="I54" i="8"/>
  <c r="J54" i="8"/>
  <c r="K54" i="8"/>
  <c r="L54" i="8"/>
  <c r="D55" i="8"/>
  <c r="E55" i="8"/>
  <c r="F55" i="8"/>
  <c r="F57" i="8" s="1"/>
  <c r="G55" i="8"/>
  <c r="H55" i="8"/>
  <c r="I55" i="8"/>
  <c r="J55" i="8"/>
  <c r="J57" i="8" s="1"/>
  <c r="K55" i="8"/>
  <c r="L55" i="8"/>
  <c r="C54" i="8"/>
  <c r="C55" i="8"/>
  <c r="C53" i="8"/>
  <c r="C57" i="8" s="1"/>
  <c r="D47" i="8"/>
  <c r="E47" i="8"/>
  <c r="F47" i="8"/>
  <c r="G47" i="8"/>
  <c r="H47" i="8"/>
  <c r="I47" i="8"/>
  <c r="J47" i="8"/>
  <c r="K47" i="8"/>
  <c r="L47" i="8"/>
  <c r="D48" i="8"/>
  <c r="E48" i="8"/>
  <c r="F48" i="8"/>
  <c r="G48" i="8"/>
  <c r="H48" i="8"/>
  <c r="I48" i="8"/>
  <c r="J48" i="8"/>
  <c r="K48" i="8"/>
  <c r="L48" i="8"/>
  <c r="D49" i="8"/>
  <c r="E49" i="8"/>
  <c r="F49" i="8"/>
  <c r="G49" i="8"/>
  <c r="H49" i="8"/>
  <c r="I49" i="8"/>
  <c r="J49" i="8"/>
  <c r="K49" i="8"/>
  <c r="L49" i="8"/>
  <c r="D50" i="8"/>
  <c r="E50" i="8"/>
  <c r="F50" i="8"/>
  <c r="G50" i="8"/>
  <c r="H50" i="8"/>
  <c r="I50" i="8"/>
  <c r="J50" i="8"/>
  <c r="K50" i="8"/>
  <c r="L50" i="8"/>
  <c r="D51" i="8"/>
  <c r="E51" i="8"/>
  <c r="F51" i="8"/>
  <c r="G51" i="8"/>
  <c r="H51" i="8"/>
  <c r="I51" i="8"/>
  <c r="J51" i="8"/>
  <c r="K51" i="8"/>
  <c r="L51" i="8"/>
  <c r="C51" i="8"/>
  <c r="C48" i="8"/>
  <c r="C49" i="8"/>
  <c r="C50" i="8"/>
  <c r="C47" i="8"/>
  <c r="D9" i="8"/>
  <c r="E9" i="8"/>
  <c r="F9" i="8"/>
  <c r="G9" i="8"/>
  <c r="H9" i="8"/>
  <c r="I9" i="8"/>
  <c r="J9" i="8"/>
  <c r="K9" i="8"/>
  <c r="L9" i="8"/>
  <c r="D36" i="8"/>
  <c r="D41" i="8" s="1"/>
  <c r="E36" i="8"/>
  <c r="E41" i="8" s="1"/>
  <c r="F36" i="8"/>
  <c r="F41" i="8" s="1"/>
  <c r="G36" i="8"/>
  <c r="G41" i="8" s="1"/>
  <c r="H36" i="8"/>
  <c r="H41" i="8" s="1"/>
  <c r="I36" i="8"/>
  <c r="I41" i="8" s="1"/>
  <c r="J36" i="8"/>
  <c r="J41" i="8" s="1"/>
  <c r="K36" i="8"/>
  <c r="K41" i="8" s="1"/>
  <c r="L36" i="8"/>
  <c r="L41" i="8" s="1"/>
  <c r="C36" i="8"/>
  <c r="C41" i="8" s="1"/>
  <c r="D30" i="8"/>
  <c r="E30" i="8"/>
  <c r="F30" i="8"/>
  <c r="G30" i="8"/>
  <c r="H30" i="8"/>
  <c r="I30" i="8"/>
  <c r="J30" i="8"/>
  <c r="K30" i="8"/>
  <c r="L30" i="8"/>
  <c r="C30" i="8"/>
  <c r="C21" i="8"/>
  <c r="D24" i="8"/>
  <c r="E24" i="8"/>
  <c r="F24" i="8"/>
  <c r="G24" i="8"/>
  <c r="H24" i="8"/>
  <c r="I24" i="8"/>
  <c r="J24" i="8"/>
  <c r="K24" i="8"/>
  <c r="L24" i="8"/>
  <c r="C24" i="8"/>
  <c r="D21" i="8"/>
  <c r="E21" i="8"/>
  <c r="F21" i="8"/>
  <c r="G21" i="8"/>
  <c r="H21" i="8"/>
  <c r="I21" i="8"/>
  <c r="J21" i="8"/>
  <c r="K21" i="8"/>
  <c r="L21" i="8"/>
  <c r="D15" i="8"/>
  <c r="E15" i="8"/>
  <c r="F15" i="8"/>
  <c r="G15" i="8"/>
  <c r="H15" i="8"/>
  <c r="I15" i="8"/>
  <c r="J15" i="8"/>
  <c r="K15" i="8"/>
  <c r="L15" i="8"/>
  <c r="C15" i="8"/>
  <c r="C9" i="8"/>
  <c r="F6" i="8"/>
  <c r="E6" i="8"/>
  <c r="D6" i="8"/>
  <c r="G6" i="8"/>
  <c r="G10" i="8" s="1"/>
  <c r="H6" i="8"/>
  <c r="I6" i="8"/>
  <c r="J6" i="8"/>
  <c r="K6" i="8"/>
  <c r="L6" i="8"/>
  <c r="C6" i="8"/>
  <c r="K3" i="8"/>
  <c r="L3" i="8"/>
  <c r="D3" i="8"/>
  <c r="E3" i="8"/>
  <c r="F3" i="8"/>
  <c r="G3" i="8"/>
  <c r="H3" i="8"/>
  <c r="I3" i="8"/>
  <c r="J3" i="8"/>
  <c r="C3" i="8"/>
  <c r="B2" i="8"/>
  <c r="D9" i="1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C20" i="2" s="1"/>
  <c r="D17" i="2"/>
  <c r="E17" i="2"/>
  <c r="F17" i="2"/>
  <c r="G17" i="2"/>
  <c r="H17" i="2"/>
  <c r="I17" i="2"/>
  <c r="J17" i="2"/>
  <c r="K17" i="2"/>
  <c r="K20" i="2" s="1"/>
  <c r="C18" i="2"/>
  <c r="D18" i="2"/>
  <c r="E18" i="2"/>
  <c r="F18" i="2"/>
  <c r="G18" i="2"/>
  <c r="H18" i="2"/>
  <c r="I18" i="2"/>
  <c r="J18" i="2"/>
  <c r="J21" i="2" s="1"/>
  <c r="K18" i="2"/>
  <c r="B17" i="2"/>
  <c r="C4" i="2"/>
  <c r="D4" i="2"/>
  <c r="E4" i="2"/>
  <c r="E23" i="2" s="1"/>
  <c r="E5" i="2"/>
  <c r="F4" i="2"/>
  <c r="F23" i="2" s="1"/>
  <c r="G4" i="2"/>
  <c r="H4" i="2"/>
  <c r="I4" i="2"/>
  <c r="I5" i="2"/>
  <c r="I23" i="2" s="1"/>
  <c r="J4" i="2"/>
  <c r="J5" i="2"/>
  <c r="K4" i="2"/>
  <c r="K23" i="2" s="1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C16" i="2" s="1"/>
  <c r="D7" i="2"/>
  <c r="E7" i="2"/>
  <c r="F7" i="2"/>
  <c r="G7" i="2"/>
  <c r="H7" i="2"/>
  <c r="I7" i="2"/>
  <c r="J7" i="2"/>
  <c r="K7" i="2"/>
  <c r="K16" i="2" s="1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D23" i="2" s="1"/>
  <c r="E12" i="1"/>
  <c r="F12" i="1"/>
  <c r="F13" i="1" s="1"/>
  <c r="G12" i="1"/>
  <c r="G13" i="1" s="1"/>
  <c r="G14" i="1" s="1"/>
  <c r="H12" i="1"/>
  <c r="I12" i="1"/>
  <c r="J12" i="1"/>
  <c r="J13" i="1" s="1"/>
  <c r="K12" i="1"/>
  <c r="K13" i="1" s="1"/>
  <c r="C15" i="1"/>
  <c r="C14" i="1" s="1"/>
  <c r="D15" i="1"/>
  <c r="E15" i="1"/>
  <c r="F15" i="1"/>
  <c r="F14" i="1" s="1"/>
  <c r="G15" i="1"/>
  <c r="H15" i="1"/>
  <c r="H14" i="1" s="1"/>
  <c r="I15" i="1"/>
  <c r="J15" i="1"/>
  <c r="J14" i="1" s="1"/>
  <c r="K15" i="1"/>
  <c r="K14" i="1" s="1"/>
  <c r="B15" i="1"/>
  <c r="H13" i="1"/>
  <c r="I13" i="1"/>
  <c r="B7" i="1"/>
  <c r="B4" i="1"/>
  <c r="B20" i="2" s="1"/>
  <c r="A1" i="1"/>
  <c r="E1" i="6"/>
  <c r="H1" i="1" s="1"/>
  <c r="H16" i="2"/>
  <c r="D16" i="2"/>
  <c r="G23" i="2"/>
  <c r="B23" i="2"/>
  <c r="E6" i="1"/>
  <c r="E19" i="1"/>
  <c r="H23" i="2"/>
  <c r="I6" i="1"/>
  <c r="I19" i="1" s="1"/>
  <c r="K6" i="1"/>
  <c r="K19" i="1" s="1"/>
  <c r="G6" i="1"/>
  <c r="G19" i="1" s="1"/>
  <c r="C6" i="1"/>
  <c r="C19" i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I21" i="2"/>
  <c r="H21" i="2"/>
  <c r="G21" i="2"/>
  <c r="F21" i="2"/>
  <c r="E21" i="2"/>
  <c r="D21" i="2"/>
  <c r="C21" i="2"/>
  <c r="B18" i="2"/>
  <c r="B21" i="2" s="1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I14" i="3"/>
  <c r="G14" i="3"/>
  <c r="G20" i="2"/>
  <c r="D20" i="2"/>
  <c r="E20" i="2"/>
  <c r="L12" i="1"/>
  <c r="L13" i="1" s="1"/>
  <c r="L14" i="1" s="1"/>
  <c r="L25" i="1" s="1"/>
  <c r="L11" i="1"/>
  <c r="L6" i="1"/>
  <c r="L19" i="1" s="1"/>
  <c r="L24" i="1" s="1"/>
  <c r="L4" i="1"/>
  <c r="A1" i="3"/>
  <c r="A1" i="2"/>
  <c r="A1" i="4"/>
  <c r="H23" i="1"/>
  <c r="I23" i="1"/>
  <c r="J23" i="1"/>
  <c r="L5" i="1"/>
  <c r="F64" i="8" l="1"/>
  <c r="F66" i="8" s="1"/>
  <c r="H64" i="8"/>
  <c r="H66" i="8" s="1"/>
  <c r="J64" i="8"/>
  <c r="J66" i="8" s="1"/>
  <c r="I64" i="8"/>
  <c r="I66" i="8" s="1"/>
  <c r="E12" i="8"/>
  <c r="E13" i="8" s="1"/>
  <c r="D10" i="8"/>
  <c r="F7" i="8"/>
  <c r="L16" i="8"/>
  <c r="E22" i="8"/>
  <c r="C12" i="8"/>
  <c r="C18" i="8" s="1"/>
  <c r="C19" i="8" s="1"/>
  <c r="K10" i="8"/>
  <c r="C16" i="8"/>
  <c r="E16" i="8"/>
  <c r="D16" i="8"/>
  <c r="I25" i="8"/>
  <c r="K16" i="8"/>
  <c r="H25" i="8"/>
  <c r="J16" i="8"/>
  <c r="L22" i="8"/>
  <c r="D22" i="8"/>
  <c r="G25" i="8"/>
  <c r="C10" i="8"/>
  <c r="F10" i="8"/>
  <c r="C25" i="8"/>
  <c r="E25" i="8"/>
  <c r="H22" i="8"/>
  <c r="I7" i="8"/>
  <c r="L25" i="8"/>
  <c r="D25" i="8"/>
  <c r="L10" i="8"/>
  <c r="H12" i="8"/>
  <c r="H18" i="8" s="1"/>
  <c r="H19" i="8" s="1"/>
  <c r="J10" i="8"/>
  <c r="I16" i="8"/>
  <c r="K25" i="8"/>
  <c r="G7" i="8"/>
  <c r="I10" i="8"/>
  <c r="I12" i="8"/>
  <c r="I18" i="8" s="1"/>
  <c r="I19" i="8" s="1"/>
  <c r="H16" i="8"/>
  <c r="J25" i="8"/>
  <c r="D12" i="8"/>
  <c r="D18" i="8" s="1"/>
  <c r="D19" i="8" s="1"/>
  <c r="H10" i="8"/>
  <c r="G16" i="8"/>
  <c r="C22" i="8"/>
  <c r="F12" i="8"/>
  <c r="F13" i="8" s="1"/>
  <c r="F16" i="8"/>
  <c r="K22" i="8"/>
  <c r="L12" i="8"/>
  <c r="L18" i="8" s="1"/>
  <c r="L19" i="8" s="1"/>
  <c r="J22" i="8"/>
  <c r="K12" i="8"/>
  <c r="K18" i="8" s="1"/>
  <c r="K19" i="8" s="1"/>
  <c r="E10" i="8"/>
  <c r="I22" i="8"/>
  <c r="F25" i="8"/>
  <c r="J7" i="8"/>
  <c r="E7" i="8"/>
  <c r="G22" i="8"/>
  <c r="D7" i="8"/>
  <c r="L7" i="8"/>
  <c r="J12" i="8"/>
  <c r="F22" i="8"/>
  <c r="K7" i="8"/>
  <c r="G12" i="8"/>
  <c r="H7" i="8"/>
  <c r="N11" i="1"/>
  <c r="M11" i="1"/>
  <c r="B16" i="2"/>
  <c r="G16" i="2"/>
  <c r="E24" i="2"/>
  <c r="C23" i="2"/>
  <c r="E14" i="1"/>
  <c r="J24" i="2"/>
  <c r="D24" i="2"/>
  <c r="J20" i="2"/>
  <c r="I24" i="2"/>
  <c r="G24" i="2"/>
  <c r="L23" i="1"/>
  <c r="N23" i="1" s="1"/>
  <c r="N4" i="1" s="1"/>
  <c r="I14" i="1"/>
  <c r="K25" i="1" s="1"/>
  <c r="M25" i="1" s="1"/>
  <c r="M14" i="1" s="1"/>
  <c r="C24" i="2"/>
  <c r="H24" i="2"/>
  <c r="D13" i="1"/>
  <c r="E13" i="1" s="1"/>
  <c r="K24" i="1"/>
  <c r="L9" i="1"/>
  <c r="L8" i="1"/>
  <c r="L7" i="1"/>
  <c r="E16" i="2"/>
  <c r="J23" i="2"/>
  <c r="J6" i="1"/>
  <c r="J19" i="1" s="1"/>
  <c r="E1" i="3"/>
  <c r="B14" i="1"/>
  <c r="I16" i="2"/>
  <c r="K24" i="2"/>
  <c r="E1" i="2"/>
  <c r="F24" i="2"/>
  <c r="J25" i="1"/>
  <c r="M24" i="1"/>
  <c r="M9" i="1"/>
  <c r="N9" i="1"/>
  <c r="N8" i="1"/>
  <c r="M8" i="1"/>
  <c r="I25" i="1"/>
  <c r="I20" i="2"/>
  <c r="H20" i="2"/>
  <c r="K23" i="1"/>
  <c r="H6" i="1"/>
  <c r="H19" i="1" s="1"/>
  <c r="J24" i="1" s="1"/>
  <c r="F6" i="1"/>
  <c r="F19" i="1" s="1"/>
  <c r="H24" i="1" s="1"/>
  <c r="E1" i="4"/>
  <c r="E18" i="8" l="1"/>
  <c r="E19" i="8" s="1"/>
  <c r="C13" i="8"/>
  <c r="H13" i="8"/>
  <c r="I27" i="8"/>
  <c r="I28" i="8" s="1"/>
  <c r="L13" i="8"/>
  <c r="L27" i="8"/>
  <c r="L33" i="8" s="1"/>
  <c r="D13" i="8"/>
  <c r="F18" i="8"/>
  <c r="H27" i="8"/>
  <c r="H33" i="8" s="1"/>
  <c r="I13" i="8"/>
  <c r="D27" i="8"/>
  <c r="C27" i="8"/>
  <c r="K27" i="8"/>
  <c r="K13" i="8"/>
  <c r="G18" i="8"/>
  <c r="G19" i="8" s="1"/>
  <c r="G13" i="8"/>
  <c r="J18" i="8"/>
  <c r="J27" i="8" s="1"/>
  <c r="J13" i="8"/>
  <c r="M23" i="1"/>
  <c r="M4" i="1" s="1"/>
  <c r="I24" i="1"/>
  <c r="N24" i="1" s="1"/>
  <c r="N6" i="1" s="1"/>
  <c r="D14" i="1"/>
  <c r="H25" i="1" s="1"/>
  <c r="N25" i="1" s="1"/>
  <c r="N14" i="1" s="1"/>
  <c r="M6" i="1"/>
  <c r="M10" i="1" s="1"/>
  <c r="M12" i="1" s="1"/>
  <c r="M13" i="1" s="1"/>
  <c r="M15" i="1" s="1"/>
  <c r="E27" i="8" l="1"/>
  <c r="E33" i="8" s="1"/>
  <c r="E38" i="8" s="1"/>
  <c r="E31" i="8"/>
  <c r="I33" i="8"/>
  <c r="I34" i="8" s="1"/>
  <c r="I31" i="8"/>
  <c r="H28" i="8"/>
  <c r="L28" i="8"/>
  <c r="H31" i="8"/>
  <c r="L31" i="8"/>
  <c r="F19" i="8"/>
  <c r="F27" i="8"/>
  <c r="K28" i="8"/>
  <c r="K33" i="8"/>
  <c r="K31" i="8"/>
  <c r="D28" i="8"/>
  <c r="D33" i="8"/>
  <c r="D31" i="8"/>
  <c r="C28" i="8"/>
  <c r="C31" i="8"/>
  <c r="C33" i="8"/>
  <c r="H38" i="8"/>
  <c r="H44" i="8" s="1"/>
  <c r="H34" i="8"/>
  <c r="L34" i="8"/>
  <c r="L38" i="8"/>
  <c r="J28" i="8"/>
  <c r="J33" i="8"/>
  <c r="J31" i="8"/>
  <c r="J19" i="8"/>
  <c r="G27" i="8"/>
  <c r="N10" i="1"/>
  <c r="N12" i="1" s="1"/>
  <c r="N13" i="1" s="1"/>
  <c r="N15" i="1" s="1"/>
  <c r="N5" i="1"/>
  <c r="M5" i="1"/>
  <c r="E28" i="8" l="1"/>
  <c r="E34" i="8"/>
  <c r="I38" i="8"/>
  <c r="H42" i="8"/>
  <c r="L42" i="8"/>
  <c r="L44" i="8" s="1"/>
  <c r="E42" i="8"/>
  <c r="E44" i="8" s="1"/>
  <c r="F31" i="8"/>
  <c r="F28" i="8"/>
  <c r="F33" i="8"/>
  <c r="G33" i="8"/>
  <c r="G28" i="8"/>
  <c r="G31" i="8"/>
  <c r="C38" i="8"/>
  <c r="C34" i="8"/>
  <c r="D38" i="8"/>
  <c r="D34" i="8"/>
  <c r="J34" i="8"/>
  <c r="J38" i="8"/>
  <c r="J44" i="8" s="1"/>
  <c r="K34" i="8"/>
  <c r="K38" i="8"/>
  <c r="L39" i="8" l="1"/>
  <c r="K44" i="8"/>
  <c r="C42" i="8"/>
  <c r="C44" i="8" s="1"/>
  <c r="I39" i="8"/>
  <c r="I44" i="8"/>
  <c r="E39" i="8"/>
  <c r="I42" i="8"/>
  <c r="K39" i="8"/>
  <c r="K42" i="8"/>
  <c r="J39" i="8"/>
  <c r="J42" i="8"/>
  <c r="D39" i="8"/>
  <c r="D42" i="8"/>
  <c r="D44" i="8" s="1"/>
  <c r="F34" i="8"/>
  <c r="F38" i="8"/>
  <c r="G38" i="8"/>
  <c r="G44" i="8" s="1"/>
  <c r="G34" i="8"/>
  <c r="G39" i="8" l="1"/>
  <c r="G42" i="8"/>
  <c r="H39" i="8"/>
  <c r="F39" i="8"/>
  <c r="F42" i="8"/>
  <c r="F44" i="8" s="1"/>
</calcChain>
</file>

<file path=xl/sharedStrings.xml><?xml version="1.0" encoding="utf-8"?>
<sst xmlns="http://schemas.openxmlformats.org/spreadsheetml/2006/main" count="278" uniqueCount="190">
  <si>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</si>
  <si>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</si>
  <si>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</si>
  <si>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</si>
  <si>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</si>
  <si>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</si>
  <si>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</si>
  <si>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</si>
  <si>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</si>
  <si>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</si>
  <si>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</si>
  <si>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</si>
  <si>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</si>
  <si>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</si>
  <si>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</si>
  <si>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</si>
  <si>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</si>
  <si>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</si>
  <si>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</si>
  <si>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</si>
  <si>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</si>
  <si>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</si>
  <si>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</si>
  <si>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</si>
  <si>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</si>
  <si>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</si>
  <si>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</si>
  <si>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</si>
  <si>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</si>
  <si>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</si>
  <si>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</si>
  <si>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</si>
  <si>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</si>
  <si>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</si>
  <si>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</si>
  <si>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</si>
  <si>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</si>
  <si>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</si>
  <si>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</si>
  <si>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</si>
  <si>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</si>
  <si>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</si>
  <si>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</si>
  <si>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</si>
  <si>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</si>
  <si>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</si>
  <si>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</si>
  <si>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</si>
  <si>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</si>
  <si>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</si>
  <si>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</si>
  <si>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</si>
  <si>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</si>
  <si>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</si>
  <si>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</si>
  <si>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</si>
  <si>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</si>
  <si>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</si>
  <si>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</si>
  <si>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</si>
  <si>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</si>
  <si>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</si>
  <si>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</si>
  <si>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</si>
  <si>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</si>
  <si>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</si>
  <si>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</si>
  <si>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</si>
  <si>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</si>
  <si>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</si>
  <si>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</si>
  <si>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</si>
  <si>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</si>
  <si>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</si>
  <si>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</si>
  <si>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</si>
  <si>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</si>
  <si>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</si>
  <si>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</si>
  <si>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</si>
  <si>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</si>
  <si>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</si>
  <si>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</si>
  <si>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</si>
  <si>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</si>
  <si>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</si>
  <si>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</si>
  <si>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</si>
  <si>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</si>
  <si>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</si>
  <si>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</si>
  <si>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</si>
  <si>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</si>
  <si>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</si>
  <si>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</si>
  <si>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#</t>
  </si>
  <si>
    <t>Income Statement</t>
  </si>
  <si>
    <t xml:space="preserve"> </t>
  </si>
  <si>
    <t>-</t>
  </si>
  <si>
    <t>COGS</t>
  </si>
  <si>
    <t>COGS % Sales</t>
  </si>
  <si>
    <t>Gross Profit</t>
  </si>
  <si>
    <t>Selling &amp; General Expenses</t>
  </si>
  <si>
    <t>S&amp;G Exp % sales</t>
  </si>
  <si>
    <t>EBITDA</t>
  </si>
  <si>
    <t>EBITDA Margins</t>
  </si>
  <si>
    <t>Intrest</t>
  </si>
  <si>
    <t>Intrest % sales</t>
  </si>
  <si>
    <t>Depreciation % sales</t>
  </si>
  <si>
    <t>Gross Margins</t>
  </si>
  <si>
    <t>EBT</t>
  </si>
  <si>
    <t>EBT % Sales</t>
  </si>
  <si>
    <t>Effective Tax Rate</t>
  </si>
  <si>
    <t>Net Profir</t>
  </si>
  <si>
    <t>Net Margins</t>
  </si>
  <si>
    <t>No of Equity Share</t>
  </si>
  <si>
    <t>DPS</t>
  </si>
  <si>
    <t>EPS Growth %</t>
  </si>
  <si>
    <t>Dividend Payout Ratio</t>
  </si>
  <si>
    <t>Retained Earnings</t>
  </si>
  <si>
    <t>Balance Sheet</t>
  </si>
  <si>
    <t>Total Liabilities</t>
  </si>
  <si>
    <t>Fixed Assests Net Block</t>
  </si>
  <si>
    <t>Total Non Current Assests</t>
  </si>
  <si>
    <t>Total Current Assests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</si>
  <si>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</si>
  <si>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</si>
  <si>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</si>
  <si>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</si>
  <si>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</si>
  <si>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</si>
  <si>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</si>
  <si>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</si>
  <si>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</si>
  <si>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</si>
  <si>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</si>
  <si>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</si>
  <si>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</si>
  <si>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</si>
  <si>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</si>
  <si>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</si>
  <si>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</si>
  <si>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</si>
  <si>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</si>
  <si>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</si>
  <si>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</si>
  <si>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</si>
  <si>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</si>
  <si>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</si>
  <si>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</si>
  <si>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</si>
  <si>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</si>
  <si>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</si>
  <si>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</si>
  <si>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</si>
  <si>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</si>
  <si>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SalesGrowth</t>
  </si>
  <si>
    <t>EBTIDA Growth</t>
  </si>
  <si>
    <t>EBIT Growth</t>
  </si>
  <si>
    <t>Net Profit Growth</t>
  </si>
  <si>
    <t>Dividend Growth</t>
  </si>
  <si>
    <t>Gross Margin</t>
  </si>
  <si>
    <t>EBTIDA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</si>
  <si>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</si>
  <si>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</si>
  <si>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</si>
  <si>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</si>
  <si>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</si>
  <si>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</si>
  <si>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Returned on Capital Employed</t>
  </si>
  <si>
    <t>Retained Earning%</t>
  </si>
  <si>
    <t>Return on Equity%</t>
  </si>
  <si>
    <t>Self Sustained Growth Rate</t>
  </si>
  <si>
    <t>Interest Coverage Ratio</t>
  </si>
  <si>
    <t>Debtor Turnover Ratio</t>
  </si>
  <si>
    <t>Creditor Turnover Ratio</t>
  </si>
  <si>
    <t>Capital Turnover Ratio</t>
  </si>
  <si>
    <t>Payable Days</t>
  </si>
  <si>
    <t>Inventory Days</t>
  </si>
  <si>
    <t>CFO/Sales</t>
  </si>
  <si>
    <t>CFO/Total Assets</t>
  </si>
  <si>
    <t>Fixed Asset Turnover</t>
  </si>
  <si>
    <t>CFO/Total Debt</t>
  </si>
  <si>
    <t>Cash Conversion Cycle (in days)</t>
  </si>
  <si>
    <t>Mean</t>
  </si>
  <si>
    <t>Median</t>
  </si>
  <si>
    <t>Trend</t>
  </si>
  <si>
    <t>Year Weight</t>
  </si>
  <si>
    <t>Year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</si>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</sst>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8" formatCode="#,##0.0"/>
    <numFmt numFmtId="169" formatCode="&quot;₹&quot;\ #,##0.00;&quot;₹&quot;\ \(#,##0.00\)"/>
    <numFmt numFmtId="179" formatCode="&quot;₹&quot;\ #,##0.00;&quot;₹&quot;\ \(#,##0.00\);\-"/>
    <numFmt numFmtId="184" formatCode="0.00&quot;x&quot;"/>
    <numFmt numFmtId="185" formatCode="0&quot;A&quot;"/>
    <numFmt numFmtId="187" formatCode="yyyy"/>
    <numFmt numFmtId="188" formatCode="yyyy&quot;A&quot;"/>
    <numFmt numFmtId="189" formatCode="yyyy&quot;E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4026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77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5" fillId="6" borderId="0" xfId="0" applyFont="1" applyFill="1"/>
    <xf numFmtId="17" fontId="5" fillId="6" borderId="0" xfId="0" applyNumberFormat="1" applyFont="1" applyFill="1"/>
    <xf numFmtId="17" fontId="5" fillId="6" borderId="0" xfId="0" applyNumberFormat="1" applyFont="1" applyFill="1" applyAlignment="1">
      <alignment horizontal="right"/>
    </xf>
    <xf numFmtId="0" fontId="10" fillId="0" borderId="0" xfId="0" applyFont="1" applyAlignment="1">
      <alignment horizontal="right"/>
    </xf>
    <xf numFmtId="10" fontId="10" fillId="0" borderId="0" xfId="6" applyNumberFormat="1" applyFont="1"/>
    <xf numFmtId="0" fontId="5" fillId="6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10" fontId="0" fillId="0" borderId="0" xfId="6" applyNumberFormat="1" applyFont="1"/>
    <xf numFmtId="0" fontId="10" fillId="0" borderId="0" xfId="0" applyFont="1"/>
    <xf numFmtId="168" fontId="0" fillId="0" borderId="0" xfId="0" applyNumberFormat="1"/>
    <xf numFmtId="0" fontId="1" fillId="7" borderId="0" xfId="0" applyFont="1" applyFill="1"/>
    <xf numFmtId="0" fontId="0" fillId="7" borderId="0" xfId="0" applyFill="1"/>
    <xf numFmtId="169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0" borderId="0" xfId="0" applyFont="1" applyFill="1"/>
    <xf numFmtId="169" fontId="1" fillId="0" borderId="0" xfId="0" applyNumberFormat="1" applyFont="1"/>
    <xf numFmtId="0" fontId="0" fillId="0" borderId="0" xfId="0" applyFont="1"/>
    <xf numFmtId="17" fontId="0" fillId="8" borderId="0" xfId="0" applyNumberFormat="1" applyFill="1"/>
    <xf numFmtId="17" fontId="12" fillId="8" borderId="0" xfId="0" applyNumberFormat="1" applyFont="1" applyFill="1" applyAlignment="1">
      <alignment horizontal="right" vertical="center" wrapText="1"/>
    </xf>
    <xf numFmtId="0" fontId="13" fillId="8" borderId="0" xfId="0" applyFont="1" applyFill="1" applyAlignment="1">
      <alignment horizontal="left" vertical="center"/>
    </xf>
    <xf numFmtId="3" fontId="13" fillId="8" borderId="0" xfId="0" applyNumberFormat="1" applyFont="1" applyFill="1" applyAlignment="1">
      <alignment horizontal="right" vertical="center" wrapText="1"/>
    </xf>
    <xf numFmtId="0" fontId="14" fillId="8" borderId="0" xfId="0" applyFont="1" applyFill="1" applyAlignment="1">
      <alignment horizontal="left" vertical="center"/>
    </xf>
    <xf numFmtId="3" fontId="14" fillId="8" borderId="0" xfId="0" applyNumberFormat="1" applyFont="1" applyFill="1" applyAlignment="1">
      <alignment horizontal="right" vertical="center" wrapText="1"/>
    </xf>
    <xf numFmtId="0" fontId="14" fillId="8" borderId="0" xfId="0" applyFont="1" applyFill="1" applyAlignment="1">
      <alignment horizontal="right" vertical="center" wrapText="1"/>
    </xf>
    <xf numFmtId="0" fontId="13" fillId="8" borderId="0" xfId="0" applyFont="1" applyFill="1" applyAlignment="1">
      <alignment horizontal="right" vertical="center" wrapText="1"/>
    </xf>
    <xf numFmtId="0" fontId="1" fillId="0" borderId="1" xfId="0" applyFont="1" applyBorder="1"/>
    <xf numFmtId="169" fontId="1" fillId="0" borderId="1" xfId="0" applyNumberFormat="1" applyFont="1" applyBorder="1"/>
    <xf numFmtId="0" fontId="0" fillId="0" borderId="2" xfId="0" applyBorder="1"/>
    <xf numFmtId="10" fontId="0" fillId="0" borderId="2" xfId="6" applyNumberFormat="1" applyFont="1" applyBorder="1"/>
    <xf numFmtId="0" fontId="0" fillId="0" borderId="0" xfId="0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84" fontId="0" fillId="0" borderId="3" xfId="6" applyNumberFormat="1" applyFont="1" applyBorder="1"/>
    <xf numFmtId="184" fontId="0" fillId="0" borderId="2" xfId="6" applyNumberFormat="1" applyFont="1" applyBorder="1"/>
    <xf numFmtId="184" fontId="0" fillId="0" borderId="0" xfId="6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7" fontId="5" fillId="6" borderId="0" xfId="0" applyNumberFormat="1" applyFont="1" applyFill="1" applyAlignment="1">
      <alignment horizontal="center"/>
    </xf>
    <xf numFmtId="0" fontId="11" fillId="9" borderId="0" xfId="0" applyFont="1" applyFill="1" applyAlignment="1">
      <alignment horizontal="center" vertical="center"/>
    </xf>
    <xf numFmtId="185" fontId="11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187" fontId="0" fillId="0" borderId="0" xfId="0" applyNumberFormat="1"/>
    <xf numFmtId="188" fontId="0" fillId="0" borderId="0" xfId="0" applyNumberFormat="1"/>
    <xf numFmtId="0" fontId="0" fillId="10" borderId="0" xfId="0" applyFill="1" applyAlignment="1">
      <alignment horizontal="left"/>
    </xf>
    <xf numFmtId="189" fontId="0" fillId="10" borderId="0" xfId="0" applyNumberFormat="1" applyFill="1"/>
    <xf numFmtId="168" fontId="0" fillId="10" borderId="0" xfId="0" applyNumberFormat="1" applyFill="1"/>
    <xf numFmtId="10" fontId="0" fillId="10" borderId="0" xfId="6" applyNumberFormat="1" applyFont="1" applyFill="1"/>
    <xf numFmtId="188" fontId="0" fillId="10" borderId="0" xfId="0" applyNumberFormat="1" applyFill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4026A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D9" sqref="D9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440061.14</v>
      </c>
      <c r="M4" s="1">
        <f>$K4+M23*K4</f>
        <v>554332.48941993783</v>
      </c>
      <c r="N4" s="1">
        <f>$K4+N23*L4</f>
        <v>463548.20148789859</v>
      </c>
    </row>
    <row r="5" spans="1:14" x14ac:dyDescent="0.3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379563.77</v>
      </c>
      <c r="M5" s="6">
        <f t="shared" ref="M5:N5" si="0">M4-M6</f>
        <v>478125.67480445269</v>
      </c>
      <c r="N5" s="6">
        <f t="shared" si="0"/>
        <v>415952.35835570883</v>
      </c>
    </row>
    <row r="6" spans="1:14" s="2" customFormat="1" x14ac:dyDescent="0.3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60497.37</v>
      </c>
      <c r="M6" s="1">
        <f>M4*M24</f>
        <v>76206.814615485171</v>
      </c>
      <c r="N6" s="1">
        <f>N4*N24</f>
        <v>47595.843132189773</v>
      </c>
    </row>
    <row r="7" spans="1:14" x14ac:dyDescent="0.3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6616.76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26580</v>
      </c>
      <c r="M8" s="6">
        <f>+$L8</f>
        <v>26580</v>
      </c>
      <c r="N8" s="6">
        <f>+$L8</f>
        <v>26580</v>
      </c>
    </row>
    <row r="9" spans="1:14" x14ac:dyDescent="0.3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8840.91</v>
      </c>
      <c r="M9" s="6">
        <f>+$L9</f>
        <v>8840.91</v>
      </c>
      <c r="N9" s="6">
        <f>+$L9</f>
        <v>8840.91</v>
      </c>
    </row>
    <row r="10" spans="1:14" x14ac:dyDescent="0.3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31693.22</v>
      </c>
      <c r="M10" s="6">
        <f>M6+M7-SUM(M8:M9)</f>
        <v>40785.904615485168</v>
      </c>
      <c r="N10" s="6">
        <f>N6+N7-SUM(N8:N9)</f>
        <v>12174.93313218977</v>
      </c>
    </row>
    <row r="11" spans="1:14" x14ac:dyDescent="0.3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-2123.21</v>
      </c>
      <c r="M11" s="7">
        <f>IF($L10&gt;0,$L11/$L10,0)</f>
        <v>-6.6992561816060336E-2</v>
      </c>
      <c r="N11" s="7">
        <f>IF($L10&gt;0,$L11/$L10,0)</f>
        <v>-6.6992561816060336E-2</v>
      </c>
    </row>
    <row r="12" spans="1:14" s="2" customFormat="1" x14ac:dyDescent="0.3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33341.11</v>
      </c>
      <c r="M12" s="1">
        <f>M10-M11*M10</f>
        <v>43518.256851662001</v>
      </c>
      <c r="N12" s="1">
        <f>N10-N11*N10</f>
        <v>12990.563092654394</v>
      </c>
    </row>
    <row r="13" spans="1:14" x14ac:dyDescent="0.3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90.585858320275904</v>
      </c>
      <c r="M13" s="6">
        <f>IF('Data Sheet'!$B6&gt;0,'Profit &amp; Loss'!M12/'Data Sheet'!$B6,0)</f>
        <v>118.23657489237851</v>
      </c>
      <c r="N13" s="6">
        <f>IF('Data Sheet'!$B6&gt;0,'Profit &amp; Loss'!N12/'Data Sheet'!$B6,0)</f>
        <v>35.29460500300668</v>
      </c>
    </row>
    <row r="14" spans="1:14" x14ac:dyDescent="0.3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8.0393343233023735</v>
      </c>
      <c r="M14" s="6">
        <f>M25</f>
        <v>25.479079685795767</v>
      </c>
      <c r="N14" s="6">
        <f>N25</f>
        <v>8.0393343233023735</v>
      </c>
    </row>
    <row r="15" spans="1:14" s="2" customFormat="1" x14ac:dyDescent="0.3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728.25</v>
      </c>
      <c r="M15" s="8">
        <f>M13*M14</f>
        <v>3012.5591134584711</v>
      </c>
      <c r="N15" s="9">
        <f>N13*N14</f>
        <v>283.74512942807127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7.3234606480633679E-2</v>
      </c>
    </row>
    <row r="19" spans="1:14" x14ac:dyDescent="0.3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0.13747491996225797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3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0.13747491996225797</v>
      </c>
      <c r="M24" s="16">
        <f>MAX(K24:L24)</f>
        <v>0.13747491996225797</v>
      </c>
      <c r="N24" s="16">
        <f>MIN(H24:L24)</f>
        <v>0.10267722532288223</v>
      </c>
    </row>
    <row r="25" spans="1:14" x14ac:dyDescent="0.35">
      <c r="G25" t="s">
        <v>23</v>
      </c>
      <c r="H25" s="6">
        <f>IF(ISERROR(AVERAGEIF(B14:$L14,"&gt;0")),"",AVERAGEIF(B14:$L14,"&gt;0"))</f>
        <v>17.979636271959695</v>
      </c>
      <c r="I25" s="6">
        <f>IF(ISERROR(AVERAGEIF(E14:$L14,"&gt;0")),"",AVERAGEIF(E14:$L14,"&gt;0"))</f>
        <v>21.733971722804526</v>
      </c>
      <c r="J25" s="6">
        <f>IF(ISERROR(AVERAGEIF(G14:$L14,"&gt;0")),"",AVERAGEIF(G14:$L14,"&gt;0"))</f>
        <v>25.479079685795767</v>
      </c>
      <c r="K25" s="6">
        <f>IF(ISERROR(AVERAGEIF(I14:$L14,"&gt;0")),"",AVERAGEIF(I14:$L14,"&gt;0"))</f>
        <v>25.479079685795767</v>
      </c>
      <c r="L25" s="6">
        <f>L14</f>
        <v>8.0393343233023735</v>
      </c>
      <c r="M25" s="1">
        <f>MAX(K25:L25)</f>
        <v>25.479079685795767</v>
      </c>
      <c r="N25" s="1">
        <f>MIN(H25:L25)</f>
        <v>8.0393343233023735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44742</v>
      </c>
      <c r="C3" s="12">
        <f>'Data Sheet'!C41</f>
        <v>44834</v>
      </c>
      <c r="D3" s="12">
        <f>'Data Sheet'!D41</f>
        <v>44926</v>
      </c>
      <c r="E3" s="12">
        <f>'Data Sheet'!E41</f>
        <v>45016</v>
      </c>
      <c r="F3" s="12">
        <f>'Data Sheet'!F41</f>
        <v>45107</v>
      </c>
      <c r="G3" s="12">
        <f>'Data Sheet'!G41</f>
        <v>45199</v>
      </c>
      <c r="H3" s="12">
        <f>'Data Sheet'!H41</f>
        <v>45291</v>
      </c>
      <c r="I3" s="12">
        <f>'Data Sheet'!I41</f>
        <v>45382</v>
      </c>
      <c r="J3" s="12">
        <f>'Data Sheet'!J41</f>
        <v>45473</v>
      </c>
      <c r="K3" s="12">
        <f>'Data Sheet'!K41</f>
        <v>45565</v>
      </c>
    </row>
    <row r="4" spans="1:11" s="2" customFormat="1" x14ac:dyDescent="0.35">
      <c r="A4" s="2" t="s">
        <v>6</v>
      </c>
      <c r="B4" s="1">
        <f>'Data Sheet'!B42</f>
        <v>71934.66</v>
      </c>
      <c r="C4" s="1">
        <f>'Data Sheet'!C42</f>
        <v>79611.37</v>
      </c>
      <c r="D4" s="1">
        <f>'Data Sheet'!D42</f>
        <v>88488.59</v>
      </c>
      <c r="E4" s="1">
        <f>'Data Sheet'!E42</f>
        <v>105932.35</v>
      </c>
      <c r="F4" s="1">
        <f>'Data Sheet'!F42</f>
        <v>102236</v>
      </c>
      <c r="G4" s="1">
        <f>'Data Sheet'!G42</f>
        <v>105129</v>
      </c>
      <c r="H4" s="1">
        <f>'Data Sheet'!H42</f>
        <v>110577.14</v>
      </c>
      <c r="I4" s="1">
        <f>'Data Sheet'!I42</f>
        <v>119986</v>
      </c>
      <c r="J4" s="1">
        <f>'Data Sheet'!J42</f>
        <v>108048</v>
      </c>
      <c r="K4" s="1">
        <f>'Data Sheet'!K42</f>
        <v>101450</v>
      </c>
    </row>
    <row r="5" spans="1:11" x14ac:dyDescent="0.35">
      <c r="A5" t="s">
        <v>7</v>
      </c>
      <c r="B5" s="6">
        <f>'Data Sheet'!B43</f>
        <v>69521.929999999993</v>
      </c>
      <c r="C5" s="6">
        <f>'Data Sheet'!C43</f>
        <v>74039.06</v>
      </c>
      <c r="D5" s="6">
        <f>'Data Sheet'!D43</f>
        <v>77668.350000000006</v>
      </c>
      <c r="E5" s="6">
        <f>'Data Sheet'!E43</f>
        <v>92817.95</v>
      </c>
      <c r="F5" s="6">
        <f>'Data Sheet'!F43</f>
        <v>89019</v>
      </c>
      <c r="G5" s="6">
        <f>'Data Sheet'!G43</f>
        <v>91362</v>
      </c>
      <c r="H5" s="6">
        <f>'Data Sheet'!H43</f>
        <v>95158.77</v>
      </c>
      <c r="I5" s="6">
        <f>'Data Sheet'!I43</f>
        <v>102851</v>
      </c>
      <c r="J5" s="6">
        <f>'Data Sheet'!J43</f>
        <v>92263</v>
      </c>
      <c r="K5" s="6">
        <f>'Data Sheet'!K43</f>
        <v>89291</v>
      </c>
    </row>
    <row r="6" spans="1:11" s="2" customFormat="1" x14ac:dyDescent="0.35">
      <c r="A6" s="2" t="s">
        <v>8</v>
      </c>
      <c r="B6" s="1">
        <f>'Data Sheet'!B50</f>
        <v>2412.73</v>
      </c>
      <c r="C6" s="1">
        <f>'Data Sheet'!C50</f>
        <v>5572.31</v>
      </c>
      <c r="D6" s="1">
        <f>'Data Sheet'!D50</f>
        <v>10820.24</v>
      </c>
      <c r="E6" s="1">
        <f>'Data Sheet'!E50</f>
        <v>13114.4</v>
      </c>
      <c r="F6" s="1">
        <f>'Data Sheet'!F50</f>
        <v>13217</v>
      </c>
      <c r="G6" s="1">
        <f>'Data Sheet'!G50</f>
        <v>13767</v>
      </c>
      <c r="H6" s="1">
        <f>'Data Sheet'!H50</f>
        <v>15418.37</v>
      </c>
      <c r="I6" s="1">
        <f>'Data Sheet'!I50</f>
        <v>17135</v>
      </c>
      <c r="J6" s="1">
        <f>'Data Sheet'!J50</f>
        <v>15785</v>
      </c>
      <c r="K6" s="1">
        <f>'Data Sheet'!K50</f>
        <v>12159</v>
      </c>
    </row>
    <row r="7" spans="1:11" x14ac:dyDescent="0.35">
      <c r="A7" t="s">
        <v>9</v>
      </c>
      <c r="B7" s="6">
        <f>'Data Sheet'!B44</f>
        <v>2380.98</v>
      </c>
      <c r="C7" s="6">
        <f>'Data Sheet'!C44</f>
        <v>1351.14</v>
      </c>
      <c r="D7" s="6">
        <f>'Data Sheet'!D44</f>
        <v>1129.98</v>
      </c>
      <c r="E7" s="6">
        <f>'Data Sheet'!E44</f>
        <v>1452.86</v>
      </c>
      <c r="F7" s="6">
        <f>'Data Sheet'!F44</f>
        <v>895</v>
      </c>
      <c r="G7" s="6">
        <f>'Data Sheet'!G44</f>
        <v>1557</v>
      </c>
      <c r="H7" s="6">
        <f>'Data Sheet'!H44</f>
        <v>1603.76</v>
      </c>
      <c r="I7" s="6">
        <f>'Data Sheet'!I44</f>
        <v>1619</v>
      </c>
      <c r="J7" s="6">
        <f>'Data Sheet'!J44</f>
        <v>1747</v>
      </c>
      <c r="K7" s="6">
        <f>'Data Sheet'!K44</f>
        <v>1647</v>
      </c>
    </row>
    <row r="8" spans="1:11" x14ac:dyDescent="0.35">
      <c r="A8" t="s">
        <v>10</v>
      </c>
      <c r="B8" s="6">
        <f>'Data Sheet'!B45</f>
        <v>5841.04</v>
      </c>
      <c r="C8" s="6">
        <f>'Data Sheet'!C45</f>
        <v>5897.34</v>
      </c>
      <c r="D8" s="6">
        <f>'Data Sheet'!D45</f>
        <v>6071.78</v>
      </c>
      <c r="E8" s="6">
        <f>'Data Sheet'!E45</f>
        <v>7050.2</v>
      </c>
      <c r="F8" s="6">
        <f>'Data Sheet'!F45</f>
        <v>6633</v>
      </c>
      <c r="G8" s="6">
        <f>'Data Sheet'!G45</f>
        <v>6637</v>
      </c>
      <c r="H8" s="6">
        <f>'Data Sheet'!H45</f>
        <v>6850</v>
      </c>
      <c r="I8" s="6">
        <f>'Data Sheet'!I45</f>
        <v>7151</v>
      </c>
      <c r="J8" s="6">
        <f>'Data Sheet'!J45</f>
        <v>6574</v>
      </c>
      <c r="K8" s="6">
        <f>'Data Sheet'!K45</f>
        <v>6005</v>
      </c>
    </row>
    <row r="9" spans="1:11" x14ac:dyDescent="0.35">
      <c r="A9" t="s">
        <v>11</v>
      </c>
      <c r="B9" s="6">
        <f>'Data Sheet'!B46</f>
        <v>2420.7199999999998</v>
      </c>
      <c r="C9" s="6">
        <f>'Data Sheet'!C46</f>
        <v>2487.2600000000002</v>
      </c>
      <c r="D9" s="6">
        <f>'Data Sheet'!D46</f>
        <v>2675.83</v>
      </c>
      <c r="E9" s="6">
        <f>'Data Sheet'!E46</f>
        <v>2641.67</v>
      </c>
      <c r="F9" s="6">
        <f>'Data Sheet'!F46</f>
        <v>2615</v>
      </c>
      <c r="G9" s="6">
        <f>'Data Sheet'!G46</f>
        <v>2652</v>
      </c>
      <c r="H9" s="6">
        <f>'Data Sheet'!H46</f>
        <v>2484.91</v>
      </c>
      <c r="I9" s="6">
        <f>'Data Sheet'!I46</f>
        <v>2234</v>
      </c>
      <c r="J9" s="6">
        <f>'Data Sheet'!J46</f>
        <v>2088</v>
      </c>
      <c r="K9" s="6">
        <f>'Data Sheet'!K46</f>
        <v>2034</v>
      </c>
    </row>
    <row r="10" spans="1:11" x14ac:dyDescent="0.35">
      <c r="A10" t="s">
        <v>12</v>
      </c>
      <c r="B10" s="6">
        <f>'Data Sheet'!B47</f>
        <v>-3468.05</v>
      </c>
      <c r="C10" s="6">
        <f>'Data Sheet'!C47</f>
        <v>-1461.15</v>
      </c>
      <c r="D10" s="6">
        <f>'Data Sheet'!D47</f>
        <v>3202.61</v>
      </c>
      <c r="E10" s="6">
        <f>'Data Sheet'!E47</f>
        <v>4875.3900000000003</v>
      </c>
      <c r="F10" s="6">
        <f>'Data Sheet'!F47</f>
        <v>4864</v>
      </c>
      <c r="G10" s="6">
        <f>'Data Sheet'!G47</f>
        <v>6035</v>
      </c>
      <c r="H10" s="6">
        <f>'Data Sheet'!H47</f>
        <v>7687.22</v>
      </c>
      <c r="I10" s="6">
        <f>'Data Sheet'!I47</f>
        <v>9369</v>
      </c>
      <c r="J10" s="6">
        <f>'Data Sheet'!J47</f>
        <v>8870</v>
      </c>
      <c r="K10" s="6">
        <f>'Data Sheet'!K47</f>
        <v>5767</v>
      </c>
    </row>
    <row r="11" spans="1:11" x14ac:dyDescent="0.35">
      <c r="A11" t="s">
        <v>13</v>
      </c>
      <c r="B11" s="6">
        <f>'Data Sheet'!B48</f>
        <v>1518.96</v>
      </c>
      <c r="C11" s="6">
        <f>'Data Sheet'!C48</f>
        <v>-457.08</v>
      </c>
      <c r="D11" s="6">
        <f>'Data Sheet'!D48</f>
        <v>262.83</v>
      </c>
      <c r="E11" s="6">
        <f>'Data Sheet'!E48</f>
        <v>-620.65</v>
      </c>
      <c r="F11" s="6">
        <f>'Data Sheet'!F48</f>
        <v>1563</v>
      </c>
      <c r="G11" s="6">
        <f>'Data Sheet'!G48</f>
        <v>2203</v>
      </c>
      <c r="H11" s="6">
        <f>'Data Sheet'!H48</f>
        <v>541.79</v>
      </c>
      <c r="I11" s="6">
        <f>'Data Sheet'!I48</f>
        <v>-8160</v>
      </c>
      <c r="J11" s="6">
        <f>'Data Sheet'!J48</f>
        <v>3178</v>
      </c>
      <c r="K11" s="6">
        <f>'Data Sheet'!K48</f>
        <v>2317</v>
      </c>
    </row>
    <row r="12" spans="1:11" s="2" customFormat="1" x14ac:dyDescent="0.35">
      <c r="A12" s="2" t="s">
        <v>14</v>
      </c>
      <c r="B12" s="1">
        <f>'Data Sheet'!B49</f>
        <v>-5006.6000000000004</v>
      </c>
      <c r="C12" s="1">
        <f>'Data Sheet'!C49</f>
        <v>-944.61</v>
      </c>
      <c r="D12" s="1">
        <f>'Data Sheet'!D49</f>
        <v>2957.71</v>
      </c>
      <c r="E12" s="1">
        <f>'Data Sheet'!E49</f>
        <v>5407.79</v>
      </c>
      <c r="F12" s="1">
        <f>'Data Sheet'!F49</f>
        <v>3203</v>
      </c>
      <c r="G12" s="1">
        <f>'Data Sheet'!G49</f>
        <v>3764</v>
      </c>
      <c r="H12" s="1">
        <f>'Data Sheet'!H49</f>
        <v>7025.11</v>
      </c>
      <c r="I12" s="1">
        <f>'Data Sheet'!I49</f>
        <v>17407</v>
      </c>
      <c r="J12" s="1">
        <f>'Data Sheet'!J49</f>
        <v>5566</v>
      </c>
      <c r="K12" s="1">
        <f>'Data Sheet'!K49</f>
        <v>3343</v>
      </c>
    </row>
    <row r="14" spans="1:11" s="2" customFormat="1" x14ac:dyDescent="0.35">
      <c r="A14" s="2" t="s">
        <v>18</v>
      </c>
      <c r="B14" s="10">
        <f>IF(B4&gt;0,B6/B4,"")</f>
        <v>3.3540576962482339E-2</v>
      </c>
      <c r="C14" s="10">
        <f t="shared" ref="C14:K14" si="0">IF(C4&gt;0,C6/C4,"")</f>
        <v>6.9993896600447914E-2</v>
      </c>
      <c r="D14" s="10">
        <f t="shared" si="0"/>
        <v>0.12227836379808968</v>
      </c>
      <c r="E14" s="10">
        <f t="shared" si="0"/>
        <v>0.1237997646611257</v>
      </c>
      <c r="F14" s="10">
        <f t="shared" si="0"/>
        <v>0.12927931452717242</v>
      </c>
      <c r="G14" s="10">
        <f t="shared" si="0"/>
        <v>0.1309534001084382</v>
      </c>
      <c r="H14" s="10">
        <f t="shared" si="0"/>
        <v>0.13943542037712317</v>
      </c>
      <c r="I14" s="10">
        <f t="shared" si="0"/>
        <v>0.14280832763822446</v>
      </c>
      <c r="J14" s="10">
        <f t="shared" si="0"/>
        <v>0.14609247741744411</v>
      </c>
      <c r="K14" s="10">
        <f t="shared" si="0"/>
        <v>0.11985214391325777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B6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3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62358.99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3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3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132313.22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3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3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3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3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3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8828.2600000000093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3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3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3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3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-0.19136225907610721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-1.8839364919766063E-2</v>
      </c>
      <c r="H24" s="10">
        <f>IF((G4+G5+G6+H4+H5+H6)&gt;0,('Profit &amp; Loss'!H10+'Profit &amp; Loss'!H9)*2/(G4+G5+G6+H4+H5+H6),"")</f>
        <v>-1.2340819491134259E-2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083A-0144-4D75-B651-5C5B102C1833}">
  <sheetPr>
    <tabColor theme="7" tint="-0.499984740745262"/>
  </sheetPr>
  <dimension ref="A1"/>
  <sheetViews>
    <sheetView workbookViewId="0">
      <selection activeCell="J20" sqref="J2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407B-5CE0-498B-AABB-87AC56F14DD5}">
  <dimension ref="A1:M105"/>
  <sheetViews>
    <sheetView showGridLines="0" zoomScale="84" workbookViewId="0">
      <pane ySplit="3" topLeftCell="A58" activePane="bottomLeft" state="frozen"/>
      <selection pane="bottomLeft" activeCell="D77" sqref="D77"/>
    </sheetView>
  </sheetViews>
  <sheetFormatPr defaultRowHeight="14.5" x14ac:dyDescent="0.35"/>
  <cols>
    <col min="1" max="1" width="1.81640625" customWidth="1"/>
    <col min="2" max="2" width="29.81640625" customWidth="1"/>
    <col min="3" max="13" width="15.6328125" customWidth="1"/>
  </cols>
  <sheetData>
    <row r="1" spans="1:13" x14ac:dyDescent="0.35">
      <c r="C1" t="s">
        <v>97</v>
      </c>
    </row>
    <row r="2" spans="1:13" x14ac:dyDescent="0.35">
      <c r="B2" s="30" t="str">
        <f>"Historical Financial Statement - "&amp;'Data Sheet'!B1</f>
        <v>Historical Financial Statement - TATA MOTORS LTD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35">
      <c r="B3" s="25" t="s">
        <v>93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27" t="s">
        <v>94</v>
      </c>
    </row>
    <row r="4" spans="1:13" x14ac:dyDescent="0.35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35">
      <c r="A5" t="s">
        <v>95</v>
      </c>
      <c r="B5" s="36" t="s">
        <v>96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x14ac:dyDescent="0.35">
      <c r="B6" t="s">
        <v>6</v>
      </c>
      <c r="C6" s="38">
        <f>IFERROR('Data Sheet'!B17,0)</f>
        <v>263158.98</v>
      </c>
      <c r="D6" s="38">
        <f>IFERROR('Data Sheet'!C17,0)</f>
        <v>273045.59999999998</v>
      </c>
      <c r="E6" s="38">
        <f>IFERROR('Data Sheet'!D17,0)</f>
        <v>269692.51</v>
      </c>
      <c r="F6" s="38">
        <f>IFERROR('Data Sheet'!E17,0)</f>
        <v>291550.48</v>
      </c>
      <c r="G6" s="38">
        <f>IFERROR('Data Sheet'!F17,0)</f>
        <v>301938.40000000002</v>
      </c>
      <c r="H6" s="38">
        <f>IFERROR('Data Sheet'!G17,0)</f>
        <v>261067.97</v>
      </c>
      <c r="I6" s="38">
        <f>IFERROR('Data Sheet'!H17,0)</f>
        <v>249794.75</v>
      </c>
      <c r="J6" s="38">
        <f>IFERROR('Data Sheet'!I17,0)</f>
        <v>278453.62</v>
      </c>
      <c r="K6" s="38">
        <f>IFERROR('Data Sheet'!J17,0)</f>
        <v>345966.97</v>
      </c>
      <c r="L6" s="38">
        <f>IFERROR('Data Sheet'!K17,0)</f>
        <v>437927.77</v>
      </c>
      <c r="M6" s="38"/>
    </row>
    <row r="7" spans="1:13" x14ac:dyDescent="0.35">
      <c r="B7" s="29" t="s">
        <v>22</v>
      </c>
      <c r="C7" s="28" t="s">
        <v>98</v>
      </c>
      <c r="D7" s="29">
        <f>D6/C6-1</f>
        <v>3.75690010654397E-2</v>
      </c>
      <c r="E7" s="29">
        <f t="shared" ref="E7:L7" si="0">E6/D6-1</f>
        <v>-1.2280329732469508E-2</v>
      </c>
      <c r="F7" s="29">
        <f t="shared" si="0"/>
        <v>8.104774581985974E-2</v>
      </c>
      <c r="G7" s="29">
        <f t="shared" si="0"/>
        <v>3.5629919045237157E-2</v>
      </c>
      <c r="H7" s="29">
        <f t="shared" si="0"/>
        <v>-0.135360159555724</v>
      </c>
      <c r="I7" s="29">
        <f t="shared" si="0"/>
        <v>-4.3181168490336042E-2</v>
      </c>
      <c r="J7" s="29">
        <f t="shared" si="0"/>
        <v>0.11472967306158344</v>
      </c>
      <c r="K7" s="29">
        <f t="shared" si="0"/>
        <v>0.24245815155859707</v>
      </c>
      <c r="L7" s="29">
        <f t="shared" si="0"/>
        <v>0.26580803363974326</v>
      </c>
    </row>
    <row r="9" spans="1:13" x14ac:dyDescent="0.35">
      <c r="B9" t="s">
        <v>99</v>
      </c>
      <c r="C9" s="38">
        <f>IFERROR(SUM('Data Sheet'!B18,'Data Sheet'!B20,'Data Sheet'!B21,'Data Sheet'!B22)-1*'Data Sheet'!B19,0)</f>
        <v>202856.88</v>
      </c>
      <c r="D9" s="38">
        <f>IFERROR(SUM('Data Sheet'!C18,'Data Sheet'!C20,'Data Sheet'!C21,'Data Sheet'!C22)-1*'Data Sheet'!C19,0)</f>
        <v>205509.07</v>
      </c>
      <c r="E9" s="38">
        <f>IFERROR(SUM('Data Sheet'!D18,'Data Sheet'!D20,'Data Sheet'!D21,'Data Sheet'!D22)-1*'Data Sheet'!D19,0)</f>
        <v>205454.23999999996</v>
      </c>
      <c r="F9" s="38">
        <f>IFERROR(SUM('Data Sheet'!E18,'Data Sheet'!E20,'Data Sheet'!E21,'Data Sheet'!E22)-1*'Data Sheet'!E19,0)</f>
        <v>228429.83</v>
      </c>
      <c r="G9" s="38">
        <f>IFERROR(SUM('Data Sheet'!F18,'Data Sheet'!F20,'Data Sheet'!F21,'Data Sheet'!F22)-1*'Data Sheet'!F19,0)</f>
        <v>242845.53</v>
      </c>
      <c r="H9" s="38">
        <f>IFERROR(SUM('Data Sheet'!G18,'Data Sheet'!G20,'Data Sheet'!G21,'Data Sheet'!G22)-1*'Data Sheet'!G19,0)</f>
        <v>210376.07000000004</v>
      </c>
      <c r="I9" s="38">
        <f>IFERROR(SUM('Data Sheet'!H18,'Data Sheet'!H20,'Data Sheet'!H21,'Data Sheet'!H22)-1*'Data Sheet'!H19,0)</f>
        <v>195326.04</v>
      </c>
      <c r="J9" s="38">
        <f>IFERROR(SUM('Data Sheet'!I18,'Data Sheet'!I20,'Data Sheet'!I21,'Data Sheet'!I22)-1*'Data Sheet'!I19,0)</f>
        <v>223300.00999999998</v>
      </c>
      <c r="K9" s="38">
        <f>IFERROR(SUM('Data Sheet'!J18,'Data Sheet'!J20,'Data Sheet'!J21,'Data Sheet'!J22)-1*'Data Sheet'!J19,0)</f>
        <v>274403.64</v>
      </c>
      <c r="L9" s="38">
        <f>IFERROR(SUM('Data Sheet'!K18,'Data Sheet'!K20,'Data Sheet'!K21,'Data Sheet'!K22)-1*'Data Sheet'!K19,0)</f>
        <v>334551.78999999998</v>
      </c>
    </row>
    <row r="10" spans="1:13" x14ac:dyDescent="0.35">
      <c r="B10" s="29" t="s">
        <v>100</v>
      </c>
      <c r="C10" s="29">
        <f>C9/C6</f>
        <v>0.77085296500237244</v>
      </c>
      <c r="D10" s="29">
        <f t="shared" ref="D10:L10" si="1">D9/D6</f>
        <v>0.75265475803309057</v>
      </c>
      <c r="E10" s="29">
        <f t="shared" si="1"/>
        <v>0.76180921746770036</v>
      </c>
      <c r="F10" s="29">
        <f t="shared" si="1"/>
        <v>0.78350009919380004</v>
      </c>
      <c r="G10" s="29">
        <f t="shared" si="1"/>
        <v>0.80428832503583503</v>
      </c>
      <c r="H10" s="29">
        <f t="shared" si="1"/>
        <v>0.80582872728508226</v>
      </c>
      <c r="I10" s="29">
        <f t="shared" si="1"/>
        <v>0.7819461377791167</v>
      </c>
      <c r="J10" s="29">
        <f t="shared" si="1"/>
        <v>0.80192891728252624</v>
      </c>
      <c r="K10" s="29">
        <f t="shared" si="1"/>
        <v>0.79314982005363122</v>
      </c>
      <c r="L10" s="29">
        <f t="shared" si="1"/>
        <v>0.76394285295038489</v>
      </c>
    </row>
    <row r="12" spans="1:13" x14ac:dyDescent="0.35">
      <c r="B12" s="52" t="s">
        <v>101</v>
      </c>
      <c r="C12" s="53">
        <f>C6-C9</f>
        <v>60302.099999999977</v>
      </c>
      <c r="D12" s="53">
        <f t="shared" ref="D12:L12" si="2">D6-D9</f>
        <v>67536.52999999997</v>
      </c>
      <c r="E12" s="53">
        <f t="shared" si="2"/>
        <v>64238.270000000048</v>
      </c>
      <c r="F12" s="53">
        <f t="shared" si="2"/>
        <v>63120.649999999994</v>
      </c>
      <c r="G12" s="53">
        <f t="shared" si="2"/>
        <v>59092.870000000024</v>
      </c>
      <c r="H12" s="53">
        <f t="shared" si="2"/>
        <v>50691.899999999965</v>
      </c>
      <c r="I12" s="53">
        <f t="shared" si="2"/>
        <v>54468.709999999992</v>
      </c>
      <c r="J12" s="53">
        <f t="shared" si="2"/>
        <v>55153.610000000015</v>
      </c>
      <c r="K12" s="53">
        <f t="shared" si="2"/>
        <v>71563.329999999958</v>
      </c>
      <c r="L12" s="53">
        <f t="shared" si="2"/>
        <v>103375.98000000004</v>
      </c>
    </row>
    <row r="13" spans="1:13" x14ac:dyDescent="0.35">
      <c r="B13" s="29" t="s">
        <v>109</v>
      </c>
      <c r="C13" s="29">
        <f>C12/C6</f>
        <v>0.22914703499762759</v>
      </c>
      <c r="D13" s="29">
        <f t="shared" ref="D13:L13" si="3">D12/D6</f>
        <v>0.24734524196690946</v>
      </c>
      <c r="E13" s="29">
        <f t="shared" si="3"/>
        <v>0.23819078253229964</v>
      </c>
      <c r="F13" s="29">
        <f t="shared" si="3"/>
        <v>0.21649990080619999</v>
      </c>
      <c r="G13" s="29">
        <f t="shared" si="3"/>
        <v>0.19571167496416494</v>
      </c>
      <c r="H13" s="29">
        <f t="shared" si="3"/>
        <v>0.19417127271491774</v>
      </c>
      <c r="I13" s="29">
        <f t="shared" si="3"/>
        <v>0.2180538622208833</v>
      </c>
      <c r="J13" s="29">
        <f t="shared" si="3"/>
        <v>0.19807108271747378</v>
      </c>
      <c r="K13" s="29">
        <f t="shared" si="3"/>
        <v>0.20685017994636876</v>
      </c>
      <c r="L13" s="29">
        <f t="shared" si="3"/>
        <v>0.23605714704961514</v>
      </c>
    </row>
    <row r="15" spans="1:13" x14ac:dyDescent="0.35">
      <c r="B15" t="s">
        <v>102</v>
      </c>
      <c r="C15" s="39">
        <f>IFERROR(SUM('Data Sheet'!B23,'Data Sheet'!B24),0)</f>
        <v>21063.449999999997</v>
      </c>
      <c r="D15" s="38">
        <f>IFERROR(SUM('Data Sheet'!C23,'Data Sheet'!C24),0)</f>
        <v>29141.280000000002</v>
      </c>
      <c r="E15" s="38">
        <f>IFERROR(SUM('Data Sheet'!D23,'Data Sheet'!D24),0)</f>
        <v>34649.58</v>
      </c>
      <c r="F15" s="38">
        <f>IFERROR(SUM('Data Sheet'!E23,'Data Sheet'!E24),0)</f>
        <v>31662.97</v>
      </c>
      <c r="G15" s="38">
        <f>IFERROR(SUM('Data Sheet'!F23,'Data Sheet'!F24),0)</f>
        <v>34428.54</v>
      </c>
      <c r="H15" s="38">
        <f>IFERROR(SUM('Data Sheet'!G23,'Data Sheet'!G24),0)</f>
        <v>32704.83</v>
      </c>
      <c r="I15" s="38">
        <f>IFERROR(SUM('Data Sheet'!H23,'Data Sheet'!H24),0)</f>
        <v>22181.280000000002</v>
      </c>
      <c r="J15" s="38">
        <f>IFERROR(SUM('Data Sheet'!I23,'Data Sheet'!I24),0)</f>
        <v>30433.52</v>
      </c>
      <c r="K15" s="38">
        <f>IFERROR(SUM('Data Sheet'!J23,'Data Sheet'!J24),0)</f>
        <v>39747.53</v>
      </c>
      <c r="L15" s="38">
        <f>IFERROR(SUM('Data Sheet'!K23,'Data Sheet'!K24),0)</f>
        <v>43837.64</v>
      </c>
    </row>
    <row r="16" spans="1:13" x14ac:dyDescent="0.35">
      <c r="B16" s="34" t="s">
        <v>103</v>
      </c>
      <c r="C16" s="29">
        <f>C15/C6</f>
        <v>8.0040779911823637E-2</v>
      </c>
      <c r="D16" s="29">
        <f t="shared" ref="D16:L16" si="4">D15/D6</f>
        <v>0.10672678849247161</v>
      </c>
      <c r="E16" s="29">
        <f t="shared" si="4"/>
        <v>0.12847809529452636</v>
      </c>
      <c r="F16" s="29">
        <f t="shared" si="4"/>
        <v>0.10860201636437025</v>
      </c>
      <c r="G16" s="29">
        <f t="shared" si="4"/>
        <v>0.11402504616835751</v>
      </c>
      <c r="H16" s="29">
        <f t="shared" si="4"/>
        <v>0.12527323822987554</v>
      </c>
      <c r="I16" s="29">
        <f t="shared" si="4"/>
        <v>8.8798023177028354E-2</v>
      </c>
      <c r="J16" s="29">
        <f t="shared" si="4"/>
        <v>0.10929475436519734</v>
      </c>
      <c r="K16" s="29">
        <f t="shared" si="4"/>
        <v>0.11488822184383672</v>
      </c>
      <c r="L16" s="29">
        <f t="shared" si="4"/>
        <v>0.10010244383451636</v>
      </c>
    </row>
    <row r="18" spans="2:13" x14ac:dyDescent="0.35">
      <c r="B18" s="52" t="s">
        <v>104</v>
      </c>
      <c r="C18" s="53">
        <f>C12-C15</f>
        <v>39238.64999999998</v>
      </c>
      <c r="D18" s="53">
        <f t="shared" ref="D18:L18" si="5">D12-D15</f>
        <v>38395.249999999971</v>
      </c>
      <c r="E18" s="53">
        <f t="shared" si="5"/>
        <v>29588.690000000046</v>
      </c>
      <c r="F18" s="53">
        <f t="shared" si="5"/>
        <v>31457.679999999993</v>
      </c>
      <c r="G18" s="53">
        <f t="shared" si="5"/>
        <v>24664.330000000024</v>
      </c>
      <c r="H18" s="53">
        <f t="shared" si="5"/>
        <v>17987.069999999963</v>
      </c>
      <c r="I18" s="53">
        <f t="shared" si="5"/>
        <v>32287.429999999989</v>
      </c>
      <c r="J18" s="53">
        <f t="shared" si="5"/>
        <v>24720.090000000015</v>
      </c>
      <c r="K18" s="53">
        <f t="shared" si="5"/>
        <v>31815.799999999959</v>
      </c>
      <c r="L18" s="53">
        <f t="shared" si="5"/>
        <v>59538.34000000004</v>
      </c>
    </row>
    <row r="19" spans="2:13" x14ac:dyDescent="0.35">
      <c r="B19" s="34" t="s">
        <v>105</v>
      </c>
      <c r="C19" s="29">
        <f>C18/C6</f>
        <v>0.14910625508580397</v>
      </c>
      <c r="D19" s="29">
        <f t="shared" ref="D19:L19" si="6">D18/D6</f>
        <v>0.14061845347443788</v>
      </c>
      <c r="E19" s="29">
        <f t="shared" si="6"/>
        <v>0.10971268723777329</v>
      </c>
      <c r="F19" s="29">
        <f t="shared" si="6"/>
        <v>0.10789788444182975</v>
      </c>
      <c r="G19" s="29">
        <f t="shared" si="6"/>
        <v>8.1686628795807431E-2</v>
      </c>
      <c r="H19" s="29">
        <f t="shared" si="6"/>
        <v>6.8898034485042198E-2</v>
      </c>
      <c r="I19" s="29">
        <f t="shared" si="6"/>
        <v>0.12925583904385496</v>
      </c>
      <c r="J19" s="29">
        <f t="shared" si="6"/>
        <v>8.877632835227646E-2</v>
      </c>
      <c r="K19" s="29">
        <f t="shared" si="6"/>
        <v>9.1961958102532049E-2</v>
      </c>
      <c r="L19" s="29">
        <f t="shared" si="6"/>
        <v>0.13595470321509878</v>
      </c>
    </row>
    <row r="21" spans="2:13" x14ac:dyDescent="0.35">
      <c r="B21" t="s">
        <v>106</v>
      </c>
      <c r="C21" s="38">
        <f>IFERROR('Data Sheet'!B27,0)</f>
        <v>4861.49</v>
      </c>
      <c r="D21" s="38">
        <f>IFERROR('Data Sheet'!C27,0)</f>
        <v>4889.08</v>
      </c>
      <c r="E21" s="38">
        <f>IFERROR('Data Sheet'!D27,0)</f>
        <v>4238.01</v>
      </c>
      <c r="F21" s="38">
        <f>IFERROR('Data Sheet'!E27,0)</f>
        <v>4681.79</v>
      </c>
      <c r="G21" s="38">
        <f>IFERROR('Data Sheet'!F27,0)</f>
        <v>5758.6</v>
      </c>
      <c r="H21" s="38">
        <f>IFERROR('Data Sheet'!G27,0)</f>
        <v>7243.33</v>
      </c>
      <c r="I21" s="38">
        <f>IFERROR('Data Sheet'!H27,0)</f>
        <v>8097.17</v>
      </c>
      <c r="J21" s="38">
        <f>IFERROR('Data Sheet'!I27,0)</f>
        <v>9311.86</v>
      </c>
      <c r="K21" s="38">
        <f>IFERROR('Data Sheet'!J27,0)</f>
        <v>10225.48</v>
      </c>
      <c r="L21" s="38">
        <f>IFERROR('Data Sheet'!K27,0)</f>
        <v>9985.76</v>
      </c>
    </row>
    <row r="22" spans="2:13" x14ac:dyDescent="0.35">
      <c r="B22" s="34" t="s">
        <v>107</v>
      </c>
      <c r="C22" s="29">
        <f>C21/C6</f>
        <v>1.8473585814932098E-2</v>
      </c>
      <c r="D22" s="29">
        <f t="shared" ref="D22:L22" si="7">D21/D6</f>
        <v>1.7905727101993223E-2</v>
      </c>
      <c r="E22" s="29">
        <f t="shared" si="7"/>
        <v>1.5714229512714312E-2</v>
      </c>
      <c r="F22" s="29">
        <f t="shared" si="7"/>
        <v>1.605824830060304E-2</v>
      </c>
      <c r="G22" s="29">
        <f t="shared" si="7"/>
        <v>1.9072102124141878E-2</v>
      </c>
      <c r="H22" s="29">
        <f t="shared" si="7"/>
        <v>2.7744996829752802E-2</v>
      </c>
      <c r="I22" s="29">
        <f t="shared" si="7"/>
        <v>3.2415292955516477E-2</v>
      </c>
      <c r="J22" s="29">
        <f t="shared" si="7"/>
        <v>3.3441332168710897E-2</v>
      </c>
      <c r="K22" s="29">
        <f t="shared" si="7"/>
        <v>2.9556231914277829E-2</v>
      </c>
      <c r="L22" s="29">
        <f t="shared" si="7"/>
        <v>2.2802299109736749E-2</v>
      </c>
    </row>
    <row r="24" spans="2:13" x14ac:dyDescent="0.35">
      <c r="B24" t="s">
        <v>10</v>
      </c>
      <c r="C24" s="38">
        <f>IFERROR('Data Sheet'!B26,0)</f>
        <v>13388.63</v>
      </c>
      <c r="D24" s="38">
        <f>IFERROR('Data Sheet'!C26,0)</f>
        <v>16710.78</v>
      </c>
      <c r="E24" s="38">
        <f>IFERROR('Data Sheet'!D26,0)</f>
        <v>17904.990000000002</v>
      </c>
      <c r="F24" s="38">
        <f>IFERROR('Data Sheet'!E26,0)</f>
        <v>21553.59</v>
      </c>
      <c r="G24" s="38">
        <f>IFERROR('Data Sheet'!F26,0)</f>
        <v>23590.63</v>
      </c>
      <c r="H24" s="38">
        <f>IFERROR('Data Sheet'!G26,0)</f>
        <v>21425.43</v>
      </c>
      <c r="I24" s="38">
        <f>IFERROR('Data Sheet'!H26,0)</f>
        <v>23546.71</v>
      </c>
      <c r="J24" s="38">
        <f>IFERROR('Data Sheet'!I26,0)</f>
        <v>24835.69</v>
      </c>
      <c r="K24" s="38">
        <f>IFERROR('Data Sheet'!J26,0)</f>
        <v>24860.36</v>
      </c>
      <c r="L24" s="38">
        <f>IFERROR('Data Sheet'!K26,0)</f>
        <v>27270.13</v>
      </c>
    </row>
    <row r="25" spans="2:13" x14ac:dyDescent="0.35">
      <c r="B25" s="34" t="s">
        <v>108</v>
      </c>
      <c r="C25" s="29">
        <f>C24/C6</f>
        <v>5.0876584184966822E-2</v>
      </c>
      <c r="D25" s="29">
        <f t="shared" ref="D25:L25" si="8">D24/D6</f>
        <v>6.1201425695927715E-2</v>
      </c>
      <c r="E25" s="29">
        <f t="shared" si="8"/>
        <v>6.63903865924938E-2</v>
      </c>
      <c r="F25" s="29">
        <f t="shared" si="8"/>
        <v>7.3927472182518786E-2</v>
      </c>
      <c r="G25" s="29">
        <f t="shared" si="8"/>
        <v>7.8130605447998658E-2</v>
      </c>
      <c r="H25" s="29">
        <f t="shared" si="8"/>
        <v>8.206839774331566E-2</v>
      </c>
      <c r="I25" s="29">
        <f t="shared" si="8"/>
        <v>9.4264230933596482E-2</v>
      </c>
      <c r="J25" s="29">
        <f t="shared" si="8"/>
        <v>8.9191478279219347E-2</v>
      </c>
      <c r="K25" s="29">
        <f t="shared" si="8"/>
        <v>7.1857611147098821E-2</v>
      </c>
      <c r="L25" s="29">
        <f t="shared" si="8"/>
        <v>6.2270839777984394E-2</v>
      </c>
    </row>
    <row r="27" spans="2:13" x14ac:dyDescent="0.35">
      <c r="B27" s="52" t="s">
        <v>110</v>
      </c>
      <c r="C27" s="53">
        <f>IFERROR(C18-SUM(C24,C21),0)</f>
        <v>20988.529999999981</v>
      </c>
      <c r="D27" s="53">
        <f t="shared" ref="D27:L27" si="9">IFERROR(D18-SUM(D24,D21),0)</f>
        <v>16795.38999999997</v>
      </c>
      <c r="E27" s="53">
        <f t="shared" si="9"/>
        <v>7445.690000000046</v>
      </c>
      <c r="F27" s="53">
        <f t="shared" si="9"/>
        <v>5222.299999999992</v>
      </c>
      <c r="G27" s="53">
        <f t="shared" si="9"/>
        <v>-4684.8999999999796</v>
      </c>
      <c r="H27" s="53">
        <f t="shared" si="9"/>
        <v>-10681.690000000039</v>
      </c>
      <c r="I27" s="53">
        <f t="shared" si="9"/>
        <v>643.549999999992</v>
      </c>
      <c r="J27" s="53">
        <f t="shared" si="9"/>
        <v>-9427.4599999999882</v>
      </c>
      <c r="K27" s="53">
        <f t="shared" si="9"/>
        <v>-3270.0400000000373</v>
      </c>
      <c r="L27" s="53">
        <f t="shared" si="9"/>
        <v>22282.450000000041</v>
      </c>
      <c r="M27" s="38"/>
    </row>
    <row r="28" spans="2:13" x14ac:dyDescent="0.35">
      <c r="B28" s="34" t="s">
        <v>111</v>
      </c>
      <c r="C28" s="29">
        <f>C27/C6</f>
        <v>7.9756085085905037E-2</v>
      </c>
      <c r="D28" s="29">
        <f t="shared" ref="D28:L28" si="10">D27/D6</f>
        <v>6.1511300676516931E-2</v>
      </c>
      <c r="E28" s="29">
        <f t="shared" si="10"/>
        <v>2.7608071132565179E-2</v>
      </c>
      <c r="F28" s="29">
        <f t="shared" si="10"/>
        <v>1.7912163958707913E-2</v>
      </c>
      <c r="G28" s="29">
        <f t="shared" si="10"/>
        <v>-1.5516078776333117E-2</v>
      </c>
      <c r="H28" s="29">
        <f t="shared" si="10"/>
        <v>-4.0915360088026265E-2</v>
      </c>
      <c r="I28" s="29">
        <f t="shared" si="10"/>
        <v>2.5763151547420113E-3</v>
      </c>
      <c r="J28" s="29">
        <f t="shared" si="10"/>
        <v>-3.3856482095653805E-2</v>
      </c>
      <c r="K28" s="29">
        <f t="shared" si="10"/>
        <v>-9.4518849588445895E-3</v>
      </c>
      <c r="L28" s="29">
        <f t="shared" si="10"/>
        <v>5.0881564327377643E-2</v>
      </c>
    </row>
    <row r="30" spans="2:13" x14ac:dyDescent="0.35">
      <c r="B30" t="s">
        <v>13</v>
      </c>
      <c r="C30" s="38">
        <f>IFERROR('Data Sheet'!B29,0)</f>
        <v>7642.91</v>
      </c>
      <c r="D30" s="38">
        <f>IFERROR('Data Sheet'!C29,0)</f>
        <v>3025.05</v>
      </c>
      <c r="E30" s="38">
        <f>IFERROR('Data Sheet'!D29,0)</f>
        <v>3251.23</v>
      </c>
      <c r="F30" s="38">
        <f>IFERROR('Data Sheet'!E29,0)</f>
        <v>4341.93</v>
      </c>
      <c r="G30" s="38">
        <f>IFERROR('Data Sheet'!F29,0)</f>
        <v>-2437.4499999999998</v>
      </c>
      <c r="H30" s="38">
        <f>IFERROR('Data Sheet'!G29,0)</f>
        <v>395.25</v>
      </c>
      <c r="I30" s="38">
        <f>IFERROR('Data Sheet'!H29,0)</f>
        <v>2541.86</v>
      </c>
      <c r="J30" s="38">
        <f>IFERROR('Data Sheet'!I29,0)</f>
        <v>4231.29</v>
      </c>
      <c r="K30" s="38">
        <f>IFERROR('Data Sheet'!J29,0)</f>
        <v>704.06</v>
      </c>
      <c r="L30" s="38">
        <f>IFERROR('Data Sheet'!K29,0)</f>
        <v>-3851.64</v>
      </c>
    </row>
    <row r="31" spans="2:13" x14ac:dyDescent="0.35">
      <c r="B31" s="34" t="s">
        <v>112</v>
      </c>
      <c r="C31" s="29">
        <f>C30/C27</f>
        <v>0.3641469888553418</v>
      </c>
      <c r="D31" s="29">
        <f t="shared" ref="D31:L31" si="11">D30/D27</f>
        <v>0.18011192356950362</v>
      </c>
      <c r="E31" s="29">
        <f t="shared" si="11"/>
        <v>0.43665932908836924</v>
      </c>
      <c r="F31" s="29">
        <f t="shared" si="11"/>
        <v>0.8314210213890445</v>
      </c>
      <c r="G31" s="29">
        <f t="shared" si="11"/>
        <v>0.52027791414971725</v>
      </c>
      <c r="H31" s="29">
        <f t="shared" si="11"/>
        <v>-3.7002571690434617E-2</v>
      </c>
      <c r="I31" s="29">
        <f t="shared" si="11"/>
        <v>3.9497474943672315</v>
      </c>
      <c r="J31" s="29">
        <f t="shared" si="11"/>
        <v>-0.4488260888935095</v>
      </c>
      <c r="K31" s="29">
        <f t="shared" si="11"/>
        <v>-0.21530623478611635</v>
      </c>
      <c r="L31" s="29">
        <f t="shared" si="11"/>
        <v>-0.17285531887202676</v>
      </c>
    </row>
    <row r="33" spans="1:13" x14ac:dyDescent="0.35">
      <c r="B33" s="52" t="s">
        <v>113</v>
      </c>
      <c r="C33" s="53">
        <f>IFERROR(C27-C30,0)</f>
        <v>13345.619999999981</v>
      </c>
      <c r="D33" s="53">
        <f t="shared" ref="D33:L33" si="12">IFERROR(D27-D30,0)</f>
        <v>13770.339999999971</v>
      </c>
      <c r="E33" s="53">
        <f t="shared" si="12"/>
        <v>4194.4600000000464</v>
      </c>
      <c r="F33" s="53">
        <f t="shared" si="12"/>
        <v>880.36999999999171</v>
      </c>
      <c r="G33" s="53">
        <f t="shared" si="12"/>
        <v>-2247.4499999999798</v>
      </c>
      <c r="H33" s="53">
        <f t="shared" si="12"/>
        <v>-11076.940000000039</v>
      </c>
      <c r="I33" s="53">
        <f t="shared" si="12"/>
        <v>-1898.3100000000081</v>
      </c>
      <c r="J33" s="53">
        <f t="shared" si="12"/>
        <v>-13658.749999999989</v>
      </c>
      <c r="K33" s="53">
        <f t="shared" si="12"/>
        <v>-3974.1000000000372</v>
      </c>
      <c r="L33" s="53">
        <f t="shared" si="12"/>
        <v>26134.09000000004</v>
      </c>
    </row>
    <row r="34" spans="1:13" x14ac:dyDescent="0.35">
      <c r="B34" s="34" t="s">
        <v>114</v>
      </c>
      <c r="C34" s="29">
        <f>C33/C6</f>
        <v>5.0713146858982282E-2</v>
      </c>
      <c r="D34" s="29">
        <f t="shared" ref="D34:L34" si="13">D33/D6</f>
        <v>5.0432381990407359E-2</v>
      </c>
      <c r="E34" s="29">
        <f t="shared" si="13"/>
        <v>1.5552749314395296E-2</v>
      </c>
      <c r="F34" s="29">
        <f t="shared" si="13"/>
        <v>3.01961430487095E-3</v>
      </c>
      <c r="G34" s="29">
        <f t="shared" si="13"/>
        <v>-7.4434056747998256E-3</v>
      </c>
      <c r="H34" s="29">
        <f t="shared" si="13"/>
        <v>-4.2429333632923408E-2</v>
      </c>
      <c r="I34" s="29">
        <f t="shared" si="13"/>
        <v>-7.5994791724005731E-3</v>
      </c>
      <c r="J34" s="29">
        <f t="shared" si="13"/>
        <v>-4.9052154538339235E-2</v>
      </c>
      <c r="K34" s="29">
        <f t="shared" si="13"/>
        <v>-1.1486934720964945E-2</v>
      </c>
      <c r="L34" s="29">
        <f t="shared" si="13"/>
        <v>5.9676713353894045E-2</v>
      </c>
    </row>
    <row r="36" spans="1:13" x14ac:dyDescent="0.35">
      <c r="B36" t="s">
        <v>115</v>
      </c>
      <c r="C36">
        <f>IFERROR('Data Sheet'!B93,0)</f>
        <v>288.74</v>
      </c>
      <c r="D36">
        <f>IFERROR('Data Sheet'!C93,0)</f>
        <v>288.72000000000003</v>
      </c>
      <c r="E36">
        <f>IFERROR('Data Sheet'!D93,0)</f>
        <v>288.73</v>
      </c>
      <c r="F36">
        <f>IFERROR('Data Sheet'!E93,0)</f>
        <v>288.73</v>
      </c>
      <c r="G36">
        <f>IFERROR('Data Sheet'!F93,0)</f>
        <v>288.73</v>
      </c>
      <c r="H36">
        <f>IFERROR('Data Sheet'!G93,0)</f>
        <v>308.89999999999998</v>
      </c>
      <c r="I36">
        <f>IFERROR('Data Sheet'!H93,0)</f>
        <v>332.03</v>
      </c>
      <c r="J36">
        <f>IFERROR('Data Sheet'!I93,0)</f>
        <v>332.07</v>
      </c>
      <c r="K36">
        <f>IFERROR('Data Sheet'!J93,0)</f>
        <v>332.13</v>
      </c>
      <c r="L36">
        <f>IFERROR('Data Sheet'!K93,0)</f>
        <v>332.37</v>
      </c>
    </row>
    <row r="37" spans="1:13" x14ac:dyDescent="0.35"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3" x14ac:dyDescent="0.35">
      <c r="B38" t="s">
        <v>57</v>
      </c>
      <c r="C38" s="38">
        <f>IFERROR(C33/C36,0)</f>
        <v>46.220198102098706</v>
      </c>
      <c r="D38" s="38">
        <f t="shared" ref="D38:L38" si="14">IFERROR(D33/D36,0)</f>
        <v>47.694444444444336</v>
      </c>
      <c r="E38" s="38">
        <f t="shared" si="14"/>
        <v>14.527274616423808</v>
      </c>
      <c r="F38" s="38">
        <f t="shared" si="14"/>
        <v>3.049111626779315</v>
      </c>
      <c r="G38" s="38">
        <f t="shared" si="14"/>
        <v>-7.7839157690575265</v>
      </c>
      <c r="H38" s="38">
        <f t="shared" si="14"/>
        <v>-35.859307219164904</v>
      </c>
      <c r="I38" s="38">
        <f t="shared" si="14"/>
        <v>-5.7172845827184542</v>
      </c>
      <c r="J38" s="38">
        <f t="shared" si="14"/>
        <v>-41.132140813683833</v>
      </c>
      <c r="K38" s="38">
        <f t="shared" si="14"/>
        <v>-11.965495438533218</v>
      </c>
      <c r="L38" s="38">
        <f t="shared" si="14"/>
        <v>78.629509281824596</v>
      </c>
    </row>
    <row r="39" spans="1:13" x14ac:dyDescent="0.35">
      <c r="B39" s="34" t="s">
        <v>117</v>
      </c>
      <c r="C39" s="29"/>
      <c r="D39" s="29">
        <f>IFERROR(D38/C38-1,0)</f>
        <v>3.189614936502605E-2</v>
      </c>
      <c r="E39" s="29">
        <f t="shared" ref="E39:L39" si="15">IFERROR(E38/D38-1,0)</f>
        <v>-0.69540950134463697</v>
      </c>
      <c r="F39" s="29">
        <f t="shared" si="15"/>
        <v>-0.79011124197155724</v>
      </c>
      <c r="G39" s="29">
        <f t="shared" si="15"/>
        <v>-3.5528470983790919</v>
      </c>
      <c r="H39" s="29">
        <f t="shared" si="15"/>
        <v>3.6068467700681115</v>
      </c>
      <c r="I39" s="29">
        <f t="shared" si="15"/>
        <v>-0.84056344011958861</v>
      </c>
      <c r="J39" s="29">
        <f t="shared" si="15"/>
        <v>6.194349033807641</v>
      </c>
      <c r="K39" s="29">
        <f t="shared" si="15"/>
        <v>-0.70909621522659627</v>
      </c>
      <c r="L39" s="29">
        <f t="shared" si="15"/>
        <v>-7.5713542482001346</v>
      </c>
    </row>
    <row r="41" spans="1:13" x14ac:dyDescent="0.35">
      <c r="B41" t="s">
        <v>116</v>
      </c>
      <c r="C41" s="39">
        <f>IFERROR('Data Sheet'!B31/'Historical FS'!C36,0)</f>
        <v>0</v>
      </c>
      <c r="D41" s="39">
        <f>IFERROR('Data Sheet'!C31/'Historical FS'!D36,0)</f>
        <v>0.23524522028262676</v>
      </c>
      <c r="E41" s="39">
        <f>IFERROR('Data Sheet'!D31/'Historical FS'!E36,0)</f>
        <v>0</v>
      </c>
      <c r="F41" s="39">
        <f>IFERROR('Data Sheet'!E31/'Historical FS'!F36,0)</f>
        <v>0</v>
      </c>
      <c r="G41" s="39">
        <f>IFERROR('Data Sheet'!F31/'Historical FS'!G36,0)</f>
        <v>0</v>
      </c>
      <c r="H41" s="39">
        <f>IFERROR('Data Sheet'!G31/'Historical FS'!H36,0)</f>
        <v>0</v>
      </c>
      <c r="I41" s="39">
        <f>IFERROR('Data Sheet'!H31/'Historical FS'!I36,0)</f>
        <v>0</v>
      </c>
      <c r="J41" s="39">
        <f>IFERROR('Data Sheet'!I31/'Historical FS'!J36,0)</f>
        <v>0</v>
      </c>
      <c r="K41" s="39">
        <f>IFERROR('Data Sheet'!J31/'Historical FS'!K36,0)</f>
        <v>2.3063860536536898</v>
      </c>
      <c r="L41" s="39">
        <f>IFERROR('Data Sheet'!K31/'Historical FS'!L36,0)</f>
        <v>6.9184944489574871</v>
      </c>
    </row>
    <row r="42" spans="1:13" x14ac:dyDescent="0.35">
      <c r="B42" s="34" t="s">
        <v>118</v>
      </c>
      <c r="C42" s="29">
        <f>IFERROR(C41/C38,0)</f>
        <v>0</v>
      </c>
      <c r="D42" s="29">
        <f t="shared" ref="D42:L42" si="16">IFERROR(D41/D38,0)</f>
        <v>4.9323400874633563E-3</v>
      </c>
      <c r="E42" s="29">
        <f t="shared" si="16"/>
        <v>0</v>
      </c>
      <c r="F42" s="29">
        <f t="shared" si="16"/>
        <v>0</v>
      </c>
      <c r="G42" s="29">
        <f t="shared" si="16"/>
        <v>0</v>
      </c>
      <c r="H42" s="29">
        <f t="shared" si="16"/>
        <v>0</v>
      </c>
      <c r="I42" s="29">
        <f t="shared" si="16"/>
        <v>0</v>
      </c>
      <c r="J42" s="29">
        <f t="shared" si="16"/>
        <v>0</v>
      </c>
      <c r="K42" s="29">
        <f t="shared" si="16"/>
        <v>-0.19275307616818721</v>
      </c>
      <c r="L42" s="29">
        <f t="shared" si="16"/>
        <v>8.7988523801670396E-2</v>
      </c>
    </row>
    <row r="44" spans="1:13" x14ac:dyDescent="0.35">
      <c r="B44" t="s">
        <v>119</v>
      </c>
      <c r="C44" s="33">
        <f>IFERROR(IF(C38&gt;C41,1-C42,0),0)</f>
        <v>1</v>
      </c>
      <c r="D44" s="33">
        <f t="shared" ref="D44:L44" si="17">IFERROR(IF(D38&gt;D41,1-D42,0),0)</f>
        <v>0.99506765991253665</v>
      </c>
      <c r="E44" s="33">
        <f t="shared" si="17"/>
        <v>1</v>
      </c>
      <c r="F44" s="33">
        <f t="shared" si="17"/>
        <v>1</v>
      </c>
      <c r="G44" s="33">
        <f t="shared" si="17"/>
        <v>0</v>
      </c>
      <c r="H44" s="33">
        <f t="shared" si="17"/>
        <v>0</v>
      </c>
      <c r="I44" s="33">
        <f t="shared" si="17"/>
        <v>0</v>
      </c>
      <c r="J44" s="33">
        <f t="shared" si="17"/>
        <v>0</v>
      </c>
      <c r="K44" s="33">
        <f t="shared" si="17"/>
        <v>0</v>
      </c>
      <c r="L44" s="33">
        <f t="shared" si="17"/>
        <v>0.91201147619832956</v>
      </c>
    </row>
    <row r="46" spans="1:13" x14ac:dyDescent="0.35">
      <c r="A46" t="s">
        <v>95</v>
      </c>
      <c r="B46" s="36" t="s">
        <v>120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1:13" s="40" customFormat="1" x14ac:dyDescent="0.35">
      <c r="B47" s="41" t="s">
        <v>24</v>
      </c>
      <c r="C47" s="38">
        <f>IFERROR('Data Sheet'!B57,0)</f>
        <v>643.78</v>
      </c>
      <c r="D47" s="38">
        <f>IFERROR('Data Sheet'!C57,0)</f>
        <v>679.18</v>
      </c>
      <c r="E47" s="38">
        <f>IFERROR('Data Sheet'!D57,0)</f>
        <v>679.22</v>
      </c>
      <c r="F47" s="38">
        <f>IFERROR('Data Sheet'!E57,0)</f>
        <v>679.22</v>
      </c>
      <c r="G47" s="38">
        <f>IFERROR('Data Sheet'!F57,0)</f>
        <v>679.22</v>
      </c>
      <c r="H47" s="38">
        <f>IFERROR('Data Sheet'!G57,0)</f>
        <v>719.54</v>
      </c>
      <c r="I47" s="38">
        <f>IFERROR('Data Sheet'!H57,0)</f>
        <v>765.81</v>
      </c>
      <c r="J47" s="38">
        <f>IFERROR('Data Sheet'!I57,0)</f>
        <v>765.88</v>
      </c>
      <c r="K47" s="38">
        <f>IFERROR('Data Sheet'!J57,0)</f>
        <v>766.02</v>
      </c>
      <c r="L47" s="38">
        <f>IFERROR('Data Sheet'!K57,0)</f>
        <v>766.5</v>
      </c>
    </row>
    <row r="48" spans="1:13" x14ac:dyDescent="0.35">
      <c r="B48" t="s">
        <v>25</v>
      </c>
      <c r="C48" s="38">
        <f>IFERROR('Data Sheet'!B58,0)</f>
        <v>55618.14</v>
      </c>
      <c r="D48" s="38">
        <f>IFERROR('Data Sheet'!C58,0)</f>
        <v>78273.23</v>
      </c>
      <c r="E48" s="38">
        <f>IFERROR('Data Sheet'!D58,0)</f>
        <v>57382.67</v>
      </c>
      <c r="F48" s="38">
        <f>IFERROR('Data Sheet'!E58,0)</f>
        <v>94748.69</v>
      </c>
      <c r="G48" s="38">
        <f>IFERROR('Data Sheet'!F58,0)</f>
        <v>59500.34</v>
      </c>
      <c r="H48" s="38">
        <f>IFERROR('Data Sheet'!G58,0)</f>
        <v>62358.99</v>
      </c>
      <c r="I48" s="38">
        <f>IFERROR('Data Sheet'!H58,0)</f>
        <v>54480.91</v>
      </c>
      <c r="J48" s="38">
        <f>IFERROR('Data Sheet'!I58,0)</f>
        <v>43795.360000000001</v>
      </c>
      <c r="K48" s="38">
        <f>IFERROR('Data Sheet'!J58,0)</f>
        <v>44555.77</v>
      </c>
      <c r="L48" s="38">
        <f>IFERROR('Data Sheet'!K58,0)</f>
        <v>84151.52</v>
      </c>
    </row>
    <row r="49" spans="2:13" x14ac:dyDescent="0.35">
      <c r="B49" t="s">
        <v>71</v>
      </c>
      <c r="C49" s="38">
        <f>IFERROR('Data Sheet'!B59,0)</f>
        <v>73610.39</v>
      </c>
      <c r="D49" s="38">
        <f>IFERROR('Data Sheet'!C59,0)</f>
        <v>69359.960000000006</v>
      </c>
      <c r="E49" s="38">
        <f>IFERROR('Data Sheet'!D59,0)</f>
        <v>78603.98</v>
      </c>
      <c r="F49" s="38">
        <f>IFERROR('Data Sheet'!E59,0)</f>
        <v>88950.47</v>
      </c>
      <c r="G49" s="38">
        <f>IFERROR('Data Sheet'!F59,0)</f>
        <v>106175.34</v>
      </c>
      <c r="H49" s="38">
        <f>IFERROR('Data Sheet'!G59,0)</f>
        <v>124787.64</v>
      </c>
      <c r="I49" s="38">
        <f>IFERROR('Data Sheet'!H59,0)</f>
        <v>142130.57</v>
      </c>
      <c r="J49" s="38">
        <f>IFERROR('Data Sheet'!I59,0)</f>
        <v>146449.03</v>
      </c>
      <c r="K49" s="38">
        <f>IFERROR('Data Sheet'!J59,0)</f>
        <v>134113.44</v>
      </c>
      <c r="L49" s="38">
        <f>IFERROR('Data Sheet'!K59,0)</f>
        <v>107262.5</v>
      </c>
    </row>
    <row r="50" spans="2:13" x14ac:dyDescent="0.35">
      <c r="B50" t="s">
        <v>72</v>
      </c>
      <c r="C50" s="38">
        <f>IFERROR('Data Sheet'!B60,0)</f>
        <v>107442.48</v>
      </c>
      <c r="D50" s="38">
        <f>IFERROR('Data Sheet'!C60,0)</f>
        <v>114871.75</v>
      </c>
      <c r="E50" s="38">
        <f>IFERROR('Data Sheet'!D60,0)</f>
        <v>135914.49</v>
      </c>
      <c r="F50" s="38">
        <f>IFERROR('Data Sheet'!E60,0)</f>
        <v>142813.43</v>
      </c>
      <c r="G50" s="38">
        <f>IFERROR('Data Sheet'!F60,0)</f>
        <v>139348.59</v>
      </c>
      <c r="H50" s="38">
        <f>IFERROR('Data Sheet'!G60,0)</f>
        <v>132313.22</v>
      </c>
      <c r="I50" s="38">
        <f>IFERROR('Data Sheet'!H60,0)</f>
        <v>144192.62</v>
      </c>
      <c r="J50" s="38">
        <f>IFERROR('Data Sheet'!I60,0)</f>
        <v>138051.22</v>
      </c>
      <c r="K50" s="38">
        <f>IFERROR('Data Sheet'!J60,0)</f>
        <v>155239.20000000001</v>
      </c>
      <c r="L50" s="38">
        <f>IFERROR('Data Sheet'!K60,0)</f>
        <v>177340.09</v>
      </c>
    </row>
    <row r="51" spans="2:13" x14ac:dyDescent="0.35">
      <c r="B51" s="52" t="s">
        <v>121</v>
      </c>
      <c r="C51" s="53">
        <f>IFERROR('Data Sheet'!B61,0)</f>
        <v>237314.79</v>
      </c>
      <c r="D51" s="53">
        <f>IFERROR('Data Sheet'!C61,0)</f>
        <v>263184.12</v>
      </c>
      <c r="E51" s="53">
        <f>IFERROR('Data Sheet'!D61,0)</f>
        <v>272580.36</v>
      </c>
      <c r="F51" s="53">
        <f>IFERROR('Data Sheet'!E61,0)</f>
        <v>327191.81</v>
      </c>
      <c r="G51" s="53">
        <f>IFERROR('Data Sheet'!F61,0)</f>
        <v>305703.49</v>
      </c>
      <c r="H51" s="53">
        <f>IFERROR('Data Sheet'!G61,0)</f>
        <v>320179.39</v>
      </c>
      <c r="I51" s="53">
        <f>IFERROR('Data Sheet'!H61,0)</f>
        <v>341569.91</v>
      </c>
      <c r="J51" s="53">
        <f>IFERROR('Data Sheet'!I61,0)</f>
        <v>329061.49</v>
      </c>
      <c r="K51" s="53">
        <f>IFERROR('Data Sheet'!J61,0)</f>
        <v>334674.43</v>
      </c>
      <c r="L51" s="53">
        <f>IFERROR('Data Sheet'!K61,0)</f>
        <v>369520.61</v>
      </c>
      <c r="M51" s="2"/>
    </row>
    <row r="53" spans="2:13" x14ac:dyDescent="0.35">
      <c r="B53" t="s">
        <v>122</v>
      </c>
      <c r="C53" s="38">
        <f>IFERROR('Data Sheet'!B62,0)</f>
        <v>88479.49</v>
      </c>
      <c r="D53" s="38">
        <f>IFERROR('Data Sheet'!C62,0)</f>
        <v>107231.76</v>
      </c>
      <c r="E53" s="38">
        <f>IFERROR('Data Sheet'!D62,0)</f>
        <v>95944.08</v>
      </c>
      <c r="F53" s="38">
        <f>IFERROR('Data Sheet'!E62,0)</f>
        <v>121413.86</v>
      </c>
      <c r="G53" s="38">
        <f>IFERROR('Data Sheet'!F62,0)</f>
        <v>111234.47</v>
      </c>
      <c r="H53" s="38">
        <f>IFERROR('Data Sheet'!G62,0)</f>
        <v>127107.14</v>
      </c>
      <c r="I53" s="38">
        <f>IFERROR('Data Sheet'!H62,0)</f>
        <v>138707.60999999999</v>
      </c>
      <c r="J53" s="38">
        <f>IFERROR('Data Sheet'!I62,0)</f>
        <v>138855.45000000001</v>
      </c>
      <c r="K53" s="38">
        <f>IFERROR('Data Sheet'!J62,0)</f>
        <v>132079.76</v>
      </c>
      <c r="L53" s="38">
        <f>IFERROR('Data Sheet'!K62,0)</f>
        <v>121285.46</v>
      </c>
      <c r="M53" s="38"/>
    </row>
    <row r="54" spans="2:13" x14ac:dyDescent="0.35">
      <c r="B54" t="s">
        <v>28</v>
      </c>
      <c r="C54" s="38">
        <f>IFERROR('Data Sheet'!B63,0)</f>
        <v>28640.09</v>
      </c>
      <c r="D54" s="38">
        <f>IFERROR('Data Sheet'!C63,0)</f>
        <v>25918.94</v>
      </c>
      <c r="E54" s="38">
        <f>IFERROR('Data Sheet'!D63,0)</f>
        <v>33698.839999999997</v>
      </c>
      <c r="F54" s="38">
        <f>IFERROR('Data Sheet'!E63,0)</f>
        <v>40033.5</v>
      </c>
      <c r="G54" s="38">
        <f>IFERROR('Data Sheet'!F63,0)</f>
        <v>31883.84</v>
      </c>
      <c r="H54" s="38">
        <f>IFERROR('Data Sheet'!G63,0)</f>
        <v>35622.29</v>
      </c>
      <c r="I54" s="38">
        <f>IFERROR('Data Sheet'!H63,0)</f>
        <v>20963.93</v>
      </c>
      <c r="J54" s="38">
        <f>IFERROR('Data Sheet'!I63,0)</f>
        <v>10251.09</v>
      </c>
      <c r="K54" s="38">
        <f>IFERROR('Data Sheet'!J63,0)</f>
        <v>14274.5</v>
      </c>
      <c r="L54" s="38">
        <f>IFERROR('Data Sheet'!K63,0)</f>
        <v>35698.43</v>
      </c>
      <c r="M54" s="38"/>
    </row>
    <row r="55" spans="2:13" x14ac:dyDescent="0.35">
      <c r="B55" t="s">
        <v>29</v>
      </c>
      <c r="C55" s="38">
        <f>IFERROR('Data Sheet'!B64,0)</f>
        <v>15336.74</v>
      </c>
      <c r="D55" s="38">
        <f>IFERROR('Data Sheet'!C64,0)</f>
        <v>23767.02</v>
      </c>
      <c r="E55" s="38">
        <f>IFERROR('Data Sheet'!D64,0)</f>
        <v>20337.919999999998</v>
      </c>
      <c r="F55" s="38">
        <f>IFERROR('Data Sheet'!E64,0)</f>
        <v>20812.75</v>
      </c>
      <c r="G55" s="38">
        <f>IFERROR('Data Sheet'!F64,0)</f>
        <v>15770.72</v>
      </c>
      <c r="H55" s="38">
        <f>IFERROR('Data Sheet'!G64,0)</f>
        <v>16308.48</v>
      </c>
      <c r="I55" s="38">
        <f>IFERROR('Data Sheet'!H64,0)</f>
        <v>24620.28</v>
      </c>
      <c r="J55" s="38">
        <f>IFERROR('Data Sheet'!I64,0)</f>
        <v>29379.53</v>
      </c>
      <c r="K55" s="38">
        <f>IFERROR('Data Sheet'!J64,0)</f>
        <v>26379.16</v>
      </c>
      <c r="L55" s="38">
        <f>IFERROR('Data Sheet'!K64,0)</f>
        <v>22971.07</v>
      </c>
      <c r="M55" s="38"/>
    </row>
    <row r="56" spans="2:13" x14ac:dyDescent="0.35">
      <c r="B56" t="s">
        <v>73</v>
      </c>
      <c r="C56" s="38">
        <f>IFERROR('Data Sheet'!B65-SUM('Data Sheet'!B67:B69),0)</f>
        <v>30891.17</v>
      </c>
      <c r="D56" s="38">
        <f>IFERROR('Data Sheet'!C65-SUM('Data Sheet'!C67:C69),0)</f>
        <v>29579.359999999986</v>
      </c>
      <c r="E56" s="38">
        <f>IFERROR('Data Sheet'!D65-SUM('Data Sheet'!D67:D69),0)</f>
        <v>37360.780000000013</v>
      </c>
      <c r="F56" s="38">
        <f>IFERROR('Data Sheet'!E65-SUM('Data Sheet'!E67:E69),0)</f>
        <v>48286.860000000015</v>
      </c>
      <c r="G56" s="38">
        <f>IFERROR('Data Sheet'!F65-SUM('Data Sheet'!F67:F69),0)</f>
        <v>56155.739999999991</v>
      </c>
      <c r="H56" s="38">
        <f>IFERROR('Data Sheet'!G65-SUM('Data Sheet'!G67:G69),0)</f>
        <v>58784.94</v>
      </c>
      <c r="I56" s="38">
        <f>IFERROR('Data Sheet'!H65-SUM('Data Sheet'!H67:H69),0)</f>
        <v>61717.959999999992</v>
      </c>
      <c r="J56" s="38">
        <f>IFERROR('Data Sheet'!I65-SUM('Data Sheet'!I67:I69),0)</f>
        <v>62223.770000000019</v>
      </c>
      <c r="K56" s="38">
        <f>IFERROR('Data Sheet'!J65-SUM('Data Sheet'!J67:J69),0)</f>
        <v>68432.090000000011</v>
      </c>
      <c r="L56" s="38">
        <f>IFERROR('Data Sheet'!K65-SUM('Data Sheet'!K67:K69),0)</f>
        <v>79018.859999999986</v>
      </c>
      <c r="M56" s="38"/>
    </row>
    <row r="57" spans="2:13" x14ac:dyDescent="0.35">
      <c r="B57" s="52" t="s">
        <v>123</v>
      </c>
      <c r="C57" s="53">
        <f>IFERROR(SUM(C53:C56),0)</f>
        <v>163347.49</v>
      </c>
      <c r="D57" s="53">
        <f t="shared" ref="D57:L57" si="18">IFERROR(SUM(D53:D56),0)</f>
        <v>186497.07999999996</v>
      </c>
      <c r="E57" s="53">
        <f t="shared" si="18"/>
        <v>187341.62</v>
      </c>
      <c r="F57" s="53">
        <f t="shared" si="18"/>
        <v>230546.97</v>
      </c>
      <c r="G57" s="53">
        <f t="shared" si="18"/>
        <v>215044.77</v>
      </c>
      <c r="H57" s="53">
        <f t="shared" si="18"/>
        <v>237822.85</v>
      </c>
      <c r="I57" s="53">
        <f t="shared" si="18"/>
        <v>246009.77999999997</v>
      </c>
      <c r="J57" s="53">
        <f t="shared" si="18"/>
        <v>240709.84000000003</v>
      </c>
      <c r="K57" s="53">
        <f t="shared" si="18"/>
        <v>241165.51</v>
      </c>
      <c r="L57" s="53">
        <f t="shared" si="18"/>
        <v>258973.82</v>
      </c>
      <c r="M57" s="38"/>
    </row>
    <row r="58" spans="2:13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35">
      <c r="B59" t="s">
        <v>78</v>
      </c>
      <c r="C59" s="38">
        <f>IFERROR('Data Sheet'!B67,0)</f>
        <v>12579.2</v>
      </c>
      <c r="D59" s="38">
        <f>IFERROR('Data Sheet'!C67,0)</f>
        <v>13570.91</v>
      </c>
      <c r="E59" s="38">
        <f>IFERROR('Data Sheet'!D67,0)</f>
        <v>14075.55</v>
      </c>
      <c r="F59" s="38">
        <f>IFERROR('Data Sheet'!E67,0)</f>
        <v>19893.3</v>
      </c>
      <c r="G59" s="38">
        <f>IFERROR('Data Sheet'!F67,0)</f>
        <v>18996.169999999998</v>
      </c>
      <c r="H59" s="38">
        <f>IFERROR('Data Sheet'!G67,0)</f>
        <v>11172.69</v>
      </c>
      <c r="I59" s="38">
        <f>IFERROR('Data Sheet'!H67,0)</f>
        <v>12679.08</v>
      </c>
      <c r="J59" s="38">
        <f>IFERROR('Data Sheet'!I67,0)</f>
        <v>12442.12</v>
      </c>
      <c r="K59" s="38">
        <f>IFERROR('Data Sheet'!J67,0)</f>
        <v>15737.97</v>
      </c>
      <c r="L59" s="38">
        <f>IFERROR('Data Sheet'!K67,0)</f>
        <v>16951.810000000001</v>
      </c>
    </row>
    <row r="60" spans="2:13" x14ac:dyDescent="0.35">
      <c r="B60" t="s">
        <v>45</v>
      </c>
      <c r="C60" s="38">
        <f>IFERROR('Data Sheet'!B68,0)</f>
        <v>29272.34</v>
      </c>
      <c r="D60" s="38">
        <f>IFERROR('Data Sheet'!C68,0)</f>
        <v>32655.73</v>
      </c>
      <c r="E60" s="38">
        <f>IFERROR('Data Sheet'!D68,0)</f>
        <v>35085.31</v>
      </c>
      <c r="F60" s="38">
        <f>IFERROR('Data Sheet'!E68,0)</f>
        <v>42137.63</v>
      </c>
      <c r="G60" s="38">
        <f>IFERROR('Data Sheet'!F68,0)</f>
        <v>39013.730000000003</v>
      </c>
      <c r="H60" s="38">
        <f>IFERROR('Data Sheet'!G68,0)</f>
        <v>37456.879999999997</v>
      </c>
      <c r="I60" s="38">
        <f>IFERROR('Data Sheet'!H68,0)</f>
        <v>36088.589999999997</v>
      </c>
      <c r="J60" s="38">
        <f>IFERROR('Data Sheet'!I68,0)</f>
        <v>35240.339999999997</v>
      </c>
      <c r="K60" s="38">
        <f>IFERROR('Data Sheet'!J68,0)</f>
        <v>40755.39</v>
      </c>
      <c r="L60" s="38">
        <f>IFERROR('Data Sheet'!K68,0)</f>
        <v>47788.29</v>
      </c>
    </row>
    <row r="61" spans="2:13" x14ac:dyDescent="0.35">
      <c r="B61" t="s">
        <v>87</v>
      </c>
      <c r="C61" s="38">
        <f>IFERROR('Data Sheet'!B69,0)</f>
        <v>32115.759999999998</v>
      </c>
      <c r="D61" s="38">
        <f>IFERROR('Data Sheet'!C69,0)</f>
        <v>30460.400000000001</v>
      </c>
      <c r="E61" s="38">
        <f>IFERROR('Data Sheet'!D69,0)</f>
        <v>36077.879999999997</v>
      </c>
      <c r="F61" s="38">
        <f>IFERROR('Data Sheet'!E69,0)</f>
        <v>34613.910000000003</v>
      </c>
      <c r="G61" s="38">
        <f>IFERROR('Data Sheet'!F69,0)</f>
        <v>32648.82</v>
      </c>
      <c r="H61" s="38">
        <f>IFERROR('Data Sheet'!G69,0)</f>
        <v>33726.97</v>
      </c>
      <c r="I61" s="38">
        <f>IFERROR('Data Sheet'!H69,0)</f>
        <v>46792.46</v>
      </c>
      <c r="J61" s="38">
        <f>IFERROR('Data Sheet'!I69,0)</f>
        <v>40669.19</v>
      </c>
      <c r="K61" s="38">
        <f>IFERROR('Data Sheet'!J69,0)</f>
        <v>37015.56</v>
      </c>
      <c r="L61" s="38">
        <f>IFERROR('Data Sheet'!K69,0)</f>
        <v>45806.69</v>
      </c>
    </row>
    <row r="62" spans="2:13" x14ac:dyDescent="0.35">
      <c r="B62" s="52" t="s">
        <v>124</v>
      </c>
      <c r="C62" s="53">
        <f>IFERROR(SUM(C59:C61),0)</f>
        <v>73967.3</v>
      </c>
      <c r="D62" s="53">
        <f t="shared" ref="D62:L62" si="19">IFERROR(SUM(D59:D61),0)</f>
        <v>76687.040000000008</v>
      </c>
      <c r="E62" s="53">
        <f t="shared" si="19"/>
        <v>85238.739999999991</v>
      </c>
      <c r="F62" s="53">
        <f t="shared" si="19"/>
        <v>96644.84</v>
      </c>
      <c r="G62" s="53">
        <f t="shared" si="19"/>
        <v>90658.72</v>
      </c>
      <c r="H62" s="53">
        <f t="shared" si="19"/>
        <v>82356.540000000008</v>
      </c>
      <c r="I62" s="53">
        <f t="shared" si="19"/>
        <v>95560.13</v>
      </c>
      <c r="J62" s="53">
        <f t="shared" si="19"/>
        <v>88351.65</v>
      </c>
      <c r="K62" s="53">
        <f t="shared" si="19"/>
        <v>93508.92</v>
      </c>
      <c r="L62" s="53">
        <f t="shared" si="19"/>
        <v>110546.79000000001</v>
      </c>
    </row>
    <row r="64" spans="2:13" x14ac:dyDescent="0.35">
      <c r="B64" s="52" t="s">
        <v>125</v>
      </c>
      <c r="C64" s="53">
        <f>IFERROR(SUM(C62,C57),0)</f>
        <v>237314.78999999998</v>
      </c>
      <c r="D64" s="53">
        <f t="shared" ref="D64:L64" si="20">IFERROR(SUM(D62,D57),0)</f>
        <v>263184.12</v>
      </c>
      <c r="E64" s="53">
        <f t="shared" si="20"/>
        <v>272580.36</v>
      </c>
      <c r="F64" s="53">
        <f t="shared" si="20"/>
        <v>327191.81</v>
      </c>
      <c r="G64" s="53">
        <f t="shared" si="20"/>
        <v>305703.49</v>
      </c>
      <c r="H64" s="53">
        <f t="shared" si="20"/>
        <v>320179.39</v>
      </c>
      <c r="I64" s="53">
        <f t="shared" si="20"/>
        <v>341569.91</v>
      </c>
      <c r="J64" s="53">
        <f t="shared" si="20"/>
        <v>329061.49</v>
      </c>
      <c r="K64" s="53">
        <f t="shared" si="20"/>
        <v>334674.43</v>
      </c>
      <c r="L64" s="53">
        <f t="shared" si="20"/>
        <v>369520.61</v>
      </c>
    </row>
    <row r="66" spans="1:13" x14ac:dyDescent="0.35">
      <c r="B66" s="43" t="s">
        <v>126</v>
      </c>
      <c r="C66" t="b">
        <f>C64=C51</f>
        <v>1</v>
      </c>
      <c r="D66" t="b">
        <f t="shared" ref="D66:L66" si="21">D64=D51</f>
        <v>1</v>
      </c>
      <c r="E66" t="b">
        <f t="shared" si="21"/>
        <v>1</v>
      </c>
      <c r="F66" t="b">
        <f t="shared" si="21"/>
        <v>1</v>
      </c>
      <c r="G66" t="b">
        <f t="shared" si="21"/>
        <v>1</v>
      </c>
      <c r="H66" t="b">
        <f t="shared" si="21"/>
        <v>1</v>
      </c>
      <c r="I66" t="b">
        <f t="shared" si="21"/>
        <v>1</v>
      </c>
      <c r="J66" t="b">
        <f t="shared" si="21"/>
        <v>1</v>
      </c>
      <c r="K66" t="b">
        <f t="shared" si="21"/>
        <v>1</v>
      </c>
      <c r="L66" t="b">
        <f t="shared" si="21"/>
        <v>1</v>
      </c>
    </row>
    <row r="68" spans="1:13" x14ac:dyDescent="0.35">
      <c r="A68" t="s">
        <v>95</v>
      </c>
      <c r="B68" s="36" t="s">
        <v>155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spans="1:13" x14ac:dyDescent="0.35">
      <c r="B69" s="2" t="s">
        <v>32</v>
      </c>
      <c r="C69">
        <v>35531.26</v>
      </c>
      <c r="D69">
        <v>37899.54</v>
      </c>
      <c r="E69">
        <v>30199.25</v>
      </c>
      <c r="F69">
        <v>23857.42</v>
      </c>
      <c r="G69">
        <v>18890.75</v>
      </c>
      <c r="H69">
        <v>26632.94</v>
      </c>
      <c r="I69">
        <v>29000.51</v>
      </c>
      <c r="J69">
        <v>14282.83</v>
      </c>
      <c r="K69">
        <v>35388.01</v>
      </c>
      <c r="L69">
        <v>67915.360000000001</v>
      </c>
    </row>
    <row r="70" spans="1:13" x14ac:dyDescent="0.35">
      <c r="B70" s="2" t="s">
        <v>33</v>
      </c>
      <c r="C70" s="39">
        <v>-36232.35</v>
      </c>
      <c r="D70" s="39">
        <v>-36693.9</v>
      </c>
      <c r="E70" s="39">
        <v>-39571.4</v>
      </c>
      <c r="F70" s="39">
        <v>-25139.14</v>
      </c>
      <c r="G70" s="39">
        <v>-20878.07</v>
      </c>
      <c r="H70" s="39">
        <v>-33114.550000000003</v>
      </c>
      <c r="I70" s="39">
        <v>-25672.5</v>
      </c>
      <c r="J70" s="39">
        <v>-4443.66</v>
      </c>
      <c r="K70" s="39">
        <v>-15417.17</v>
      </c>
      <c r="L70" s="39">
        <v>-22781.56</v>
      </c>
    </row>
    <row r="71" spans="1:13" x14ac:dyDescent="0.35">
      <c r="B71" s="2" t="s">
        <v>34</v>
      </c>
      <c r="C71" s="39">
        <v>5201.4399999999996</v>
      </c>
      <c r="D71" s="39">
        <v>-3795.12</v>
      </c>
      <c r="E71" s="39">
        <v>6205.3</v>
      </c>
      <c r="F71" s="39">
        <v>2011.71</v>
      </c>
      <c r="G71" s="39">
        <v>8830.3700000000008</v>
      </c>
      <c r="H71" s="39">
        <v>3389.61</v>
      </c>
      <c r="I71" s="39">
        <v>9904.2000000000007</v>
      </c>
      <c r="J71" s="39">
        <v>-3380.17</v>
      </c>
      <c r="K71" s="39">
        <v>-26242.9</v>
      </c>
      <c r="L71" s="39">
        <v>-37005.99</v>
      </c>
    </row>
    <row r="72" spans="1:13" x14ac:dyDescent="0.35">
      <c r="B72" s="2" t="s">
        <v>35</v>
      </c>
      <c r="C72" s="39">
        <v>4500.3500000000004</v>
      </c>
      <c r="D72" s="39">
        <v>-2589.48</v>
      </c>
      <c r="E72" s="39">
        <v>-3166.85</v>
      </c>
      <c r="F72" s="39">
        <v>729.99</v>
      </c>
      <c r="G72" s="39">
        <v>6843.05</v>
      </c>
      <c r="H72" s="39">
        <v>-3092</v>
      </c>
      <c r="I72" s="39">
        <v>13232.21</v>
      </c>
      <c r="J72" s="39">
        <v>6459</v>
      </c>
      <c r="K72" s="39">
        <v>-6272.06</v>
      </c>
      <c r="L72" s="39">
        <v>8127.81</v>
      </c>
    </row>
    <row r="73" spans="1:13" x14ac:dyDescent="0.35"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1:13" x14ac:dyDescent="0.35"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1:13" x14ac:dyDescent="0.35"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3" x14ac:dyDescent="0.35"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1:13" x14ac:dyDescent="0.35"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1:13" x14ac:dyDescent="0.35">
      <c r="B78" s="2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80" spans="1:13" x14ac:dyDescent="0.35">
      <c r="B80" s="2"/>
    </row>
    <row r="81" spans="2:12" x14ac:dyDescent="0.35"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 x14ac:dyDescent="0.35"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 x14ac:dyDescent="0.35"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 x14ac:dyDescent="0.35"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 x14ac:dyDescent="0.35"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 x14ac:dyDescent="0.35"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 x14ac:dyDescent="0.35"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 x14ac:dyDescent="0.35"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 x14ac:dyDescent="0.35"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 x14ac:dyDescent="0.35"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 x14ac:dyDescent="0.35"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 x14ac:dyDescent="0.35">
      <c r="B92" s="2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4" spans="2:12" x14ac:dyDescent="0.35">
      <c r="B94" s="2"/>
    </row>
    <row r="95" spans="2:12" x14ac:dyDescent="0.35"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 x14ac:dyDescent="0.35"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 x14ac:dyDescent="0.35"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 x14ac:dyDescent="0.35"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 x14ac:dyDescent="0.35"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 x14ac:dyDescent="0.35"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 x14ac:dyDescent="0.35"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 x14ac:dyDescent="0.35"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 x14ac:dyDescent="0.35">
      <c r="B103" s="2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5" spans="2:12" x14ac:dyDescent="0.35">
      <c r="B105" s="2"/>
      <c r="C105" s="42"/>
      <c r="D105" s="42"/>
      <c r="E105" s="42"/>
      <c r="F105" s="42"/>
      <c r="G105" s="42"/>
      <c r="H105" s="42"/>
      <c r="I105" s="42"/>
      <c r="J105" s="42"/>
      <c r="K105" s="42"/>
      <c r="L105" s="42"/>
    </row>
  </sheetData>
  <mergeCells count="1">
    <mergeCell ref="B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E928-0373-4DBC-A9A0-422D5CBDD2C5}">
  <sheetPr>
    <tabColor rgb="FF0070C0"/>
  </sheetPr>
  <dimension ref="B2:O40"/>
  <sheetViews>
    <sheetView showGridLines="0" workbookViewId="0">
      <pane ySplit="3" topLeftCell="A13" activePane="bottomLeft" state="frozen"/>
      <selection pane="bottomLeft" activeCell="P8" sqref="P8"/>
    </sheetView>
  </sheetViews>
  <sheetFormatPr defaultRowHeight="14.5" x14ac:dyDescent="0.35"/>
  <cols>
    <col min="1" max="1" width="1.81640625" customWidth="1"/>
    <col min="2" max="2" width="27" customWidth="1"/>
    <col min="9" max="9" width="10.36328125" customWidth="1"/>
    <col min="10" max="10" width="11" customWidth="1"/>
    <col min="13" max="13" width="15.08984375" customWidth="1"/>
    <col min="14" max="14" width="9.26953125" customWidth="1"/>
    <col min="15" max="15" width="8.90625" customWidth="1"/>
  </cols>
  <sheetData>
    <row r="2" spans="2:15" x14ac:dyDescent="0.35">
      <c r="B2" s="30" t="str">
        <f>"Ratio Anakysis - "&amp;'Data Sheet'!B1</f>
        <v>Ratio Anakysis - TATA MOTORS LTD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x14ac:dyDescent="0.35">
      <c r="B3" s="25" t="s">
        <v>93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66" t="s">
        <v>186</v>
      </c>
      <c r="N3" s="66" t="s">
        <v>184</v>
      </c>
      <c r="O3" s="66" t="s">
        <v>185</v>
      </c>
    </row>
    <row r="5" spans="2:15" x14ac:dyDescent="0.35">
      <c r="B5" s="54" t="s">
        <v>156</v>
      </c>
      <c r="C5" s="55" t="str">
        <f>IFERROR('Historical FS'!C7,0)</f>
        <v>-</v>
      </c>
      <c r="D5" s="55">
        <f>IFERROR('Historical FS'!D7,0)</f>
        <v>3.75690010654397E-2</v>
      </c>
      <c r="E5" s="55">
        <f>IFERROR('Historical FS'!E7,0)</f>
        <v>-1.2280329732469508E-2</v>
      </c>
      <c r="F5" s="55">
        <f>IFERROR('Historical FS'!F7,0)</f>
        <v>8.104774581985974E-2</v>
      </c>
      <c r="G5" s="55">
        <f>IFERROR('Historical FS'!G7,0)</f>
        <v>3.5629919045237157E-2</v>
      </c>
      <c r="H5" s="55">
        <f>IFERROR('Historical FS'!H7,0)</f>
        <v>-0.135360159555724</v>
      </c>
      <c r="I5" s="55">
        <f>IFERROR('Historical FS'!I7,0)</f>
        <v>-4.3181168490336042E-2</v>
      </c>
      <c r="J5" s="55">
        <f>IFERROR('Historical FS'!J7,0)</f>
        <v>0.11472967306158344</v>
      </c>
      <c r="K5" s="55">
        <f>IFERROR('Historical FS'!K7,0)</f>
        <v>0.24245815155859707</v>
      </c>
      <c r="L5" s="55">
        <f>IFERROR('Historical FS'!L7,0)</f>
        <v>0.26580803363974326</v>
      </c>
      <c r="M5" s="54"/>
      <c r="N5" s="55">
        <f>IFERROR(AVERAGE(D5:L5),0)</f>
        <v>6.5157874045770087E-2</v>
      </c>
      <c r="O5" s="55">
        <f>IFERROR(MEDIAN(C5:L5),0)</f>
        <v>3.75690010654397E-2</v>
      </c>
    </row>
    <row r="6" spans="2:15" x14ac:dyDescent="0.35">
      <c r="B6" s="56" t="s">
        <v>157</v>
      </c>
      <c r="C6" s="56"/>
      <c r="D6" s="57">
        <f>IFERROR('Historical FS'!D18/'Historical FS'!C18-1,0)</f>
        <v>-2.1494113584437979E-2</v>
      </c>
      <c r="E6" s="57">
        <f>IFERROR('Historical FS'!E18/'Historical FS'!D18-1,0)</f>
        <v>-0.22936587208052905</v>
      </c>
      <c r="F6" s="57">
        <f>IFERROR('Historical FS'!F18/'Historical FS'!E18-1,0)</f>
        <v>6.3165689322506102E-2</v>
      </c>
      <c r="G6" s="57">
        <f>IFERROR('Historical FS'!G18/'Historical FS'!F18-1,0)</f>
        <v>-0.21595203460649259</v>
      </c>
      <c r="H6" s="57">
        <f>IFERROR('Historical FS'!H18/'Historical FS'!G18-1,0)</f>
        <v>-0.27072537547138131</v>
      </c>
      <c r="I6" s="57">
        <f>IFERROR('Historical FS'!I18/'Historical FS'!H18-1,0)</f>
        <v>0.79503554497758966</v>
      </c>
      <c r="J6" s="57">
        <f>IFERROR('Historical FS'!J18/'Historical FS'!I18-1,0)</f>
        <v>-0.234374182150762</v>
      </c>
      <c r="K6" s="57">
        <f>IFERROR('Historical FS'!K18/'Historical FS'!J18-1,0)</f>
        <v>0.28704223973294352</v>
      </c>
      <c r="L6" s="57">
        <f>IFERROR('Historical FS'!L18/'Historical FS'!K18-1,0)</f>
        <v>0.87134505497269021</v>
      </c>
      <c r="M6" s="56"/>
      <c r="N6" s="57">
        <f t="shared" ref="N6:N11" si="0">IFERROR(AVERAGE(D6:L6),0)</f>
        <v>0.11607521679023629</v>
      </c>
      <c r="O6" s="57">
        <f t="shared" ref="O6:O40" si="1">IFERROR(MEDIAN(C6:L6),0)</f>
        <v>-2.1494113584437979E-2</v>
      </c>
    </row>
    <row r="7" spans="2:15" x14ac:dyDescent="0.35">
      <c r="B7" s="56" t="s">
        <v>158</v>
      </c>
      <c r="C7" s="56"/>
      <c r="D7" s="57">
        <f>IFERROR('Historical FS'!D27/'Historical FS'!C27-1,0)</f>
        <v>-0.19978245260625749</v>
      </c>
      <c r="E7" s="57">
        <f>IFERROR('Historical FS'!E27/'Historical FS'!D27-1,0)</f>
        <v>-0.55668251823863213</v>
      </c>
      <c r="F7" s="57">
        <f>IFERROR('Historical FS'!F27/'Historical FS'!E27-1,0)</f>
        <v>-0.29861436616351744</v>
      </c>
      <c r="G7" s="57">
        <f>IFERROR('Historical FS'!G27/'Historical FS'!F27-1,0)</f>
        <v>-1.897095149646705</v>
      </c>
      <c r="H7" s="57">
        <f>IFERROR('Historical FS'!H27/'Historical FS'!G27-1,0)</f>
        <v>1.2800251873039095</v>
      </c>
      <c r="I7" s="57">
        <f>IFERROR('Historical FS'!I27/'Historical FS'!H27-1,0)</f>
        <v>-1.0602479570180365</v>
      </c>
      <c r="J7" s="57">
        <f>IFERROR('Historical FS'!J27/'Historical FS'!I27-1,0)</f>
        <v>-15.64914925025267</v>
      </c>
      <c r="K7" s="57">
        <f>IFERROR('Historical FS'!K27/'Historical FS'!J27-1,0)</f>
        <v>-0.65313668793078505</v>
      </c>
      <c r="L7" s="57">
        <f>IFERROR('Historical FS'!L27/'Historical FS'!K27-1,0)</f>
        <v>-7.8141215397976129</v>
      </c>
      <c r="M7" s="56"/>
      <c r="N7" s="57">
        <f t="shared" si="0"/>
        <v>-2.9832005260389232</v>
      </c>
      <c r="O7" s="57">
        <f t="shared" si="1"/>
        <v>-0.65313668793078505</v>
      </c>
    </row>
    <row r="8" spans="2:15" x14ac:dyDescent="0.35">
      <c r="B8" s="56" t="s">
        <v>159</v>
      </c>
      <c r="C8" s="56"/>
      <c r="D8" s="57">
        <f>IFERROR('Historical FS'!D33/'Historical FS'!C33-1,0)</f>
        <v>3.1824673563310757E-2</v>
      </c>
      <c r="E8" s="57">
        <f>IFERROR('Historical FS'!E33/'Historical FS'!D33-1,0)</f>
        <v>-0.69539895165986787</v>
      </c>
      <c r="F8" s="57">
        <f>IFERROR('Historical FS'!F33/'Historical FS'!E33-1,0)</f>
        <v>-0.79011124197155724</v>
      </c>
      <c r="G8" s="57">
        <f>IFERROR('Historical FS'!G33/'Historical FS'!F33-1,0)</f>
        <v>-3.5528470983790919</v>
      </c>
      <c r="H8" s="57">
        <f>IFERROR('Historical FS'!H33/'Historical FS'!G33-1,0)</f>
        <v>3.9286702707513577</v>
      </c>
      <c r="I8" s="57">
        <f>IFERROR('Historical FS'!I33/'Historical FS'!H33-1,0)</f>
        <v>-0.82862505348950144</v>
      </c>
      <c r="J8" s="57">
        <f>IFERROR('Historical FS'!J33/'Historical FS'!I33-1,0)</f>
        <v>6.1952157445306248</v>
      </c>
      <c r="K8" s="57">
        <f>IFERROR('Historical FS'!K33/'Historical FS'!J33-1,0)</f>
        <v>-0.7090436533357708</v>
      </c>
      <c r="L8" s="57">
        <f>IFERROR('Historical FS'!L33/'Historical FS'!K33-1,0)</f>
        <v>-7.5761027654059525</v>
      </c>
      <c r="M8" s="56"/>
      <c r="N8" s="57">
        <f t="shared" si="0"/>
        <v>-0.44404645282182759</v>
      </c>
      <c r="O8" s="57">
        <f t="shared" si="1"/>
        <v>-0.7090436533357708</v>
      </c>
    </row>
    <row r="9" spans="2:15" x14ac:dyDescent="0.35">
      <c r="B9" s="58" t="s">
        <v>160</v>
      </c>
      <c r="C9" s="58"/>
      <c r="D9" s="59">
        <f>IFERROR('Historical FS'!D41/'Historical FS'!C41-1,0)</f>
        <v>0</v>
      </c>
      <c r="E9" s="59">
        <f>IFERROR('Historical FS'!E41/'Historical FS'!D41-1,0)</f>
        <v>-1</v>
      </c>
      <c r="F9" s="59">
        <f>IFERROR('Historical FS'!F41/'Historical FS'!E41-1,0)</f>
        <v>0</v>
      </c>
      <c r="G9" s="59">
        <f>IFERROR('Historical FS'!G41/'Historical FS'!F41-1,0)</f>
        <v>0</v>
      </c>
      <c r="H9" s="59">
        <f>IFERROR('Historical FS'!H41/'Historical FS'!G41-1,0)</f>
        <v>0</v>
      </c>
      <c r="I9" s="59">
        <f>IFERROR('Historical FS'!I41/'Historical FS'!H41-1,0)</f>
        <v>0</v>
      </c>
      <c r="J9" s="59">
        <f>IFERROR('Historical FS'!J41/'Historical FS'!I41-1,0)</f>
        <v>0</v>
      </c>
      <c r="K9" s="59">
        <f>IFERROR('Historical FS'!K41/'Historical FS'!J41-1,0)</f>
        <v>0</v>
      </c>
      <c r="L9" s="59">
        <f>IFERROR('Historical FS'!L41/'Historical FS'!K41-1,0)</f>
        <v>1.9997122285739932</v>
      </c>
      <c r="M9" s="58"/>
      <c r="N9" s="59">
        <f t="shared" si="0"/>
        <v>0.11107913650822147</v>
      </c>
      <c r="O9" s="59">
        <f t="shared" si="1"/>
        <v>0</v>
      </c>
    </row>
    <row r="10" spans="2:15" x14ac:dyDescent="0.35">
      <c r="O10" s="33"/>
    </row>
    <row r="11" spans="2:15" x14ac:dyDescent="0.35">
      <c r="B11" s="54" t="s">
        <v>161</v>
      </c>
      <c r="C11" s="55">
        <f>IFERROR('Historical FS'!C13,0)</f>
        <v>0.22914703499762759</v>
      </c>
      <c r="D11" s="55">
        <f>IFERROR('Historical FS'!D13,0)</f>
        <v>0.24734524196690946</v>
      </c>
      <c r="E11" s="55">
        <f>IFERROR('Historical FS'!E13,0)</f>
        <v>0.23819078253229964</v>
      </c>
      <c r="F11" s="55">
        <f>IFERROR('Historical FS'!F13,0)</f>
        <v>0.21649990080619999</v>
      </c>
      <c r="G11" s="55">
        <f>IFERROR('Historical FS'!G13,0)</f>
        <v>0.19571167496416494</v>
      </c>
      <c r="H11" s="55">
        <f>IFERROR('Historical FS'!H13,0)</f>
        <v>0.19417127271491774</v>
      </c>
      <c r="I11" s="55">
        <f>IFERROR('Historical FS'!I13,0)</f>
        <v>0.2180538622208833</v>
      </c>
      <c r="J11" s="55">
        <f>IFERROR('Historical FS'!J13,0)</f>
        <v>0.19807108271747378</v>
      </c>
      <c r="K11" s="55">
        <f>IFERROR('Historical FS'!K13,0)</f>
        <v>0.20685017994636876</v>
      </c>
      <c r="L11" s="55">
        <f>IFERROR('Historical FS'!L13,0)</f>
        <v>0.23605714704961514</v>
      </c>
      <c r="M11" s="54"/>
      <c r="N11" s="55">
        <f>IFERROR(AVERAGE(C11:L11),0)</f>
        <v>0.21800981799164604</v>
      </c>
      <c r="O11" s="55">
        <f t="shared" si="1"/>
        <v>0.21727688151354163</v>
      </c>
    </row>
    <row r="12" spans="2:15" x14ac:dyDescent="0.35">
      <c r="B12" s="56" t="s">
        <v>162</v>
      </c>
      <c r="C12" s="57">
        <f>IFERROR('Historical FS'!C19,0)</f>
        <v>0.14910625508580397</v>
      </c>
      <c r="D12" s="57">
        <f>IFERROR('Historical FS'!D19,0)</f>
        <v>0.14061845347443788</v>
      </c>
      <c r="E12" s="57">
        <f>IFERROR('Historical FS'!E19,0)</f>
        <v>0.10971268723777329</v>
      </c>
      <c r="F12" s="57">
        <f>IFERROR('Historical FS'!F19,0)</f>
        <v>0.10789788444182975</v>
      </c>
      <c r="G12" s="57">
        <f>IFERROR('Historical FS'!G19,0)</f>
        <v>8.1686628795807431E-2</v>
      </c>
      <c r="H12" s="57">
        <f>IFERROR('Historical FS'!H19,0)</f>
        <v>6.8898034485042198E-2</v>
      </c>
      <c r="I12" s="57">
        <f>IFERROR('Historical FS'!I19,0)</f>
        <v>0.12925583904385496</v>
      </c>
      <c r="J12" s="57">
        <f>IFERROR('Historical FS'!J19,0)</f>
        <v>8.877632835227646E-2</v>
      </c>
      <c r="K12" s="57">
        <f>IFERROR('Historical FS'!K19,0)</f>
        <v>9.1961958102532049E-2</v>
      </c>
      <c r="L12" s="57">
        <f>IFERROR('Historical FS'!L19,0)</f>
        <v>0.13595470321509878</v>
      </c>
      <c r="M12" s="56"/>
      <c r="N12" s="57">
        <f t="shared" ref="N12:N40" si="2">IFERROR(AVERAGE(C12:L12),0)</f>
        <v>0.11038687722344567</v>
      </c>
      <c r="O12" s="57">
        <f t="shared" si="1"/>
        <v>0.10880528583980152</v>
      </c>
    </row>
    <row r="13" spans="2:15" x14ac:dyDescent="0.35">
      <c r="B13" s="56" t="s">
        <v>163</v>
      </c>
      <c r="C13" s="57">
        <f>IFERROR(('Historical FS'!C18-'Historical FS'!C24)/'Historical FS'!C6,0)</f>
        <v>9.8229670900837146E-2</v>
      </c>
      <c r="D13" s="57">
        <f>IFERROR(('Historical FS'!D18-'Historical FS'!D24)/'Historical FS'!D6,0)</f>
        <v>7.941702777851016E-2</v>
      </c>
      <c r="E13" s="57">
        <f>IFERROR(('Historical FS'!E18-'Historical FS'!E24)/'Historical FS'!E6,0)</f>
        <v>4.3322300645279484E-2</v>
      </c>
      <c r="F13" s="57">
        <f>IFERROR(('Historical FS'!F18-'Historical FS'!F24)/'Historical FS'!F6,0)</f>
        <v>3.3970412259310953E-2</v>
      </c>
      <c r="G13" s="57">
        <f>IFERROR(('Historical FS'!G18-'Historical FS'!G24)/'Historical FS'!G6,0)</f>
        <v>3.5560233478087663E-3</v>
      </c>
      <c r="H13" s="57">
        <f>IFERROR(('Historical FS'!H18-'Historical FS'!H24)/'Historical FS'!H6,0)</f>
        <v>-1.3170363258273456E-2</v>
      </c>
      <c r="I13" s="57">
        <f>IFERROR(('Historical FS'!I18-'Historical FS'!I24)/'Historical FS'!I6,0)</f>
        <v>3.4991608110258483E-2</v>
      </c>
      <c r="J13" s="57">
        <f>IFERROR(('Historical FS'!J18-'Historical FS'!J24)/'Historical FS'!J6,0)</f>
        <v>-4.1514992694289269E-4</v>
      </c>
      <c r="K13" s="57">
        <f>IFERROR(('Historical FS'!K18-'Historical FS'!K24)/'Historical FS'!K6,0)</f>
        <v>2.0104346955433228E-2</v>
      </c>
      <c r="L13" s="57">
        <f>IFERROR(('Historical FS'!L18-'Historical FS'!L24)/'Historical FS'!L6,0)</f>
        <v>7.3683863437114389E-2</v>
      </c>
      <c r="M13" s="56"/>
      <c r="N13" s="57">
        <f t="shared" si="2"/>
        <v>3.7368974024933624E-2</v>
      </c>
      <c r="O13" s="57">
        <f t="shared" si="1"/>
        <v>3.4481010184784722E-2</v>
      </c>
    </row>
    <row r="14" spans="2:15" x14ac:dyDescent="0.35">
      <c r="B14" s="56" t="s">
        <v>164</v>
      </c>
      <c r="C14" s="57">
        <f>IFERROR('Historical FS'!C28,0)</f>
        <v>7.9756085085905037E-2</v>
      </c>
      <c r="D14" s="57">
        <f>IFERROR('Historical FS'!D28,0)</f>
        <v>6.1511300676516931E-2</v>
      </c>
      <c r="E14" s="57">
        <f>IFERROR('Historical FS'!E28,0)</f>
        <v>2.7608071132565179E-2</v>
      </c>
      <c r="F14" s="57">
        <f>IFERROR('Historical FS'!F28,0)</f>
        <v>1.7912163958707913E-2</v>
      </c>
      <c r="G14" s="57">
        <f>IFERROR('Historical FS'!G28,0)</f>
        <v>-1.5516078776333117E-2</v>
      </c>
      <c r="H14" s="57">
        <f>IFERROR('Historical FS'!H28,0)</f>
        <v>-4.0915360088026265E-2</v>
      </c>
      <c r="I14" s="57">
        <f>IFERROR('Historical FS'!I28,0)</f>
        <v>2.5763151547420113E-3</v>
      </c>
      <c r="J14" s="57">
        <f>IFERROR('Historical FS'!J28,0)</f>
        <v>-3.3856482095653805E-2</v>
      </c>
      <c r="K14" s="57">
        <f>IFERROR('Historical FS'!K28,0)</f>
        <v>-9.4518849588445895E-3</v>
      </c>
      <c r="L14" s="57">
        <f>IFERROR('Historical FS'!L28,0)</f>
        <v>5.0881564327377643E-2</v>
      </c>
      <c r="M14" s="56"/>
      <c r="N14" s="57">
        <f t="shared" si="2"/>
        <v>1.4050569441695698E-2</v>
      </c>
      <c r="O14" s="57">
        <f t="shared" si="1"/>
        <v>1.0244239556724962E-2</v>
      </c>
    </row>
    <row r="15" spans="2:15" x14ac:dyDescent="0.35">
      <c r="B15" s="58" t="s">
        <v>165</v>
      </c>
      <c r="C15" s="59">
        <f>IFERROR('Historical FS'!C34,0)</f>
        <v>5.0713146858982282E-2</v>
      </c>
      <c r="D15" s="59">
        <f>IFERROR('Historical FS'!D34,0)</f>
        <v>5.0432381990407359E-2</v>
      </c>
      <c r="E15" s="59">
        <f>IFERROR('Historical FS'!E34,0)</f>
        <v>1.5552749314395296E-2</v>
      </c>
      <c r="F15" s="59">
        <f>IFERROR('Historical FS'!F34,0)</f>
        <v>3.01961430487095E-3</v>
      </c>
      <c r="G15" s="59">
        <f>IFERROR('Historical FS'!G34,0)</f>
        <v>-7.4434056747998256E-3</v>
      </c>
      <c r="H15" s="59">
        <f>IFERROR('Historical FS'!H34,0)</f>
        <v>-4.2429333632923408E-2</v>
      </c>
      <c r="I15" s="59">
        <f>IFERROR('Historical FS'!I34,0)</f>
        <v>-7.5994791724005731E-3</v>
      </c>
      <c r="J15" s="59">
        <f>IFERROR('Historical FS'!J34,0)</f>
        <v>-4.9052154538339235E-2</v>
      </c>
      <c r="K15" s="59">
        <f>IFERROR('Historical FS'!K34,0)</f>
        <v>-1.1486934720964945E-2</v>
      </c>
      <c r="L15" s="59">
        <f>IFERROR('Historical FS'!L34,0)</f>
        <v>5.9676713353894045E-2</v>
      </c>
      <c r="M15" s="58"/>
      <c r="N15" s="59">
        <f t="shared" si="2"/>
        <v>6.1383298083121946E-3</v>
      </c>
      <c r="O15" s="59">
        <f t="shared" si="1"/>
        <v>-2.2118956849644378E-3</v>
      </c>
    </row>
    <row r="16" spans="2:15" x14ac:dyDescent="0.35">
      <c r="O16" s="33"/>
    </row>
    <row r="17" spans="2:15" x14ac:dyDescent="0.35">
      <c r="B17" s="54" t="s">
        <v>166</v>
      </c>
      <c r="C17" s="55">
        <f>IFERROR('Historical FS'!C16,0)</f>
        <v>8.0040779911823637E-2</v>
      </c>
      <c r="D17" s="55">
        <f>IFERROR('Historical FS'!D16,0)</f>
        <v>0.10672678849247161</v>
      </c>
      <c r="E17" s="55">
        <f>IFERROR('Historical FS'!E16,0)</f>
        <v>0.12847809529452636</v>
      </c>
      <c r="F17" s="55">
        <f>IFERROR('Historical FS'!F16,0)</f>
        <v>0.10860201636437025</v>
      </c>
      <c r="G17" s="55">
        <f>IFERROR('Historical FS'!G16,0)</f>
        <v>0.11402504616835751</v>
      </c>
      <c r="H17" s="55">
        <f>IFERROR('Historical FS'!H16,0)</f>
        <v>0.12527323822987554</v>
      </c>
      <c r="I17" s="55">
        <f>IFERROR('Historical FS'!I16,0)</f>
        <v>8.8798023177028354E-2</v>
      </c>
      <c r="J17" s="55">
        <f>IFERROR('Historical FS'!J16,0)</f>
        <v>0.10929475436519734</v>
      </c>
      <c r="K17" s="55">
        <f>IFERROR('Historical FS'!K16,0)</f>
        <v>0.11488822184383672</v>
      </c>
      <c r="L17" s="55">
        <f>IFERROR('Historical FS'!L16,0)</f>
        <v>0.10010244383451636</v>
      </c>
      <c r="M17" s="54"/>
      <c r="N17" s="55">
        <f t="shared" si="2"/>
        <v>0.10762294076820036</v>
      </c>
      <c r="O17" s="55">
        <f t="shared" si="1"/>
        <v>0.1089483853647838</v>
      </c>
    </row>
    <row r="18" spans="2:15" x14ac:dyDescent="0.35">
      <c r="B18" s="56" t="s">
        <v>167</v>
      </c>
      <c r="C18" s="57">
        <f>IFERROR('Historical FS'!C25,0)</f>
        <v>5.0876584184966822E-2</v>
      </c>
      <c r="D18" s="57">
        <f>IFERROR('Historical FS'!D25,0)</f>
        <v>6.1201425695927715E-2</v>
      </c>
      <c r="E18" s="57">
        <f>IFERROR('Historical FS'!E25,0)</f>
        <v>6.63903865924938E-2</v>
      </c>
      <c r="F18" s="57">
        <f>IFERROR('Historical FS'!F25,0)</f>
        <v>7.3927472182518786E-2</v>
      </c>
      <c r="G18" s="57">
        <f>IFERROR('Historical FS'!G25,0)</f>
        <v>7.8130605447998658E-2</v>
      </c>
      <c r="H18" s="57">
        <f>IFERROR('Historical FS'!H25,0)</f>
        <v>8.206839774331566E-2</v>
      </c>
      <c r="I18" s="57">
        <f>IFERROR('Historical FS'!I25,0)</f>
        <v>9.4264230933596482E-2</v>
      </c>
      <c r="J18" s="57">
        <f>IFERROR('Historical FS'!J25,0)</f>
        <v>8.9191478279219347E-2</v>
      </c>
      <c r="K18" s="57">
        <f>IFERROR('Historical FS'!K25,0)</f>
        <v>7.1857611147098821E-2</v>
      </c>
      <c r="L18" s="57">
        <f>IFERROR('Historical FS'!L25,0)</f>
        <v>6.2270839777984394E-2</v>
      </c>
      <c r="M18" s="56"/>
      <c r="N18" s="57">
        <f t="shared" si="2"/>
        <v>7.3017903198512063E-2</v>
      </c>
      <c r="O18" s="57">
        <f t="shared" si="1"/>
        <v>7.2892541664808796E-2</v>
      </c>
    </row>
    <row r="19" spans="2:15" x14ac:dyDescent="0.35">
      <c r="B19" s="58" t="s">
        <v>168</v>
      </c>
      <c r="C19" s="59">
        <f>'Ratio Analysis'!C13</f>
        <v>9.8229670900837146E-2</v>
      </c>
      <c r="D19" s="59">
        <f>'Ratio Analysis'!D13</f>
        <v>7.941702777851016E-2</v>
      </c>
      <c r="E19" s="59">
        <f>'Ratio Analysis'!E13</f>
        <v>4.3322300645279484E-2</v>
      </c>
      <c r="F19" s="59">
        <f>'Ratio Analysis'!F13</f>
        <v>3.3970412259310953E-2</v>
      </c>
      <c r="G19" s="59">
        <f>'Ratio Analysis'!G13</f>
        <v>3.5560233478087663E-3</v>
      </c>
      <c r="H19" s="59">
        <f>'Ratio Analysis'!H13</f>
        <v>-1.3170363258273456E-2</v>
      </c>
      <c r="I19" s="59">
        <f>'Ratio Analysis'!I13</f>
        <v>3.4991608110258483E-2</v>
      </c>
      <c r="J19" s="59">
        <f>'Ratio Analysis'!J13</f>
        <v>-4.1514992694289269E-4</v>
      </c>
      <c r="K19" s="59">
        <f>'Ratio Analysis'!K13</f>
        <v>2.0104346955433228E-2</v>
      </c>
      <c r="L19" s="59">
        <f>'Ratio Analysis'!L13</f>
        <v>7.3683863437114389E-2</v>
      </c>
      <c r="M19" s="58"/>
      <c r="N19" s="59">
        <f t="shared" si="2"/>
        <v>3.7368974024933624E-2</v>
      </c>
      <c r="O19" s="59">
        <f t="shared" si="1"/>
        <v>3.4481010184784722E-2</v>
      </c>
    </row>
    <row r="20" spans="2:15" x14ac:dyDescent="0.35">
      <c r="O20" s="33"/>
    </row>
    <row r="21" spans="2:15" x14ac:dyDescent="0.35">
      <c r="B21" s="54" t="s">
        <v>169</v>
      </c>
      <c r="C21" s="55">
        <f>IFERROR(('Historical FS'!C18-'Historical FS'!C24)/(SUM('Historical FS'!C47:C49)),0)</f>
        <v>0.19904181268509033</v>
      </c>
      <c r="D21" s="55">
        <f>IFERROR(('Historical FS'!D18-'Historical FS'!D24)/(SUM('Historical FS'!D47:D49)),0)</f>
        <v>0.1462081011853561</v>
      </c>
      <c r="E21" s="55">
        <f>IFERROR(('Historical FS'!E18-'Historical FS'!E24)/(SUM('Historical FS'!E47:E49)),0)</f>
        <v>8.5490986154773282E-2</v>
      </c>
      <c r="F21" s="55">
        <f>IFERROR(('Historical FS'!F18-'Historical FS'!F24)/(SUM('Historical FS'!F47:F49)),0)</f>
        <v>5.3716113570365424E-2</v>
      </c>
      <c r="G21" s="55">
        <f>IFERROR(('Historical FS'!G18-'Historical FS'!G24)/(SUM('Historical FS'!G47:G49)),0)</f>
        <v>6.4542733637543747E-3</v>
      </c>
      <c r="H21" s="55">
        <f>IFERROR(('Historical FS'!H18-'Historical FS'!H24)/(SUM('Historical FS'!H47:H49)),0)</f>
        <v>-1.8302177555437667E-2</v>
      </c>
      <c r="I21" s="55">
        <f>IFERROR(('Historical FS'!I18-'Historical FS'!I24)/(SUM('Historical FS'!I47:I49)),0)</f>
        <v>4.4284324706251613E-2</v>
      </c>
      <c r="J21" s="55">
        <f>IFERROR(('Historical FS'!J18-'Historical FS'!J24)/(SUM('Historical FS'!J47:J49)),0)</f>
        <v>-6.0520306054739361E-4</v>
      </c>
      <c r="K21" s="55">
        <f>IFERROR(('Historical FS'!K18-'Historical FS'!K24)/(SUM('Historical FS'!K47:K49)),0)</f>
        <v>3.8762956416083731E-2</v>
      </c>
      <c r="L21" s="55">
        <f>IFERROR(('Historical FS'!L18-'Historical FS'!L24)/(SUM('Historical FS'!L47:L49)),0)</f>
        <v>0.16790572738589757</v>
      </c>
      <c r="M21" s="54"/>
      <c r="N21" s="55">
        <f t="shared" si="2"/>
        <v>7.2295691485158756E-2</v>
      </c>
      <c r="O21" s="55">
        <f t="shared" si="1"/>
        <v>4.9000219138308515E-2</v>
      </c>
    </row>
    <row r="22" spans="2:15" x14ac:dyDescent="0.35">
      <c r="B22" s="56" t="s">
        <v>170</v>
      </c>
      <c r="C22" s="57">
        <f>IFERROR('Historical FS'!C44,0)</f>
        <v>1</v>
      </c>
      <c r="D22" s="57">
        <f>IFERROR('Historical FS'!D44,0)</f>
        <v>0.99506765991253665</v>
      </c>
      <c r="E22" s="57">
        <f>IFERROR('Historical FS'!E44,0)</f>
        <v>1</v>
      </c>
      <c r="F22" s="57">
        <f>IFERROR('Historical FS'!F44,0)</f>
        <v>1</v>
      </c>
      <c r="G22" s="57">
        <f>IFERROR('Historical FS'!G44,0)</f>
        <v>0</v>
      </c>
      <c r="H22" s="57">
        <f>IFERROR('Historical FS'!H44,0)</f>
        <v>0</v>
      </c>
      <c r="I22" s="57">
        <f>IFERROR('Historical FS'!I44,0)</f>
        <v>0</v>
      </c>
      <c r="J22" s="57">
        <f>IFERROR('Historical FS'!J44,0)</f>
        <v>0</v>
      </c>
      <c r="K22" s="57">
        <f>IFERROR('Historical FS'!K44,0)</f>
        <v>0</v>
      </c>
      <c r="L22" s="57">
        <f>IFERROR('Historical FS'!L44,0)</f>
        <v>0.91201147619832956</v>
      </c>
      <c r="M22" s="56"/>
      <c r="N22" s="57">
        <f t="shared" si="2"/>
        <v>0.49070791361108662</v>
      </c>
      <c r="O22" s="57">
        <f t="shared" si="1"/>
        <v>0.45600573809916478</v>
      </c>
    </row>
    <row r="23" spans="2:15" x14ac:dyDescent="0.35">
      <c r="B23" s="56" t="s">
        <v>171</v>
      </c>
      <c r="C23" s="57">
        <f>IFERROR('Historical FS'!C33/SUM('Historical FS'!C47:C48),0)</f>
        <v>0.2372052002491202</v>
      </c>
      <c r="D23" s="57">
        <f>IFERROR('Historical FS'!D33/SUM('Historical FS'!D47:D48),0)</f>
        <v>0.17441316864171685</v>
      </c>
      <c r="E23" s="57">
        <f>IFERROR('Historical FS'!E33/SUM('Historical FS'!E47:E48),0)</f>
        <v>7.2241189530689517E-2</v>
      </c>
      <c r="F23" s="57">
        <f>IFERROR('Historical FS'!F33/SUM('Historical FS'!F47:F48),0)</f>
        <v>9.2254980749341738E-3</v>
      </c>
      <c r="G23" s="57">
        <f>IFERROR('Historical FS'!G33/SUM('Historical FS'!G47:G48),0)</f>
        <v>-3.7345736658758885E-2</v>
      </c>
      <c r="H23" s="57">
        <f>IFERROR('Historical FS'!H33/SUM('Historical FS'!H47:H48),0)</f>
        <v>-0.17560555073176307</v>
      </c>
      <c r="I23" s="57">
        <f>IFERROR('Historical FS'!I33/SUM('Historical FS'!I47:I48),0)</f>
        <v>-3.4360591904822733E-2</v>
      </c>
      <c r="J23" s="57">
        <f>IFERROR('Historical FS'!J33/SUM('Historical FS'!J47:J48),0)</f>
        <v>-0.30651638060341208</v>
      </c>
      <c r="K23" s="57">
        <f>IFERROR('Historical FS'!K33/SUM('Historical FS'!K47:K48),0)</f>
        <v>-8.7686298356707396E-2</v>
      </c>
      <c r="L23" s="57">
        <f>IFERROR('Historical FS'!L33/SUM('Historical FS'!L47:L48),0)</f>
        <v>0.30775670464290195</v>
      </c>
      <c r="M23" s="56"/>
      <c r="N23" s="57">
        <f t="shared" si="2"/>
        <v>1.5932720288389851E-2</v>
      </c>
      <c r="O23" s="57">
        <f t="shared" si="1"/>
        <v>-1.2567546914944279E-2</v>
      </c>
    </row>
    <row r="24" spans="2:15" x14ac:dyDescent="0.35">
      <c r="B24" s="56" t="s">
        <v>172</v>
      </c>
      <c r="C24" s="57">
        <f>IFERROR(C22*C23,0)</f>
        <v>0.2372052002491202</v>
      </c>
      <c r="D24" s="57">
        <f t="shared" ref="D24:L24" si="3">IFERROR(D22*D23,0)</f>
        <v>0.17355290357824379</v>
      </c>
      <c r="E24" s="57">
        <f t="shared" si="3"/>
        <v>7.2241189530689517E-2</v>
      </c>
      <c r="F24" s="57">
        <f t="shared" si="3"/>
        <v>9.2254980749341738E-3</v>
      </c>
      <c r="G24" s="57">
        <f t="shared" si="3"/>
        <v>0</v>
      </c>
      <c r="H24" s="57">
        <f t="shared" si="3"/>
        <v>0</v>
      </c>
      <c r="I24" s="57">
        <f t="shared" si="3"/>
        <v>0</v>
      </c>
      <c r="J24" s="57">
        <f t="shared" si="3"/>
        <v>0</v>
      </c>
      <c r="K24" s="57">
        <f t="shared" si="3"/>
        <v>0</v>
      </c>
      <c r="L24" s="57">
        <f t="shared" si="3"/>
        <v>0.28067764651130633</v>
      </c>
      <c r="M24" s="56"/>
      <c r="N24" s="57">
        <f t="shared" si="2"/>
        <v>7.7290243794429406E-2</v>
      </c>
      <c r="O24" s="57">
        <f t="shared" si="1"/>
        <v>4.6127490374670869E-3</v>
      </c>
    </row>
    <row r="25" spans="2:15" x14ac:dyDescent="0.35">
      <c r="B25" s="58" t="s">
        <v>173</v>
      </c>
      <c r="C25" s="60">
        <f>IFERROR(('Historical FS'!C18-'Historical FS'!C24)/'Historical FS'!C21,0)</f>
        <v>5.3173039541375138</v>
      </c>
      <c r="D25" s="60">
        <f>IFERROR(('Historical FS'!D18-'Historical FS'!D24)/'Historical FS'!D21,0)</f>
        <v>4.4352863933500721</v>
      </c>
      <c r="E25" s="60">
        <f>IFERROR(('Historical FS'!E18-'Historical FS'!E24)/'Historical FS'!E21,0)</f>
        <v>2.7568835373205922</v>
      </c>
      <c r="F25" s="60">
        <f>IFERROR(('Historical FS'!F18-'Historical FS'!F24)/'Historical FS'!F21,0)</f>
        <v>2.1154494328024094</v>
      </c>
      <c r="G25" s="60">
        <f>IFERROR(('Historical FS'!G18-'Historical FS'!G24)/'Historical FS'!G21,0)</f>
        <v>0.18645156808947008</v>
      </c>
      <c r="H25" s="60">
        <f>IFERROR(('Historical FS'!H18-'Historical FS'!H24)/'Historical FS'!H21,0)</f>
        <v>-0.47469326953211261</v>
      </c>
      <c r="I25" s="60">
        <f>IFERROR(('Historical FS'!I18-'Historical FS'!I24)/'Historical FS'!I21,0)</f>
        <v>1.079478385658198</v>
      </c>
      <c r="J25" s="60">
        <f>IFERROR(('Historical FS'!J18-'Historical FS'!J24)/'Historical FS'!J21,0)</f>
        <v>-1.2414275987824557E-2</v>
      </c>
      <c r="K25" s="60">
        <f>IFERROR(('Historical FS'!K18-'Historical FS'!K24)/'Historical FS'!K21,0)</f>
        <v>0.68020669934320532</v>
      </c>
      <c r="L25" s="60">
        <f>IFERROR(('Historical FS'!L18-'Historical FS'!L24)/'Historical FS'!L21,0)</f>
        <v>3.231422545705088</v>
      </c>
      <c r="M25" s="58"/>
      <c r="N25" s="59">
        <f t="shared" si="2"/>
        <v>1.9315374970886612</v>
      </c>
      <c r="O25" s="59">
        <f t="shared" si="1"/>
        <v>1.5974639092303038</v>
      </c>
    </row>
    <row r="26" spans="2:15" x14ac:dyDescent="0.35">
      <c r="O26" s="33"/>
    </row>
    <row r="27" spans="2:15" x14ac:dyDescent="0.35">
      <c r="B27" s="54" t="s">
        <v>174</v>
      </c>
      <c r="C27" s="61">
        <f>IFERROR('Historical FS'!C6/'Historical FS'!C59,0)</f>
        <v>20.92016821419486</v>
      </c>
      <c r="D27" s="61">
        <f>IFERROR('Historical FS'!D6/'Historical FS'!D59,0)</f>
        <v>20.119918266350599</v>
      </c>
      <c r="E27" s="61">
        <f>IFERROR('Historical FS'!E6/'Historical FS'!E59,0)</f>
        <v>19.160353236640844</v>
      </c>
      <c r="F27" s="61">
        <f>IFERROR('Historical FS'!F6/'Historical FS'!F59,0)</f>
        <v>14.655712224718874</v>
      </c>
      <c r="G27" s="61">
        <f>IFERROR('Historical FS'!G6/'Historical FS'!G59,0)</f>
        <v>15.894698773489607</v>
      </c>
      <c r="H27" s="61">
        <f>IFERROR('Historical FS'!H6/'Historical FS'!H59,0)</f>
        <v>23.366617170976728</v>
      </c>
      <c r="I27" s="61">
        <f>IFERROR('Historical FS'!I6/'Historical FS'!I59,0)</f>
        <v>19.701330853658153</v>
      </c>
      <c r="J27" s="61">
        <f>IFERROR('Historical FS'!J6/'Historical FS'!J59,0)</f>
        <v>22.379917570317598</v>
      </c>
      <c r="K27" s="61">
        <f>IFERROR('Historical FS'!K6/'Historical FS'!K59,0)</f>
        <v>21.982947610142858</v>
      </c>
      <c r="L27" s="61">
        <f>IFERROR('Historical FS'!L6/'Historical FS'!L59,0)</f>
        <v>25.833687966063799</v>
      </c>
      <c r="M27" s="54"/>
      <c r="N27" s="61">
        <f t="shared" si="2"/>
        <v>20.401535188655391</v>
      </c>
      <c r="O27" s="61">
        <f t="shared" si="1"/>
        <v>20.520043240272727</v>
      </c>
    </row>
    <row r="28" spans="2:15" x14ac:dyDescent="0.35">
      <c r="B28" s="56" t="s">
        <v>175</v>
      </c>
      <c r="C28" s="62">
        <f>IFERROR('Historical FS'!C6/'Historical FS'!C50,0)</f>
        <v>2.4493010585757142</v>
      </c>
      <c r="D28" s="62">
        <f>IFERROR('Historical FS'!D6/'Historical FS'!D50,0)</f>
        <v>2.3769603927858673</v>
      </c>
      <c r="E28" s="62">
        <f>IFERROR('Historical FS'!E6/'Historical FS'!E50,0)</f>
        <v>1.9842807783040648</v>
      </c>
      <c r="F28" s="62">
        <f>IFERROR('Historical FS'!F6/'Historical FS'!F50,0)</f>
        <v>2.0414780318629697</v>
      </c>
      <c r="G28" s="62">
        <f>IFERROR('Historical FS'!G6/'Historical FS'!G50,0)</f>
        <v>2.1667847518227492</v>
      </c>
      <c r="H28" s="62">
        <f>IFERROR('Historical FS'!H6/'Historical FS'!H50,0)</f>
        <v>1.9731057108276859</v>
      </c>
      <c r="I28" s="62">
        <f>IFERROR('Historical FS'!I6/'Historical FS'!I50,0)</f>
        <v>1.7323684804395676</v>
      </c>
      <c r="J28" s="62">
        <f>IFERROR('Historical FS'!J6/'Historical FS'!J50,0)</f>
        <v>2.0170312149360217</v>
      </c>
      <c r="K28" s="62">
        <f>IFERROR('Historical FS'!K6/'Historical FS'!K50,0)</f>
        <v>2.2286057258733614</v>
      </c>
      <c r="L28" s="62">
        <f>IFERROR('Historical FS'!L6/'Historical FS'!L50,0)</f>
        <v>2.4694234112546125</v>
      </c>
      <c r="M28" s="56"/>
      <c r="N28" s="62">
        <f t="shared" si="2"/>
        <v>2.1439339556682615</v>
      </c>
      <c r="O28" s="62">
        <f t="shared" si="1"/>
        <v>2.1041313918428592</v>
      </c>
    </row>
    <row r="29" spans="2:15" x14ac:dyDescent="0.35">
      <c r="B29" s="56" t="s">
        <v>47</v>
      </c>
      <c r="C29" s="62">
        <f>IFERROR('Historical FS'!C6/'Historical FS'!C60,0)</f>
        <v>8.9900219797938927</v>
      </c>
      <c r="D29" s="62">
        <f>IFERROR('Historical FS'!D6/'Historical FS'!D60,0)</f>
        <v>8.3613381173839922</v>
      </c>
      <c r="E29" s="62">
        <f>IFERROR('Historical FS'!E6/'Historical FS'!E60,0)</f>
        <v>7.6867643466738649</v>
      </c>
      <c r="F29" s="62">
        <f>IFERROR('Historical FS'!F6/'Historical FS'!F60,0)</f>
        <v>6.9190051742350009</v>
      </c>
      <c r="G29" s="62">
        <f>IFERROR('Historical FS'!G6/'Historical FS'!G60,0)</f>
        <v>7.7392856309817084</v>
      </c>
      <c r="H29" s="62">
        <f>IFERROR('Historical FS'!H6/'Historical FS'!H60,0)</f>
        <v>6.9698269049637886</v>
      </c>
      <c r="I29" s="62">
        <f>IFERROR('Historical FS'!I6/'Historical FS'!I60,0)</f>
        <v>6.9217098811563442</v>
      </c>
      <c r="J29" s="62">
        <f>IFERROR('Historical FS'!J6/'Historical FS'!J60,0)</f>
        <v>7.9015588385356104</v>
      </c>
      <c r="K29" s="62">
        <f>IFERROR('Historical FS'!K6/'Historical FS'!K60,0)</f>
        <v>8.4888641723217457</v>
      </c>
      <c r="L29" s="62">
        <f>IFERROR('Historical FS'!L6/'Historical FS'!L60,0)</f>
        <v>9.1639137956181322</v>
      </c>
      <c r="M29" s="56"/>
      <c r="N29" s="62">
        <f t="shared" si="2"/>
        <v>7.9142288841664072</v>
      </c>
      <c r="O29" s="62">
        <f t="shared" si="1"/>
        <v>7.8204222347586594</v>
      </c>
    </row>
    <row r="30" spans="2:15" x14ac:dyDescent="0.35">
      <c r="B30" s="56" t="s">
        <v>181</v>
      </c>
      <c r="C30" s="62">
        <f>IFERROR('Historical FS'!C6/'Historical FS'!C53,0)</f>
        <v>2.9742370802544178</v>
      </c>
      <c r="D30" s="62">
        <f>IFERROR('Historical FS'!D6/'Historical FS'!D53,0)</f>
        <v>2.546312771514708</v>
      </c>
      <c r="E30" s="62">
        <f>IFERROR('Historical FS'!E6/'Historical FS'!E53,0)</f>
        <v>2.8109343484246239</v>
      </c>
      <c r="F30" s="62">
        <f>IFERROR('Historical FS'!F6/'Historical FS'!F53,0)</f>
        <v>2.4012948768781421</v>
      </c>
      <c r="G30" s="62">
        <f>IFERROR('Historical FS'!G6/'Historical FS'!G53,0)</f>
        <v>2.7144319562092578</v>
      </c>
      <c r="H30" s="62">
        <f>IFERROR('Historical FS'!H6/'Historical FS'!H53,0)</f>
        <v>2.0539205744067566</v>
      </c>
      <c r="I30" s="62">
        <f>IFERROR('Historical FS'!I6/'Historical FS'!I53,0)</f>
        <v>1.8008727134726064</v>
      </c>
      <c r="J30" s="62">
        <f>IFERROR('Historical FS'!J6/'Historical FS'!J53,0)</f>
        <v>2.0053488717943728</v>
      </c>
      <c r="K30" s="62">
        <f>IFERROR('Historical FS'!K6/'Historical FS'!K53,0)</f>
        <v>2.6193791539294131</v>
      </c>
      <c r="L30" s="62">
        <f>IFERROR('Historical FS'!L6/'Historical FS'!L53,0)</f>
        <v>3.6107194547475023</v>
      </c>
      <c r="M30" s="56"/>
      <c r="N30" s="62">
        <f t="shared" si="2"/>
        <v>2.5537451801631801</v>
      </c>
      <c r="O30" s="62">
        <f t="shared" si="1"/>
        <v>2.5828459627220606</v>
      </c>
    </row>
    <row r="31" spans="2:15" x14ac:dyDescent="0.35">
      <c r="B31" s="58" t="s">
        <v>176</v>
      </c>
      <c r="C31" s="60">
        <f>IFERROR('Historical FS'!C6/SUM('Historical FS'!C47:C48),0)</f>
        <v>4.6773906756114965</v>
      </c>
      <c r="D31" s="60">
        <f>IFERROR('Historical FS'!D6/SUM('Historical FS'!D47:D48),0)</f>
        <v>3.4583567493379874</v>
      </c>
      <c r="E31" s="60">
        <f>IFERROR('Historical FS'!E6/SUM('Historical FS'!E47:E48),0)</f>
        <v>4.6449144180459854</v>
      </c>
      <c r="F31" s="60">
        <f>IFERROR('Historical FS'!F6/SUM('Historical FS'!F47:F48),0)</f>
        <v>3.0551908765475422</v>
      </c>
      <c r="G31" s="60">
        <f>IFERROR('Historical FS'!G6/SUM('Historical FS'!G47:G48),0)</f>
        <v>5.0172915853821474</v>
      </c>
      <c r="H31" s="60">
        <f>IFERROR('Historical FS'!H6/SUM('Historical FS'!H47:H48),0)</f>
        <v>4.1387770133514525</v>
      </c>
      <c r="I31" s="60">
        <f>IFERROR('Historical FS'!I6/SUM('Historical FS'!I47:I48),0)</f>
        <v>4.5214403678625628</v>
      </c>
      <c r="J31" s="60">
        <f>IFERROR('Historical FS'!J6/SUM('Historical FS'!J47:J48),0)</f>
        <v>6.2487852671963351</v>
      </c>
      <c r="K31" s="60">
        <f>IFERROR('Historical FS'!K6/SUM('Historical FS'!K47:K48),0)</f>
        <v>7.6335680916398054</v>
      </c>
      <c r="L31" s="60">
        <f>IFERROR('Historical FS'!L6/SUM('Historical FS'!L47:L48),0)</f>
        <v>5.1570652495194773</v>
      </c>
      <c r="M31" s="58"/>
      <c r="N31" s="60">
        <f t="shared" si="2"/>
        <v>4.8552780294494795</v>
      </c>
      <c r="O31" s="60">
        <f t="shared" si="1"/>
        <v>4.6611525468287409</v>
      </c>
    </row>
    <row r="32" spans="2:15" x14ac:dyDescent="0.35">
      <c r="O32" s="33"/>
    </row>
    <row r="33" spans="2:15" x14ac:dyDescent="0.35">
      <c r="B33" s="54" t="s">
        <v>46</v>
      </c>
      <c r="C33" s="63">
        <f>IFERROR(365/C27,0)</f>
        <v>17.447278447423685</v>
      </c>
      <c r="D33" s="63">
        <f t="shared" ref="D33:L33" si="4">IFERROR(365/D27,0)</f>
        <v>18.141226776772818</v>
      </c>
      <c r="E33" s="63">
        <f t="shared" si="4"/>
        <v>19.049753180019717</v>
      </c>
      <c r="F33" s="63">
        <f t="shared" si="4"/>
        <v>24.904964999543136</v>
      </c>
      <c r="G33" s="63">
        <f t="shared" si="4"/>
        <v>22.963631157878556</v>
      </c>
      <c r="H33" s="63">
        <f t="shared" si="4"/>
        <v>15.620575170519771</v>
      </c>
      <c r="I33" s="63">
        <f t="shared" si="4"/>
        <v>18.52666719376608</v>
      </c>
      <c r="J33" s="63">
        <f t="shared" si="4"/>
        <v>16.309264717046954</v>
      </c>
      <c r="K33" s="63">
        <f t="shared" si="4"/>
        <v>16.603778823163378</v>
      </c>
      <c r="L33" s="63">
        <f t="shared" si="4"/>
        <v>14.128838301348189</v>
      </c>
      <c r="M33" s="54"/>
      <c r="N33" s="63">
        <f t="shared" si="2"/>
        <v>18.369597876748227</v>
      </c>
      <c r="O33" s="63">
        <f t="shared" si="1"/>
        <v>17.794252612098251</v>
      </c>
    </row>
    <row r="34" spans="2:15" x14ac:dyDescent="0.35">
      <c r="B34" s="56" t="s">
        <v>177</v>
      </c>
      <c r="C34" s="64">
        <f>IFERROR(365/C28,0)</f>
        <v>149.02210519283818</v>
      </c>
      <c r="D34" s="64">
        <f t="shared" ref="D34:L34" si="5">IFERROR(365/D28,0)</f>
        <v>153.55745981623585</v>
      </c>
      <c r="E34" s="64">
        <f t="shared" si="5"/>
        <v>183.94574194885871</v>
      </c>
      <c r="F34" s="64">
        <f t="shared" si="5"/>
        <v>178.79202925682029</v>
      </c>
      <c r="G34" s="64">
        <f t="shared" si="5"/>
        <v>168.45235766633192</v>
      </c>
      <c r="H34" s="64">
        <f t="shared" si="5"/>
        <v>184.98755439052903</v>
      </c>
      <c r="I34" s="64">
        <f t="shared" si="5"/>
        <v>210.69420514242194</v>
      </c>
      <c r="J34" s="64">
        <f t="shared" si="5"/>
        <v>180.95902398395825</v>
      </c>
      <c r="K34" s="64">
        <f t="shared" si="5"/>
        <v>163.77953074537726</v>
      </c>
      <c r="L34" s="64">
        <f t="shared" si="5"/>
        <v>147.8077831191203</v>
      </c>
      <c r="M34" s="56"/>
      <c r="N34" s="64">
        <f t="shared" si="2"/>
        <v>172.19977912624921</v>
      </c>
      <c r="O34" s="64">
        <f t="shared" si="1"/>
        <v>173.6221934615761</v>
      </c>
    </row>
    <row r="35" spans="2:15" x14ac:dyDescent="0.35">
      <c r="B35" s="56" t="s">
        <v>178</v>
      </c>
      <c r="C35" s="64">
        <f>IFERROR(365/C29,0)</f>
        <v>40.600568143256986</v>
      </c>
      <c r="D35" s="64">
        <f t="shared" ref="D35:L35" si="6">IFERROR(365/D29,0)</f>
        <v>43.653299851746382</v>
      </c>
      <c r="E35" s="64">
        <f t="shared" si="6"/>
        <v>47.484218786795374</v>
      </c>
      <c r="F35" s="64">
        <f t="shared" si="6"/>
        <v>52.753248596949661</v>
      </c>
      <c r="G35" s="64">
        <f t="shared" si="6"/>
        <v>47.161975588398164</v>
      </c>
      <c r="H35" s="64">
        <f t="shared" si="6"/>
        <v>52.368588915752468</v>
      </c>
      <c r="I35" s="64">
        <f t="shared" si="6"/>
        <v>52.732634893247351</v>
      </c>
      <c r="J35" s="64">
        <f t="shared" si="6"/>
        <v>46.193416698982041</v>
      </c>
      <c r="K35" s="64">
        <f t="shared" si="6"/>
        <v>42.997507392107408</v>
      </c>
      <c r="L35" s="64">
        <f t="shared" si="6"/>
        <v>39.830143336194453</v>
      </c>
      <c r="M35" s="56"/>
      <c r="N35" s="64">
        <f t="shared" si="2"/>
        <v>46.577560220343024</v>
      </c>
      <c r="O35" s="64">
        <f t="shared" si="1"/>
        <v>46.677696143690099</v>
      </c>
    </row>
    <row r="36" spans="2:15" x14ac:dyDescent="0.35">
      <c r="B36" s="58" t="s">
        <v>183</v>
      </c>
      <c r="C36" s="65">
        <f>IFERROR(SUM(C33,C35)-C34,0)</f>
        <v>-90.974258602157505</v>
      </c>
      <c r="D36" s="65">
        <f t="shared" ref="D36:L36" si="7">IFERROR(SUM(D33,D35)-D34,0)</f>
        <v>-91.762933187716641</v>
      </c>
      <c r="E36" s="65">
        <f t="shared" si="7"/>
        <v>-117.41176998204362</v>
      </c>
      <c r="F36" s="65">
        <f t="shared" si="7"/>
        <v>-101.13381566032749</v>
      </c>
      <c r="G36" s="65">
        <f t="shared" si="7"/>
        <v>-98.326750920055204</v>
      </c>
      <c r="H36" s="65">
        <f t="shared" si="7"/>
        <v>-116.99839030425679</v>
      </c>
      <c r="I36" s="65">
        <f t="shared" si="7"/>
        <v>-139.43490305540851</v>
      </c>
      <c r="J36" s="65">
        <f t="shared" si="7"/>
        <v>-118.45634256792925</v>
      </c>
      <c r="K36" s="65">
        <f t="shared" si="7"/>
        <v>-104.17824453010647</v>
      </c>
      <c r="L36" s="65">
        <f t="shared" si="7"/>
        <v>-93.848801481577652</v>
      </c>
      <c r="M36" s="58"/>
      <c r="N36" s="65">
        <f t="shared" si="2"/>
        <v>-107.25262102915789</v>
      </c>
      <c r="O36" s="65">
        <f t="shared" si="1"/>
        <v>-102.65603009521698</v>
      </c>
    </row>
    <row r="37" spans="2:15" x14ac:dyDescent="0.35">
      <c r="O37" s="33"/>
    </row>
    <row r="38" spans="2:15" x14ac:dyDescent="0.35">
      <c r="B38" s="54" t="s">
        <v>179</v>
      </c>
      <c r="C38" s="55">
        <f>IFERROR('Historical FS'!C69/'Historical FS'!C6,0)</f>
        <v>0.13501823118481462</v>
      </c>
      <c r="D38" s="55">
        <f>IFERROR('Historical FS'!D69/'Historical FS'!D6,0)</f>
        <v>0.13880296917437968</v>
      </c>
      <c r="E38" s="55">
        <f>IFERROR('Historical FS'!E69/'Historical FS'!E6,0)</f>
        <v>0.11197659883101685</v>
      </c>
      <c r="F38" s="55">
        <f>IFERROR('Historical FS'!F69/'Historical FS'!F6,0)</f>
        <v>8.1829465689783804E-2</v>
      </c>
      <c r="G38" s="55">
        <f>IFERROR('Historical FS'!G69/'Historical FS'!G6,0)</f>
        <v>6.2564913902968283E-2</v>
      </c>
      <c r="H38" s="55">
        <f>IFERROR('Historical FS'!H69/'Historical FS'!H6,0)</f>
        <v>0.10201534872316967</v>
      </c>
      <c r="I38" s="55">
        <f>IFERROR('Historical FS'!I69/'Historical FS'!I6,0)</f>
        <v>0.11609735592921788</v>
      </c>
      <c r="J38" s="55">
        <f>IFERROR('Historical FS'!J69/'Historical FS'!J6,0)</f>
        <v>5.1293389541856201E-2</v>
      </c>
      <c r="K38" s="55">
        <f>IFERROR('Historical FS'!K69/'Historical FS'!K6,0)</f>
        <v>0.1022872501383586</v>
      </c>
      <c r="L38" s="55">
        <f>IFERROR('Historical FS'!L69/'Historical FS'!L6,0)</f>
        <v>0.15508347415373999</v>
      </c>
      <c r="M38" s="54"/>
      <c r="N38" s="55">
        <f t="shared" si="2"/>
        <v>0.10569689972693055</v>
      </c>
      <c r="O38" s="55">
        <f t="shared" si="1"/>
        <v>0.10713192448468772</v>
      </c>
    </row>
    <row r="39" spans="2:15" x14ac:dyDescent="0.35">
      <c r="B39" s="56" t="s">
        <v>180</v>
      </c>
      <c r="C39" s="57">
        <f>IFERROR('Historical FS'!C69/'Historical FS'!C64,0)</f>
        <v>0.14972206325615023</v>
      </c>
      <c r="D39" s="57">
        <f>IFERROR('Historical FS'!D69/'Historical FS'!D64,0)</f>
        <v>0.14400390114722728</v>
      </c>
      <c r="E39" s="57">
        <f>IFERROR('Historical FS'!E69/'Historical FS'!E64,0)</f>
        <v>0.11079026383265471</v>
      </c>
      <c r="F39" s="57">
        <f>IFERROR('Historical FS'!F69/'Historical FS'!F64,0)</f>
        <v>7.2915700426609081E-2</v>
      </c>
      <c r="G39" s="57">
        <f>IFERROR('Historical FS'!G69/'Historical FS'!G64,0)</f>
        <v>6.1794355046453676E-2</v>
      </c>
      <c r="H39" s="57">
        <f>IFERROR('Historical FS'!H69/'Historical FS'!H64,0)</f>
        <v>8.3181306579414735E-2</v>
      </c>
      <c r="I39" s="57">
        <f>IFERROR('Historical FS'!I69/'Historical FS'!I64,0)</f>
        <v>8.4903585330452558E-2</v>
      </c>
      <c r="J39" s="57">
        <f>IFERROR('Historical FS'!J69/'Historical FS'!J64,0)</f>
        <v>4.3404744809245228E-2</v>
      </c>
      <c r="K39" s="57">
        <f>IFERROR('Historical FS'!K69/'Historical FS'!K64,0)</f>
        <v>0.10573861289612117</v>
      </c>
      <c r="L39" s="57">
        <f>IFERROR('Historical FS'!L69/'Historical FS'!L64,0)</f>
        <v>0.18379315838431853</v>
      </c>
      <c r="M39" s="56"/>
      <c r="N39" s="57">
        <f t="shared" si="2"/>
        <v>0.10402476917086471</v>
      </c>
      <c r="O39" s="57">
        <f t="shared" si="1"/>
        <v>9.5321099113286872E-2</v>
      </c>
    </row>
    <row r="40" spans="2:15" x14ac:dyDescent="0.35">
      <c r="B40" s="58" t="s">
        <v>182</v>
      </c>
      <c r="C40" s="59">
        <f>IFERROR('Historical FS'!C69/'Historical FS'!C49,0)</f>
        <v>0.48269354366958256</v>
      </c>
      <c r="D40" s="59">
        <f>IFERROR('Historical FS'!D69/'Historical FS'!D49,0)</f>
        <v>0.54641813518923599</v>
      </c>
      <c r="E40" s="59">
        <f>IFERROR('Historical FS'!E69/'Historical FS'!E49,0)</f>
        <v>0.38419492244540293</v>
      </c>
      <c r="F40" s="59">
        <f>IFERROR('Historical FS'!F69/'Historical FS'!F49,0)</f>
        <v>0.26821016235214945</v>
      </c>
      <c r="G40" s="59">
        <f>IFERROR('Historical FS'!G69/'Historical FS'!G49,0)</f>
        <v>0.17792031558363741</v>
      </c>
      <c r="H40" s="59">
        <f>IFERROR('Historical FS'!H69/'Historical FS'!H49,0)</f>
        <v>0.21342610534184314</v>
      </c>
      <c r="I40" s="59">
        <f>IFERROR('Historical FS'!I69/'Historical FS'!I49,0)</f>
        <v>0.20404132622559662</v>
      </c>
      <c r="J40" s="59">
        <f>IFERROR('Historical FS'!J69/'Historical FS'!J49,0)</f>
        <v>9.7527651770721868E-2</v>
      </c>
      <c r="K40" s="59">
        <f>IFERROR('Historical FS'!K69/'Historical FS'!K49,0)</f>
        <v>0.26386624636576322</v>
      </c>
      <c r="L40" s="59">
        <f>IFERROR('Historical FS'!L69/'Historical FS'!L49,0)</f>
        <v>0.63316965388649338</v>
      </c>
      <c r="M40" s="58"/>
      <c r="N40" s="59">
        <f t="shared" si="2"/>
        <v>0.3271468062830426</v>
      </c>
      <c r="O40" s="59">
        <f t="shared" si="1"/>
        <v>0.26603820435895631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9219F48-E498-41AC-BA6A-2D313794FD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xr2:uid="{85622D7D-1A5B-4DCD-A6CA-46A4019D7E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518-FA72-493B-8E91-CBFEF5839E9D}">
  <dimension ref="B2:O20"/>
  <sheetViews>
    <sheetView showGridLines="0" tabSelected="1" workbookViewId="0">
      <selection activeCell="E20" sqref="E20"/>
    </sheetView>
  </sheetViews>
  <sheetFormatPr defaultRowHeight="14.5" x14ac:dyDescent="0.35"/>
  <cols>
    <col min="1" max="1" width="1.81640625" customWidth="1"/>
    <col min="2" max="2" width="12.453125" customWidth="1"/>
    <col min="3" max="3" width="9.54296875" bestFit="1" customWidth="1"/>
    <col min="4" max="4" width="9.26953125" bestFit="1" customWidth="1"/>
    <col min="5" max="5" width="13.90625" customWidth="1"/>
    <col min="6" max="6" width="2.6328125" customWidth="1"/>
    <col min="9" max="9" width="12" customWidth="1"/>
    <col min="10" max="10" width="12.54296875" customWidth="1"/>
    <col min="11" max="11" width="2.6328125" customWidth="1"/>
    <col min="14" max="14" width="11.26953125" customWidth="1"/>
    <col min="15" max="15" width="12.453125" customWidth="1"/>
  </cols>
  <sheetData>
    <row r="2" spans="2:15" x14ac:dyDescent="0.35">
      <c r="B2" s="69" t="str">
        <f>'Data Sheet'!$B$1&amp;" - "&amp;'Data Sheet'!A17&amp;" Forecasting"</f>
        <v>TATA MOTORS LTD - Sales Forecasting</v>
      </c>
      <c r="C2" s="69"/>
      <c r="D2" s="69"/>
      <c r="E2" s="69"/>
      <c r="G2" s="69" t="str">
        <f>'Data Sheet'!$B$1&amp;" - "&amp;'Historical FS'!B18&amp;" Forecasting"</f>
        <v>TATA MOTORS LTD - EBITDA Forecasting</v>
      </c>
      <c r="H2" s="69"/>
      <c r="I2" s="69"/>
      <c r="J2" s="69"/>
      <c r="L2" s="69" t="str">
        <f>'Data Sheet'!$B$1&amp;" - "&amp;'Historical FS'!B38&amp;" Forecasting"</f>
        <v>TATA MOTORS LTD - EPS Forecasting</v>
      </c>
      <c r="M2" s="69"/>
      <c r="N2" s="69"/>
      <c r="O2" s="69"/>
    </row>
    <row r="3" spans="2:15" x14ac:dyDescent="0.35">
      <c r="B3" s="67" t="s">
        <v>187</v>
      </c>
      <c r="C3" s="68" t="s">
        <v>188</v>
      </c>
      <c r="D3" s="67" t="s">
        <v>189</v>
      </c>
      <c r="E3" s="67" t="s">
        <v>22</v>
      </c>
      <c r="G3" s="67" t="s">
        <v>187</v>
      </c>
      <c r="H3" s="68" t="s">
        <v>188</v>
      </c>
      <c r="I3" s="67" t="s">
        <v>189</v>
      </c>
      <c r="J3" s="67" t="s">
        <v>22</v>
      </c>
      <c r="L3" s="67" t="s">
        <v>187</v>
      </c>
      <c r="M3" s="68" t="s">
        <v>188</v>
      </c>
      <c r="N3" s="67" t="s">
        <v>189</v>
      </c>
      <c r="O3" s="67" t="s">
        <v>22</v>
      </c>
    </row>
    <row r="4" spans="2:15" x14ac:dyDescent="0.35">
      <c r="B4" s="20">
        <v>1</v>
      </c>
      <c r="C4" s="71">
        <f>'Data Sheet'!$B$16</f>
        <v>42094</v>
      </c>
      <c r="D4" s="35">
        <f t="array" ref="D4:D13">TRANSPOSE('Data Sheet'!B17:K17)</f>
        <v>263158.98</v>
      </c>
      <c r="G4" s="20">
        <v>1</v>
      </c>
      <c r="H4" s="71">
        <f>'Data Sheet'!$B$16</f>
        <v>42094</v>
      </c>
      <c r="I4" s="35">
        <f t="array" ref="I4:I13">TRANSPOSE('Historical FS'!C18:L18)</f>
        <v>39238.64999999998</v>
      </c>
      <c r="L4" s="20">
        <v>1</v>
      </c>
      <c r="M4" s="71">
        <f>'Data Sheet'!$B$16</f>
        <v>42094</v>
      </c>
      <c r="N4" s="35">
        <f t="array" ref="N4:N13">TRANSPOSE('Historical FS'!C38:L38)</f>
        <v>46.220198102098706</v>
      </c>
    </row>
    <row r="5" spans="2:15" x14ac:dyDescent="0.35">
      <c r="B5" s="20">
        <f>B4+1</f>
        <v>2</v>
      </c>
      <c r="C5" s="71">
        <f>C4+365</f>
        <v>42459</v>
      </c>
      <c r="D5" s="35">
        <v>273045.59999999998</v>
      </c>
      <c r="E5" s="33">
        <f>D5/D4-1</f>
        <v>3.75690010654397E-2</v>
      </c>
      <c r="G5" s="20">
        <f>G4+1</f>
        <v>2</v>
      </c>
      <c r="H5" s="71">
        <f>H4+365</f>
        <v>42459</v>
      </c>
      <c r="I5" s="35">
        <v>38395.249999999971</v>
      </c>
      <c r="J5" s="33">
        <f>I5/I4-1</f>
        <v>-2.1494113584437979E-2</v>
      </c>
      <c r="L5" s="20">
        <f>L4+1</f>
        <v>2</v>
      </c>
      <c r="M5" s="71">
        <f>M4+365</f>
        <v>42459</v>
      </c>
      <c r="N5" s="35">
        <v>47.694444444444336</v>
      </c>
      <c r="O5" s="33">
        <f>N5/N4-1</f>
        <v>3.189614936502605E-2</v>
      </c>
    </row>
    <row r="6" spans="2:15" x14ac:dyDescent="0.35">
      <c r="B6" s="20">
        <f t="shared" ref="B6:B18" si="0">B5+1</f>
        <v>3</v>
      </c>
      <c r="C6" s="71">
        <f t="shared" ref="C6:C18" si="1">C5+365</f>
        <v>42824</v>
      </c>
      <c r="D6" s="35">
        <v>269692.51</v>
      </c>
      <c r="E6" s="33">
        <f>D6/D5-1</f>
        <v>-1.2280329732469508E-2</v>
      </c>
      <c r="G6" s="20">
        <f t="shared" ref="G6:G18" si="2">G5+1</f>
        <v>3</v>
      </c>
      <c r="H6" s="71">
        <f t="shared" ref="H6:H18" si="3">H5+365</f>
        <v>42824</v>
      </c>
      <c r="I6" s="35">
        <v>29588.690000000046</v>
      </c>
      <c r="J6" s="33">
        <f>I6/I5-1</f>
        <v>-0.22936587208052905</v>
      </c>
      <c r="L6" s="20">
        <f t="shared" ref="L6:L18" si="4">L5+1</f>
        <v>3</v>
      </c>
      <c r="M6" s="71">
        <f t="shared" ref="M6:M18" si="5">M5+365</f>
        <v>42824</v>
      </c>
      <c r="N6" s="35">
        <v>14.527274616423808</v>
      </c>
      <c r="O6" s="33">
        <f>N6/N5-1</f>
        <v>-0.69540950134463697</v>
      </c>
    </row>
    <row r="7" spans="2:15" x14ac:dyDescent="0.35">
      <c r="B7" s="20">
        <f t="shared" si="0"/>
        <v>4</v>
      </c>
      <c r="C7" s="71">
        <f t="shared" si="1"/>
        <v>43189</v>
      </c>
      <c r="D7" s="35">
        <v>291550.48</v>
      </c>
      <c r="E7" s="33">
        <f>D7/D6-1</f>
        <v>8.104774581985974E-2</v>
      </c>
      <c r="G7" s="20">
        <f t="shared" si="2"/>
        <v>4</v>
      </c>
      <c r="H7" s="71">
        <f t="shared" si="3"/>
        <v>43189</v>
      </c>
      <c r="I7" s="35">
        <v>31457.679999999993</v>
      </c>
      <c r="J7" s="33">
        <f>I7/I6-1</f>
        <v>6.3165689322506102E-2</v>
      </c>
      <c r="L7" s="20">
        <f t="shared" si="4"/>
        <v>4</v>
      </c>
      <c r="M7" s="71">
        <f t="shared" si="5"/>
        <v>43189</v>
      </c>
      <c r="N7" s="35">
        <v>3.049111626779315</v>
      </c>
      <c r="O7" s="33">
        <f>N7/N6-1</f>
        <v>-0.79011124197155724</v>
      </c>
    </row>
    <row r="8" spans="2:15" x14ac:dyDescent="0.35">
      <c r="B8" s="20">
        <f t="shared" si="0"/>
        <v>5</v>
      </c>
      <c r="C8" s="71">
        <f t="shared" si="1"/>
        <v>43554</v>
      </c>
      <c r="D8" s="35">
        <v>301938.40000000002</v>
      </c>
      <c r="E8" s="33">
        <f>D8/D7-1</f>
        <v>3.5629919045237157E-2</v>
      </c>
      <c r="G8" s="20">
        <f t="shared" si="2"/>
        <v>5</v>
      </c>
      <c r="H8" s="71">
        <f t="shared" si="3"/>
        <v>43554</v>
      </c>
      <c r="I8" s="35">
        <v>24664.330000000024</v>
      </c>
      <c r="J8" s="33">
        <f>I8/I7-1</f>
        <v>-0.21595203460649259</v>
      </c>
      <c r="L8" s="20">
        <f t="shared" si="4"/>
        <v>5</v>
      </c>
      <c r="M8" s="71">
        <f t="shared" si="5"/>
        <v>43554</v>
      </c>
      <c r="N8" s="35">
        <v>-7.7839157690575265</v>
      </c>
      <c r="O8" s="33">
        <f>N8/N7-1</f>
        <v>-3.5528470983790919</v>
      </c>
    </row>
    <row r="9" spans="2:15" x14ac:dyDescent="0.35">
      <c r="B9" s="20">
        <f t="shared" si="0"/>
        <v>6</v>
      </c>
      <c r="C9" s="71">
        <f t="shared" si="1"/>
        <v>43919</v>
      </c>
      <c r="D9" s="35">
        <v>261067.97</v>
      </c>
      <c r="E9" s="33">
        <f>D9/D8-1</f>
        <v>-0.135360159555724</v>
      </c>
      <c r="G9" s="20">
        <f t="shared" si="2"/>
        <v>6</v>
      </c>
      <c r="H9" s="71">
        <f t="shared" si="3"/>
        <v>43919</v>
      </c>
      <c r="I9" s="35">
        <v>17987.069999999963</v>
      </c>
      <c r="J9" s="33">
        <f>I9/I8-1</f>
        <v>-0.27072537547138131</v>
      </c>
      <c r="L9" s="20">
        <f t="shared" si="4"/>
        <v>6</v>
      </c>
      <c r="M9" s="71">
        <f t="shared" si="5"/>
        <v>43919</v>
      </c>
      <c r="N9" s="35">
        <v>-35.859307219164904</v>
      </c>
      <c r="O9" s="33">
        <f>N9/N8-1</f>
        <v>3.6068467700681115</v>
      </c>
    </row>
    <row r="10" spans="2:15" x14ac:dyDescent="0.35">
      <c r="B10" s="20">
        <f t="shared" si="0"/>
        <v>7</v>
      </c>
      <c r="C10" s="71">
        <f t="shared" si="1"/>
        <v>44284</v>
      </c>
      <c r="D10" s="35">
        <v>249794.75</v>
      </c>
      <c r="E10" s="33">
        <f>D10/D9-1</f>
        <v>-4.3181168490336042E-2</v>
      </c>
      <c r="G10" s="20">
        <f t="shared" si="2"/>
        <v>7</v>
      </c>
      <c r="H10" s="71">
        <f t="shared" si="3"/>
        <v>44284</v>
      </c>
      <c r="I10" s="35">
        <v>32287.429999999989</v>
      </c>
      <c r="J10" s="33">
        <f>I10/I9-1</f>
        <v>0.79503554497758966</v>
      </c>
      <c r="L10" s="20">
        <f t="shared" si="4"/>
        <v>7</v>
      </c>
      <c r="M10" s="71">
        <f t="shared" si="5"/>
        <v>44284</v>
      </c>
      <c r="N10" s="35">
        <v>-5.7172845827184542</v>
      </c>
      <c r="O10" s="33">
        <f>N10/N9-1</f>
        <v>-0.84056344011958861</v>
      </c>
    </row>
    <row r="11" spans="2:15" x14ac:dyDescent="0.35">
      <c r="B11" s="20">
        <f t="shared" si="0"/>
        <v>8</v>
      </c>
      <c r="C11" s="71">
        <f t="shared" si="1"/>
        <v>44649</v>
      </c>
      <c r="D11" s="35">
        <v>278453.62</v>
      </c>
      <c r="E11" s="33">
        <f>D11/D10-1</f>
        <v>0.11472967306158344</v>
      </c>
      <c r="G11" s="20">
        <f t="shared" si="2"/>
        <v>8</v>
      </c>
      <c r="H11" s="71">
        <f t="shared" si="3"/>
        <v>44649</v>
      </c>
      <c r="I11" s="35">
        <v>24720.090000000015</v>
      </c>
      <c r="J11" s="33">
        <f>I11/I10-1</f>
        <v>-0.234374182150762</v>
      </c>
      <c r="L11" s="20">
        <f t="shared" si="4"/>
        <v>8</v>
      </c>
      <c r="M11" s="71">
        <f t="shared" si="5"/>
        <v>44649</v>
      </c>
      <c r="N11" s="35">
        <v>-41.132140813683833</v>
      </c>
      <c r="O11" s="33">
        <f>N11/N10-1</f>
        <v>6.194349033807641</v>
      </c>
    </row>
    <row r="12" spans="2:15" x14ac:dyDescent="0.35">
      <c r="B12" s="20">
        <f t="shared" si="0"/>
        <v>9</v>
      </c>
      <c r="C12" s="71">
        <f t="shared" si="1"/>
        <v>45014</v>
      </c>
      <c r="D12" s="35">
        <v>345966.97</v>
      </c>
      <c r="E12" s="33">
        <f>D12/D11-1</f>
        <v>0.24245815155859707</v>
      </c>
      <c r="G12" s="20">
        <f t="shared" si="2"/>
        <v>9</v>
      </c>
      <c r="H12" s="71">
        <f t="shared" si="3"/>
        <v>45014</v>
      </c>
      <c r="I12" s="35">
        <v>31815.799999999959</v>
      </c>
      <c r="J12" s="33">
        <f>I12/I11-1</f>
        <v>0.28704223973294352</v>
      </c>
      <c r="L12" s="20">
        <f t="shared" si="4"/>
        <v>9</v>
      </c>
      <c r="M12" s="71">
        <f t="shared" si="5"/>
        <v>45014</v>
      </c>
      <c r="N12" s="35">
        <v>-11.965495438533218</v>
      </c>
      <c r="O12" s="33">
        <f>N12/N11-1</f>
        <v>-0.70909621522659627</v>
      </c>
    </row>
    <row r="13" spans="2:15" x14ac:dyDescent="0.35">
      <c r="B13" s="20">
        <f t="shared" si="0"/>
        <v>10</v>
      </c>
      <c r="C13" s="71">
        <f t="shared" si="1"/>
        <v>45379</v>
      </c>
      <c r="D13" s="35">
        <v>437927.77</v>
      </c>
      <c r="E13" s="33">
        <f>D13/D12-1</f>
        <v>0.26580803363974326</v>
      </c>
      <c r="G13" s="20">
        <f t="shared" si="2"/>
        <v>10</v>
      </c>
      <c r="H13" s="71">
        <f t="shared" si="3"/>
        <v>45379</v>
      </c>
      <c r="I13" s="35">
        <v>59538.34000000004</v>
      </c>
      <c r="J13" s="33">
        <f>I13/I12-1</f>
        <v>0.87134505497269021</v>
      </c>
      <c r="L13" s="20">
        <f t="shared" si="4"/>
        <v>10</v>
      </c>
      <c r="M13" s="71">
        <f t="shared" si="5"/>
        <v>45379</v>
      </c>
      <c r="N13" s="35">
        <v>78.629509281824596</v>
      </c>
      <c r="O13" s="33">
        <f>N13/N12-1</f>
        <v>-7.5713542482001346</v>
      </c>
    </row>
    <row r="14" spans="2:15" x14ac:dyDescent="0.35">
      <c r="B14" s="72">
        <f t="shared" si="0"/>
        <v>11</v>
      </c>
      <c r="C14" s="76">
        <f t="shared" si="1"/>
        <v>45744</v>
      </c>
      <c r="D14" s="74">
        <f>FORECAST(B14,$D$4:$D$13,$B$4:$B$13)</f>
        <v>362627.59266666661</v>
      </c>
      <c r="E14" s="75">
        <f>D14/D13-1</f>
        <v>-0.17194656857073354</v>
      </c>
      <c r="G14" s="72">
        <f t="shared" si="2"/>
        <v>11</v>
      </c>
      <c r="H14" s="73">
        <f t="shared" si="3"/>
        <v>45744</v>
      </c>
      <c r="I14" s="74">
        <f>FORECAST(G14,$I$4:$I$13,$G$4:$G$13)</f>
        <v>36573.001333333334</v>
      </c>
      <c r="J14" s="75">
        <f t="shared" ref="J14:J18" si="6">I14/I13-1</f>
        <v>-0.38572352985767977</v>
      </c>
      <c r="L14" s="72">
        <f t="shared" si="4"/>
        <v>11</v>
      </c>
      <c r="M14" s="73">
        <f t="shared" si="5"/>
        <v>45744</v>
      </c>
      <c r="N14" s="74">
        <f>FORECAST(L14,$N$4:$N$13,$L$4:$L$13)</f>
        <v>-6.520675101573687</v>
      </c>
      <c r="O14" s="75">
        <f t="shared" ref="O14:O18" si="7">N14/N13-1</f>
        <v>-1.082929108436913</v>
      </c>
    </row>
    <row r="15" spans="2:15" x14ac:dyDescent="0.35">
      <c r="B15" s="72">
        <f t="shared" si="0"/>
        <v>12</v>
      </c>
      <c r="C15" s="76">
        <f t="shared" si="1"/>
        <v>46109</v>
      </c>
      <c r="D15" s="74">
        <f>FORECAST(B15,$D$4:$D$13,$B$4:$B$13)</f>
        <v>374512.66315151507</v>
      </c>
      <c r="E15" s="75">
        <f t="shared" ref="E15:E18" si="8">D15/D14-1</f>
        <v>3.2774865247977569E-2</v>
      </c>
      <c r="G15" s="72">
        <f t="shared" si="2"/>
        <v>12</v>
      </c>
      <c r="H15" s="73">
        <f t="shared" si="3"/>
        <v>46109</v>
      </c>
      <c r="I15" s="74">
        <f t="shared" ref="I15:I18" si="9">FORECAST(G15,$I$4:$I$13,$G$4:$G$13)</f>
        <v>37228.213757575766</v>
      </c>
      <c r="J15" s="75">
        <f t="shared" si="6"/>
        <v>1.7915194278716795E-2</v>
      </c>
      <c r="L15" s="72">
        <f t="shared" si="4"/>
        <v>12</v>
      </c>
      <c r="M15" s="73">
        <f t="shared" si="5"/>
        <v>46109</v>
      </c>
      <c r="N15" s="74">
        <f t="shared" ref="N15:N18" si="10">FORECAST(L15,$N$4:$N$13,$L$4:$L$13)</f>
        <v>-9.3001141063764052</v>
      </c>
      <c r="O15" s="75">
        <f t="shared" si="7"/>
        <v>0.42625019058715763</v>
      </c>
    </row>
    <row r="16" spans="2:15" x14ac:dyDescent="0.35">
      <c r="B16" s="72">
        <f t="shared" si="0"/>
        <v>13</v>
      </c>
      <c r="C16" s="76">
        <f t="shared" si="1"/>
        <v>46474</v>
      </c>
      <c r="D16" s="74">
        <f>FORECAST(B16,$D$4:$D$13,$B$4:$B$13)</f>
        <v>386397.73363636358</v>
      </c>
      <c r="E16" s="75">
        <f t="shared" si="8"/>
        <v>3.1734762677544603E-2</v>
      </c>
      <c r="G16" s="72">
        <f t="shared" si="2"/>
        <v>13</v>
      </c>
      <c r="H16" s="73">
        <f t="shared" si="3"/>
        <v>46474</v>
      </c>
      <c r="I16" s="74">
        <f t="shared" si="9"/>
        <v>37883.426181818184</v>
      </c>
      <c r="J16" s="75">
        <f t="shared" si="6"/>
        <v>1.7599888850672762E-2</v>
      </c>
      <c r="L16" s="72">
        <f t="shared" si="4"/>
        <v>13</v>
      </c>
      <c r="M16" s="73">
        <f t="shared" si="5"/>
        <v>46474</v>
      </c>
      <c r="N16" s="74">
        <f t="shared" si="10"/>
        <v>-12.079553111179131</v>
      </c>
      <c r="O16" s="75">
        <f t="shared" si="7"/>
        <v>0.29886074224584713</v>
      </c>
    </row>
    <row r="17" spans="2:15" x14ac:dyDescent="0.35">
      <c r="B17" s="72">
        <f t="shared" si="0"/>
        <v>14</v>
      </c>
      <c r="C17" s="76">
        <f t="shared" si="1"/>
        <v>46839</v>
      </c>
      <c r="D17" s="74">
        <f>FORECAST(B17,$D$4:$D$13,$B$4:$B$13)</f>
        <v>398282.8041212121</v>
      </c>
      <c r="E17" s="75">
        <f t="shared" si="8"/>
        <v>3.0758644397312906E-2</v>
      </c>
      <c r="G17" s="72">
        <f t="shared" si="2"/>
        <v>14</v>
      </c>
      <c r="H17" s="73">
        <f t="shared" si="3"/>
        <v>46839</v>
      </c>
      <c r="I17" s="74">
        <f t="shared" si="9"/>
        <v>38538.638606060616</v>
      </c>
      <c r="J17" s="75">
        <f t="shared" si="6"/>
        <v>1.7295490146477244E-2</v>
      </c>
      <c r="L17" s="72">
        <f t="shared" si="4"/>
        <v>14</v>
      </c>
      <c r="M17" s="73">
        <f t="shared" si="5"/>
        <v>46839</v>
      </c>
      <c r="N17" s="74">
        <f t="shared" si="10"/>
        <v>-14.858992115981849</v>
      </c>
      <c r="O17" s="75">
        <f t="shared" si="7"/>
        <v>0.23009452247289364</v>
      </c>
    </row>
    <row r="18" spans="2:15" x14ac:dyDescent="0.35">
      <c r="B18" s="72">
        <f t="shared" si="0"/>
        <v>15</v>
      </c>
      <c r="C18" s="76">
        <f t="shared" si="1"/>
        <v>47204</v>
      </c>
      <c r="D18" s="74">
        <f>FORECAST(B18,$D$4:$D$13,$B$4:$B$13)</f>
        <v>410167.87460606056</v>
      </c>
      <c r="E18" s="75">
        <f t="shared" si="8"/>
        <v>2.9840782383442788E-2</v>
      </c>
      <c r="G18" s="72">
        <f t="shared" si="2"/>
        <v>15</v>
      </c>
      <c r="H18" s="73">
        <f t="shared" si="3"/>
        <v>47204</v>
      </c>
      <c r="I18" s="74">
        <f t="shared" si="9"/>
        <v>39193.851030303042</v>
      </c>
      <c r="J18" s="75">
        <f t="shared" si="6"/>
        <v>1.7001441876034251E-2</v>
      </c>
      <c r="L18" s="72">
        <f t="shared" si="4"/>
        <v>15</v>
      </c>
      <c r="M18" s="73">
        <f t="shared" si="5"/>
        <v>47204</v>
      </c>
      <c r="N18" s="74">
        <f t="shared" si="10"/>
        <v>-17.638431120784574</v>
      </c>
      <c r="O18" s="75">
        <f t="shared" si="7"/>
        <v>0.18705434279174638</v>
      </c>
    </row>
    <row r="19" spans="2:15" x14ac:dyDescent="0.35">
      <c r="B19" s="20"/>
      <c r="C19" s="70"/>
    </row>
    <row r="20" spans="2:15" x14ac:dyDescent="0.35">
      <c r="B20" s="20"/>
      <c r="C20" s="70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3F26-A62F-4A5B-B5D7-A1D6A21A21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29" activePane="bottomRight" state="frozen"/>
      <selection activeCell="C4" sqref="C4"/>
      <selection pane="topRight" activeCell="C4" sqref="C4"/>
      <selection pane="bottomLeft" activeCell="C4" sqref="C4"/>
      <selection pane="bottomRight" activeCell="D1" sqref="D1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31" t="str">
        <f>IF(B2&lt;&gt;B3, "A NEW VERSION OF THE WORKSHEET IS AVAILABLE", "")</f>
        <v/>
      </c>
      <c r="F1" s="31"/>
      <c r="G1" s="31"/>
      <c r="H1" s="31"/>
      <c r="I1" s="31"/>
      <c r="J1" s="31"/>
      <c r="K1" s="31"/>
    </row>
    <row r="2" spans="1:11" x14ac:dyDescent="0.35">
      <c r="A2" s="1" t="s">
        <v>61</v>
      </c>
      <c r="B2" s="4">
        <v>2.1</v>
      </c>
      <c r="E2" s="32" t="s">
        <v>36</v>
      </c>
      <c r="F2" s="32"/>
      <c r="G2" s="32"/>
      <c r="H2" s="32"/>
      <c r="I2" s="32"/>
      <c r="J2" s="32"/>
      <c r="K2" s="32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368.06087195331276</v>
      </c>
    </row>
    <row r="7" spans="1:11" x14ac:dyDescent="0.35">
      <c r="A7" s="4" t="s">
        <v>31</v>
      </c>
      <c r="B7">
        <v>2</v>
      </c>
    </row>
    <row r="8" spans="1:11" x14ac:dyDescent="0.35">
      <c r="A8" s="4" t="s">
        <v>43</v>
      </c>
      <c r="B8">
        <v>728.25</v>
      </c>
    </row>
    <row r="9" spans="1:11" x14ac:dyDescent="0.35">
      <c r="A9" s="4" t="s">
        <v>79</v>
      </c>
      <c r="B9">
        <v>268040.33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5">
      <c r="A31" s="6" t="s">
        <v>70</v>
      </c>
      <c r="C31">
        <v>67.92</v>
      </c>
      <c r="J31">
        <v>766.02</v>
      </c>
      <c r="K31">
        <v>2299.5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44742</v>
      </c>
      <c r="C41" s="12">
        <v>44834</v>
      </c>
      <c r="D41" s="12">
        <v>44926</v>
      </c>
      <c r="E41" s="12">
        <v>45016</v>
      </c>
      <c r="F41" s="12">
        <v>45107</v>
      </c>
      <c r="G41" s="12">
        <v>45199</v>
      </c>
      <c r="H41" s="12">
        <v>45291</v>
      </c>
      <c r="I41" s="12">
        <v>45382</v>
      </c>
      <c r="J41" s="12">
        <v>45473</v>
      </c>
      <c r="K41" s="12">
        <v>45565</v>
      </c>
    </row>
    <row r="42" spans="1:11" s="6" customFormat="1" x14ac:dyDescent="0.35">
      <c r="A42" s="6" t="s">
        <v>6</v>
      </c>
      <c r="B42">
        <v>71934.66</v>
      </c>
      <c r="C42">
        <v>79611.37</v>
      </c>
      <c r="D42">
        <v>88488.59</v>
      </c>
      <c r="E42">
        <v>105932.35</v>
      </c>
      <c r="F42">
        <v>102236</v>
      </c>
      <c r="G42">
        <v>105129</v>
      </c>
      <c r="H42">
        <v>110577.14</v>
      </c>
      <c r="I42">
        <v>119986</v>
      </c>
      <c r="J42">
        <v>108048</v>
      </c>
      <c r="K42">
        <v>101450</v>
      </c>
    </row>
    <row r="43" spans="1:11" s="6" customFormat="1" x14ac:dyDescent="0.35">
      <c r="A43" s="6" t="s">
        <v>7</v>
      </c>
      <c r="B43">
        <v>69521.929999999993</v>
      </c>
      <c r="C43">
        <v>74039.06</v>
      </c>
      <c r="D43">
        <v>77668.350000000006</v>
      </c>
      <c r="E43">
        <v>92817.95</v>
      </c>
      <c r="F43">
        <v>89019</v>
      </c>
      <c r="G43">
        <v>91362</v>
      </c>
      <c r="H43">
        <v>95158.77</v>
      </c>
      <c r="I43">
        <v>102851</v>
      </c>
      <c r="J43">
        <v>92263</v>
      </c>
      <c r="K43">
        <v>89291</v>
      </c>
    </row>
    <row r="44" spans="1:11" s="6" customFormat="1" x14ac:dyDescent="0.35">
      <c r="A44" s="6" t="s">
        <v>9</v>
      </c>
      <c r="B44">
        <v>2380.98</v>
      </c>
      <c r="C44">
        <v>1351.14</v>
      </c>
      <c r="D44">
        <v>1129.98</v>
      </c>
      <c r="E44">
        <v>1452.86</v>
      </c>
      <c r="F44">
        <v>895</v>
      </c>
      <c r="G44">
        <v>1557</v>
      </c>
      <c r="H44">
        <v>1603.76</v>
      </c>
      <c r="I44">
        <v>1619</v>
      </c>
      <c r="J44">
        <v>1747</v>
      </c>
      <c r="K44">
        <v>1647</v>
      </c>
    </row>
    <row r="45" spans="1:11" s="6" customFormat="1" x14ac:dyDescent="0.35">
      <c r="A45" s="6" t="s">
        <v>10</v>
      </c>
      <c r="B45">
        <v>5841.04</v>
      </c>
      <c r="C45">
        <v>5897.34</v>
      </c>
      <c r="D45">
        <v>6071.78</v>
      </c>
      <c r="E45">
        <v>7050.2</v>
      </c>
      <c r="F45">
        <v>6633</v>
      </c>
      <c r="G45">
        <v>6637</v>
      </c>
      <c r="H45">
        <v>6850</v>
      </c>
      <c r="I45">
        <v>7151</v>
      </c>
      <c r="J45">
        <v>6574</v>
      </c>
      <c r="K45">
        <v>6005</v>
      </c>
    </row>
    <row r="46" spans="1:11" s="6" customFormat="1" x14ac:dyDescent="0.35">
      <c r="A46" s="6" t="s">
        <v>11</v>
      </c>
      <c r="B46">
        <v>2420.7199999999998</v>
      </c>
      <c r="C46">
        <v>2487.2600000000002</v>
      </c>
      <c r="D46">
        <v>2675.83</v>
      </c>
      <c r="E46">
        <v>2641.67</v>
      </c>
      <c r="F46">
        <v>2615</v>
      </c>
      <c r="G46">
        <v>2652</v>
      </c>
      <c r="H46">
        <v>2484.91</v>
      </c>
      <c r="I46">
        <v>2234</v>
      </c>
      <c r="J46">
        <v>2088</v>
      </c>
      <c r="K46">
        <v>2034</v>
      </c>
    </row>
    <row r="47" spans="1:11" s="6" customFormat="1" x14ac:dyDescent="0.35">
      <c r="A47" s="6" t="s">
        <v>12</v>
      </c>
      <c r="B47">
        <v>-3468.05</v>
      </c>
      <c r="C47">
        <v>-1461.15</v>
      </c>
      <c r="D47">
        <v>3202.61</v>
      </c>
      <c r="E47">
        <v>4875.3900000000003</v>
      </c>
      <c r="F47">
        <v>4864</v>
      </c>
      <c r="G47">
        <v>6035</v>
      </c>
      <c r="H47">
        <v>7687.22</v>
      </c>
      <c r="I47">
        <v>9369</v>
      </c>
      <c r="J47">
        <v>8870</v>
      </c>
      <c r="K47">
        <v>5767</v>
      </c>
    </row>
    <row r="48" spans="1:11" s="6" customFormat="1" x14ac:dyDescent="0.35">
      <c r="A48" s="6" t="s">
        <v>13</v>
      </c>
      <c r="B48">
        <v>1518.96</v>
      </c>
      <c r="C48">
        <v>-457.08</v>
      </c>
      <c r="D48">
        <v>262.83</v>
      </c>
      <c r="E48">
        <v>-620.65</v>
      </c>
      <c r="F48">
        <v>1563</v>
      </c>
      <c r="G48">
        <v>2203</v>
      </c>
      <c r="H48">
        <v>541.79</v>
      </c>
      <c r="I48">
        <v>-8160</v>
      </c>
      <c r="J48">
        <v>3178</v>
      </c>
      <c r="K48">
        <v>2317</v>
      </c>
    </row>
    <row r="49" spans="1:11" s="6" customFormat="1" x14ac:dyDescent="0.35">
      <c r="A49" s="6" t="s">
        <v>14</v>
      </c>
      <c r="B49">
        <v>-5006.6000000000004</v>
      </c>
      <c r="C49">
        <v>-944.61</v>
      </c>
      <c r="D49">
        <v>2957.71</v>
      </c>
      <c r="E49">
        <v>5407.79</v>
      </c>
      <c r="F49">
        <v>3203</v>
      </c>
      <c r="G49">
        <v>3764</v>
      </c>
      <c r="H49">
        <v>7025.11</v>
      </c>
      <c r="I49">
        <v>17407</v>
      </c>
      <c r="J49">
        <v>5566</v>
      </c>
      <c r="K49">
        <v>3343</v>
      </c>
    </row>
    <row r="50" spans="1:11" x14ac:dyDescent="0.35">
      <c r="A50" s="6" t="s">
        <v>8</v>
      </c>
      <c r="B50">
        <v>2412.73</v>
      </c>
      <c r="C50">
        <v>5572.31</v>
      </c>
      <c r="D50">
        <v>10820.24</v>
      </c>
      <c r="E50">
        <v>13114.4</v>
      </c>
      <c r="F50">
        <v>13217</v>
      </c>
      <c r="G50">
        <v>13767</v>
      </c>
      <c r="H50">
        <v>15418.37</v>
      </c>
      <c r="I50">
        <v>17135</v>
      </c>
      <c r="J50">
        <v>15785</v>
      </c>
      <c r="K50">
        <v>12159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3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3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3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1C2-E4AC-47B0-A25D-1103ABB40317}">
  <dimension ref="B2:N33"/>
  <sheetViews>
    <sheetView topLeftCell="A12" workbookViewId="0">
      <selection activeCell="E12" sqref="E12"/>
    </sheetView>
  </sheetViews>
  <sheetFormatPr defaultRowHeight="14.5" x14ac:dyDescent="0.35"/>
  <cols>
    <col min="2" max="2" width="35.6328125" customWidth="1"/>
    <col min="3" max="3" width="12.08984375" customWidth="1"/>
  </cols>
  <sheetData>
    <row r="2" spans="2:14" x14ac:dyDescent="0.35">
      <c r="B2" s="45"/>
      <c r="C2" s="45">
        <v>41334</v>
      </c>
      <c r="D2" s="45">
        <v>41699</v>
      </c>
      <c r="E2" s="45">
        <v>42064</v>
      </c>
      <c r="F2" s="45">
        <v>42430</v>
      </c>
      <c r="G2" s="45">
        <v>42795</v>
      </c>
      <c r="H2" s="45">
        <v>43160</v>
      </c>
      <c r="I2" s="45">
        <v>43525</v>
      </c>
      <c r="J2" s="45">
        <v>43891</v>
      </c>
      <c r="K2" s="45">
        <v>44256</v>
      </c>
      <c r="L2" s="45">
        <v>44621</v>
      </c>
      <c r="M2" s="45">
        <v>44986</v>
      </c>
      <c r="N2" s="44">
        <v>45352</v>
      </c>
    </row>
    <row r="3" spans="2:14" x14ac:dyDescent="0.35">
      <c r="B3" s="46" t="s">
        <v>152</v>
      </c>
      <c r="C3" s="47">
        <v>22163</v>
      </c>
      <c r="D3" s="47">
        <v>36151</v>
      </c>
      <c r="E3" s="47">
        <v>35531</v>
      </c>
      <c r="F3" s="47">
        <v>37900</v>
      </c>
      <c r="G3" s="47">
        <v>30199</v>
      </c>
      <c r="H3" s="47">
        <v>23857</v>
      </c>
      <c r="I3" s="47">
        <v>18891</v>
      </c>
      <c r="J3" s="47">
        <v>26633</v>
      </c>
      <c r="K3" s="47">
        <v>29001</v>
      </c>
      <c r="L3" s="47">
        <v>14283</v>
      </c>
      <c r="M3" s="47">
        <v>35388</v>
      </c>
      <c r="N3" s="47">
        <v>67915</v>
      </c>
    </row>
    <row r="4" spans="2:14" x14ac:dyDescent="0.35">
      <c r="B4" s="46" t="s">
        <v>127</v>
      </c>
      <c r="C4" s="47">
        <v>24406</v>
      </c>
      <c r="D4" s="47">
        <v>36303</v>
      </c>
      <c r="E4" s="47">
        <v>43397</v>
      </c>
      <c r="F4" s="47">
        <v>38626</v>
      </c>
      <c r="G4" s="47">
        <v>28840</v>
      </c>
      <c r="H4" s="47">
        <v>33312</v>
      </c>
      <c r="I4" s="47">
        <v>28771</v>
      </c>
      <c r="J4" s="47">
        <v>23352</v>
      </c>
      <c r="K4" s="47">
        <v>31198</v>
      </c>
      <c r="L4" s="47">
        <v>26943</v>
      </c>
      <c r="M4" s="47">
        <v>41694</v>
      </c>
      <c r="N4" s="47">
        <v>65106</v>
      </c>
    </row>
    <row r="5" spans="2:14" x14ac:dyDescent="0.35">
      <c r="B5" s="48" t="s">
        <v>78</v>
      </c>
      <c r="C5" s="49">
        <v>-5177</v>
      </c>
      <c r="D5" s="50">
        <v>445</v>
      </c>
      <c r="E5" s="49">
        <v>-3179</v>
      </c>
      <c r="F5" s="49">
        <v>-2223</v>
      </c>
      <c r="G5" s="49">
        <v>-4152</v>
      </c>
      <c r="H5" s="49">
        <v>-10688</v>
      </c>
      <c r="I5" s="49">
        <v>-9109</v>
      </c>
      <c r="J5" s="49">
        <v>9950</v>
      </c>
      <c r="K5" s="49">
        <v>-5505</v>
      </c>
      <c r="L5" s="50">
        <v>185</v>
      </c>
      <c r="M5" s="49">
        <v>-2213</v>
      </c>
      <c r="N5" s="49">
        <v>-1875</v>
      </c>
    </row>
    <row r="6" spans="2:14" x14ac:dyDescent="0.35">
      <c r="B6" s="48" t="s">
        <v>45</v>
      </c>
      <c r="C6" s="49">
        <v>-2656</v>
      </c>
      <c r="D6" s="49">
        <v>-2853</v>
      </c>
      <c r="E6" s="49">
        <v>-3692</v>
      </c>
      <c r="F6" s="49">
        <v>-5743</v>
      </c>
      <c r="G6" s="49">
        <v>-6621</v>
      </c>
      <c r="H6" s="49">
        <v>-3560</v>
      </c>
      <c r="I6" s="49">
        <v>2069</v>
      </c>
      <c r="J6" s="49">
        <v>2326</v>
      </c>
      <c r="K6" s="49">
        <v>3814</v>
      </c>
      <c r="L6" s="50">
        <v>472</v>
      </c>
      <c r="M6" s="49">
        <v>-5665</v>
      </c>
      <c r="N6" s="49">
        <v>-7265</v>
      </c>
    </row>
    <row r="7" spans="2:14" x14ac:dyDescent="0.35">
      <c r="B7" s="48" t="s">
        <v>128</v>
      </c>
      <c r="C7" s="49">
        <v>8132</v>
      </c>
      <c r="D7" s="49">
        <v>4694</v>
      </c>
      <c r="E7" s="49">
        <v>3598</v>
      </c>
      <c r="F7" s="49">
        <v>3947</v>
      </c>
      <c r="G7" s="49">
        <v>9301</v>
      </c>
      <c r="H7" s="49">
        <v>7320</v>
      </c>
      <c r="I7" s="49">
        <v>-4692</v>
      </c>
      <c r="J7" s="49">
        <v>-8085</v>
      </c>
      <c r="K7" s="49">
        <v>5748</v>
      </c>
      <c r="L7" s="49">
        <v>-7012</v>
      </c>
      <c r="M7" s="49">
        <v>6945</v>
      </c>
      <c r="N7" s="49">
        <v>13706</v>
      </c>
    </row>
    <row r="8" spans="2:14" x14ac:dyDescent="0.35">
      <c r="B8" s="48" t="s">
        <v>129</v>
      </c>
      <c r="C8" s="50">
        <v>0</v>
      </c>
      <c r="D8" s="50">
        <v>0</v>
      </c>
      <c r="E8" s="50">
        <v>0</v>
      </c>
      <c r="F8" s="50">
        <v>-520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</row>
    <row r="9" spans="2:14" x14ac:dyDescent="0.35">
      <c r="B9" s="48" t="s">
        <v>130</v>
      </c>
      <c r="C9" s="50">
        <v>-303</v>
      </c>
      <c r="D9" s="49">
        <v>1870</v>
      </c>
      <c r="E9" s="50">
        <v>-398</v>
      </c>
      <c r="F9" s="49">
        <v>5852</v>
      </c>
      <c r="G9" s="49">
        <v>4727</v>
      </c>
      <c r="H9" s="50">
        <v>494</v>
      </c>
      <c r="I9" s="49">
        <v>4512</v>
      </c>
      <c r="J9" s="50">
        <v>875</v>
      </c>
      <c r="K9" s="49">
        <v>-4150</v>
      </c>
      <c r="L9" s="49">
        <v>-4396</v>
      </c>
      <c r="M9" s="49">
        <v>-2194</v>
      </c>
      <c r="N9" s="49">
        <v>2760</v>
      </c>
    </row>
    <row r="10" spans="2:14" x14ac:dyDescent="0.35">
      <c r="B10" s="46" t="s">
        <v>131</v>
      </c>
      <c r="C10" s="51">
        <v>-3</v>
      </c>
      <c r="D10" s="47">
        <v>4157</v>
      </c>
      <c r="E10" s="47">
        <v>-3672</v>
      </c>
      <c r="F10" s="47">
        <v>1313</v>
      </c>
      <c r="G10" s="47">
        <v>3254</v>
      </c>
      <c r="H10" s="47">
        <v>-6434</v>
      </c>
      <c r="I10" s="47">
        <v>-7221</v>
      </c>
      <c r="J10" s="47">
        <v>5065</v>
      </c>
      <c r="K10" s="51">
        <v>-93</v>
      </c>
      <c r="L10" s="47">
        <v>-10750</v>
      </c>
      <c r="M10" s="47">
        <v>-3127</v>
      </c>
      <c r="N10" s="47">
        <v>7325</v>
      </c>
    </row>
    <row r="11" spans="2:14" x14ac:dyDescent="0.35">
      <c r="B11" s="48" t="s">
        <v>132</v>
      </c>
      <c r="C11" s="49">
        <v>-2240</v>
      </c>
      <c r="D11" s="49">
        <v>-4308</v>
      </c>
      <c r="E11" s="49">
        <v>-4194</v>
      </c>
      <c r="F11" s="49">
        <v>-2040</v>
      </c>
      <c r="G11" s="49">
        <v>-1895</v>
      </c>
      <c r="H11" s="49">
        <v>-3021</v>
      </c>
      <c r="I11" s="49">
        <v>-2659</v>
      </c>
      <c r="J11" s="49">
        <v>-1785</v>
      </c>
      <c r="K11" s="49">
        <v>-2105</v>
      </c>
      <c r="L11" s="49">
        <v>-1910</v>
      </c>
      <c r="M11" s="49">
        <v>-3179</v>
      </c>
      <c r="N11" s="49">
        <v>-4516</v>
      </c>
    </row>
    <row r="12" spans="2:14" x14ac:dyDescent="0.35">
      <c r="B12" s="46" t="s">
        <v>153</v>
      </c>
      <c r="C12" s="47">
        <v>-22969</v>
      </c>
      <c r="D12" s="47">
        <v>-27991</v>
      </c>
      <c r="E12" s="47">
        <v>-36232</v>
      </c>
      <c r="F12" s="47">
        <v>-36694</v>
      </c>
      <c r="G12" s="47">
        <v>-39571</v>
      </c>
      <c r="H12" s="47">
        <v>-25139</v>
      </c>
      <c r="I12" s="47">
        <v>-20878</v>
      </c>
      <c r="J12" s="47">
        <v>-33115</v>
      </c>
      <c r="K12" s="47">
        <v>-25672</v>
      </c>
      <c r="L12" s="47">
        <v>-4444</v>
      </c>
      <c r="M12" s="47">
        <v>-15417</v>
      </c>
      <c r="N12" s="47">
        <v>-22782</v>
      </c>
    </row>
    <row r="13" spans="2:14" x14ac:dyDescent="0.35">
      <c r="B13" s="48" t="s">
        <v>133</v>
      </c>
      <c r="C13" s="49">
        <v>-18863</v>
      </c>
      <c r="D13" s="49">
        <v>-26975</v>
      </c>
      <c r="E13" s="49">
        <v>-31962</v>
      </c>
      <c r="F13" s="49">
        <v>-31503</v>
      </c>
      <c r="G13" s="49">
        <v>-16072</v>
      </c>
      <c r="H13" s="49">
        <v>-35079</v>
      </c>
      <c r="I13" s="49">
        <v>-35304</v>
      </c>
      <c r="J13" s="49">
        <v>-29702</v>
      </c>
      <c r="K13" s="49">
        <v>-20205</v>
      </c>
      <c r="L13" s="49">
        <v>-15168</v>
      </c>
      <c r="M13" s="49">
        <v>-19230</v>
      </c>
      <c r="N13" s="49">
        <v>-31414</v>
      </c>
    </row>
    <row r="14" spans="2:14" x14ac:dyDescent="0.35">
      <c r="B14" s="48" t="s">
        <v>134</v>
      </c>
      <c r="C14" s="50">
        <v>37</v>
      </c>
      <c r="D14" s="50">
        <v>50</v>
      </c>
      <c r="E14" s="50">
        <v>74</v>
      </c>
      <c r="F14" s="50">
        <v>59</v>
      </c>
      <c r="G14" s="50">
        <v>53</v>
      </c>
      <c r="H14" s="50">
        <v>30</v>
      </c>
      <c r="I14" s="50">
        <v>67</v>
      </c>
      <c r="J14" s="50">
        <v>171</v>
      </c>
      <c r="K14" s="50">
        <v>351</v>
      </c>
      <c r="L14" s="50">
        <v>230</v>
      </c>
      <c r="M14" s="50">
        <v>285</v>
      </c>
      <c r="N14" s="50">
        <v>231</v>
      </c>
    </row>
    <row r="15" spans="2:14" x14ac:dyDescent="0.35">
      <c r="B15" s="48" t="s">
        <v>135</v>
      </c>
      <c r="C15" s="50">
        <v>73</v>
      </c>
      <c r="D15" s="50">
        <v>-429</v>
      </c>
      <c r="E15" s="49">
        <v>-5461</v>
      </c>
      <c r="F15" s="49">
        <v>-4728</v>
      </c>
      <c r="G15" s="50">
        <v>-6</v>
      </c>
      <c r="H15" s="50">
        <v>-329</v>
      </c>
      <c r="I15" s="50">
        <v>-130</v>
      </c>
      <c r="J15" s="49">
        <v>-1439</v>
      </c>
      <c r="K15" s="49">
        <v>-7530</v>
      </c>
      <c r="L15" s="49">
        <v>-3008</v>
      </c>
      <c r="M15" s="50">
        <v>-50</v>
      </c>
      <c r="N15" s="50">
        <v>-74</v>
      </c>
    </row>
    <row r="16" spans="2:14" x14ac:dyDescent="0.35">
      <c r="B16" s="48" t="s">
        <v>136</v>
      </c>
      <c r="C16" s="50">
        <v>34</v>
      </c>
      <c r="D16" s="50">
        <v>4</v>
      </c>
      <c r="E16" s="50">
        <v>42</v>
      </c>
      <c r="F16" s="50">
        <v>89</v>
      </c>
      <c r="G16" s="49">
        <v>1965</v>
      </c>
      <c r="H16" s="49">
        <v>2381</v>
      </c>
      <c r="I16" s="49">
        <v>5644</v>
      </c>
      <c r="J16" s="50">
        <v>21</v>
      </c>
      <c r="K16" s="50">
        <v>226</v>
      </c>
      <c r="L16" s="50">
        <v>104</v>
      </c>
      <c r="M16" s="49">
        <v>6895</v>
      </c>
      <c r="N16" s="49">
        <v>10820</v>
      </c>
    </row>
    <row r="17" spans="2:14" x14ac:dyDescent="0.35">
      <c r="B17" s="48" t="s">
        <v>137</v>
      </c>
      <c r="C17" s="50">
        <v>713</v>
      </c>
      <c r="D17" s="50">
        <v>653</v>
      </c>
      <c r="E17" s="50">
        <v>698</v>
      </c>
      <c r="F17" s="50">
        <v>731</v>
      </c>
      <c r="G17" s="50">
        <v>638</v>
      </c>
      <c r="H17" s="50">
        <v>690</v>
      </c>
      <c r="I17" s="50">
        <v>761</v>
      </c>
      <c r="J17" s="49">
        <v>1104</v>
      </c>
      <c r="K17" s="50">
        <v>428</v>
      </c>
      <c r="L17" s="50">
        <v>653</v>
      </c>
      <c r="M17" s="50">
        <v>973</v>
      </c>
      <c r="N17" s="49">
        <v>2493</v>
      </c>
    </row>
    <row r="18" spans="2:14" x14ac:dyDescent="0.35">
      <c r="B18" s="48" t="s">
        <v>138</v>
      </c>
      <c r="C18" s="50">
        <v>95</v>
      </c>
      <c r="D18" s="50">
        <v>40</v>
      </c>
      <c r="E18" s="50">
        <v>80</v>
      </c>
      <c r="F18" s="50">
        <v>58</v>
      </c>
      <c r="G18" s="50">
        <v>620</v>
      </c>
      <c r="H18" s="49">
        <v>1797</v>
      </c>
      <c r="I18" s="50">
        <v>232</v>
      </c>
      <c r="J18" s="50">
        <v>21</v>
      </c>
      <c r="K18" s="50">
        <v>18</v>
      </c>
      <c r="L18" s="50">
        <v>32</v>
      </c>
      <c r="M18" s="50">
        <v>46</v>
      </c>
      <c r="N18" s="50">
        <v>47</v>
      </c>
    </row>
    <row r="19" spans="2:14" x14ac:dyDescent="0.35">
      <c r="B19" s="48" t="s">
        <v>139</v>
      </c>
      <c r="C19" s="50">
        <v>0</v>
      </c>
      <c r="D19" s="50">
        <v>0</v>
      </c>
      <c r="E19" s="50">
        <v>-160</v>
      </c>
      <c r="F19" s="50">
        <v>0</v>
      </c>
      <c r="G19" s="50">
        <v>-107</v>
      </c>
      <c r="H19" s="50">
        <v>-4</v>
      </c>
      <c r="I19" s="50">
        <v>-9</v>
      </c>
      <c r="J19" s="50">
        <v>-606</v>
      </c>
      <c r="K19" s="50">
        <v>-10</v>
      </c>
      <c r="L19" s="50">
        <v>0</v>
      </c>
      <c r="M19" s="50">
        <v>0</v>
      </c>
      <c r="N19" s="50">
        <v>-150</v>
      </c>
    </row>
    <row r="20" spans="2:14" x14ac:dyDescent="0.35">
      <c r="B20" s="48" t="s">
        <v>140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14</v>
      </c>
      <c r="I20" s="50">
        <v>533</v>
      </c>
      <c r="J20" s="50">
        <v>0</v>
      </c>
      <c r="K20" s="50">
        <v>0</v>
      </c>
      <c r="L20" s="50">
        <v>0</v>
      </c>
      <c r="M20" s="50">
        <v>19</v>
      </c>
      <c r="N20" s="50">
        <v>108</v>
      </c>
    </row>
    <row r="21" spans="2:14" x14ac:dyDescent="0.35">
      <c r="B21" s="48" t="s">
        <v>141</v>
      </c>
      <c r="C21" s="50">
        <v>0</v>
      </c>
      <c r="D21" s="50">
        <v>-185</v>
      </c>
      <c r="E21" s="50">
        <v>0</v>
      </c>
      <c r="F21" s="50">
        <v>-111</v>
      </c>
      <c r="G21" s="50">
        <v>0</v>
      </c>
      <c r="H21" s="50">
        <v>0</v>
      </c>
      <c r="I21" s="50">
        <v>-8</v>
      </c>
      <c r="J21" s="50">
        <v>-27</v>
      </c>
      <c r="K21" s="50">
        <v>0</v>
      </c>
      <c r="L21" s="50">
        <v>-98</v>
      </c>
      <c r="M21" s="50">
        <v>0</v>
      </c>
      <c r="N21" s="50">
        <v>0</v>
      </c>
    </row>
    <row r="22" spans="2:14" x14ac:dyDescent="0.35">
      <c r="B22" s="48" t="s">
        <v>142</v>
      </c>
      <c r="C22" s="50">
        <v>45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-24</v>
      </c>
    </row>
    <row r="23" spans="2:14" x14ac:dyDescent="0.35">
      <c r="B23" s="48" t="s">
        <v>143</v>
      </c>
      <c r="C23" s="49">
        <v>-5103</v>
      </c>
      <c r="D23" s="49">
        <v>-1149</v>
      </c>
      <c r="E23" s="50">
        <v>456</v>
      </c>
      <c r="F23" s="49">
        <v>-1289</v>
      </c>
      <c r="G23" s="49">
        <v>-26663</v>
      </c>
      <c r="H23" s="49">
        <v>5360</v>
      </c>
      <c r="I23" s="49">
        <v>7335</v>
      </c>
      <c r="J23" s="49">
        <v>-2659</v>
      </c>
      <c r="K23" s="49">
        <v>1051</v>
      </c>
      <c r="L23" s="49">
        <v>12813</v>
      </c>
      <c r="M23" s="49">
        <v>-4357</v>
      </c>
      <c r="N23" s="49">
        <v>-4817</v>
      </c>
    </row>
    <row r="24" spans="2:14" x14ac:dyDescent="0.35">
      <c r="B24" s="46" t="s">
        <v>154</v>
      </c>
      <c r="C24" s="47">
        <v>-1692</v>
      </c>
      <c r="D24" s="47">
        <v>-3883</v>
      </c>
      <c r="E24" s="47">
        <v>5201</v>
      </c>
      <c r="F24" s="47">
        <v>-3795</v>
      </c>
      <c r="G24" s="47">
        <v>6205</v>
      </c>
      <c r="H24" s="47">
        <v>2012</v>
      </c>
      <c r="I24" s="47">
        <v>8830</v>
      </c>
      <c r="J24" s="47">
        <v>3390</v>
      </c>
      <c r="K24" s="47">
        <v>9904</v>
      </c>
      <c r="L24" s="47">
        <v>-3380</v>
      </c>
      <c r="M24" s="47">
        <v>-26243</v>
      </c>
      <c r="N24" s="47">
        <v>-37006</v>
      </c>
    </row>
    <row r="25" spans="2:14" x14ac:dyDescent="0.35">
      <c r="B25" s="48" t="s">
        <v>144</v>
      </c>
      <c r="C25" s="50">
        <v>1</v>
      </c>
      <c r="D25" s="50">
        <v>0</v>
      </c>
      <c r="E25" s="50">
        <v>0</v>
      </c>
      <c r="F25" s="49">
        <v>7433</v>
      </c>
      <c r="G25" s="50">
        <v>5</v>
      </c>
      <c r="H25" s="50">
        <v>0</v>
      </c>
      <c r="I25" s="50">
        <v>0</v>
      </c>
      <c r="J25" s="49">
        <v>3889</v>
      </c>
      <c r="K25" s="49">
        <v>2603</v>
      </c>
      <c r="L25" s="50">
        <v>19</v>
      </c>
      <c r="M25" s="50">
        <v>20</v>
      </c>
      <c r="N25" s="50">
        <v>82</v>
      </c>
    </row>
    <row r="26" spans="2:14" x14ac:dyDescent="0.35">
      <c r="B26" s="48" t="s">
        <v>145</v>
      </c>
      <c r="C26" s="50">
        <v>-97</v>
      </c>
      <c r="D26" s="50">
        <v>-658</v>
      </c>
      <c r="E26" s="50">
        <v>-744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</row>
    <row r="27" spans="2:14" x14ac:dyDescent="0.35">
      <c r="B27" s="48" t="s">
        <v>146</v>
      </c>
      <c r="C27" s="49">
        <v>27863</v>
      </c>
      <c r="D27" s="49">
        <v>33258</v>
      </c>
      <c r="E27" s="49">
        <v>36363</v>
      </c>
      <c r="F27" s="49">
        <v>19519</v>
      </c>
      <c r="G27" s="49">
        <v>33390</v>
      </c>
      <c r="H27" s="49">
        <v>37482</v>
      </c>
      <c r="I27" s="49">
        <v>51128</v>
      </c>
      <c r="J27" s="49">
        <v>38297</v>
      </c>
      <c r="K27" s="49">
        <v>46641</v>
      </c>
      <c r="L27" s="49">
        <v>46578</v>
      </c>
      <c r="M27" s="49">
        <v>43934</v>
      </c>
      <c r="N27" s="49">
        <v>18747</v>
      </c>
    </row>
    <row r="28" spans="2:14" x14ac:dyDescent="0.35">
      <c r="B28" s="48" t="s">
        <v>147</v>
      </c>
      <c r="C28" s="49">
        <v>-20395</v>
      </c>
      <c r="D28" s="49">
        <v>-29141</v>
      </c>
      <c r="E28" s="49">
        <v>-23332</v>
      </c>
      <c r="F28" s="49">
        <v>-24924</v>
      </c>
      <c r="G28" s="49">
        <v>-21732</v>
      </c>
      <c r="H28" s="49">
        <v>-29964</v>
      </c>
      <c r="I28" s="49">
        <v>-35198</v>
      </c>
      <c r="J28" s="49">
        <v>-29847</v>
      </c>
      <c r="K28" s="49">
        <v>-29709</v>
      </c>
      <c r="L28" s="49">
        <v>-42816</v>
      </c>
      <c r="M28" s="49">
        <v>-62557</v>
      </c>
      <c r="N28" s="49">
        <v>-47332</v>
      </c>
    </row>
    <row r="29" spans="2:14" x14ac:dyDescent="0.35">
      <c r="B29" s="48" t="s">
        <v>148</v>
      </c>
      <c r="C29" s="49">
        <v>-4666</v>
      </c>
      <c r="D29" s="49">
        <v>-6171</v>
      </c>
      <c r="E29" s="49">
        <v>-6307</v>
      </c>
      <c r="F29" s="49">
        <v>-5716</v>
      </c>
      <c r="G29" s="49">
        <v>-5336</v>
      </c>
      <c r="H29" s="49">
        <v>-5411</v>
      </c>
      <c r="I29" s="49">
        <v>-7005</v>
      </c>
      <c r="J29" s="49">
        <v>-7518</v>
      </c>
      <c r="K29" s="49">
        <v>-8123</v>
      </c>
      <c r="L29" s="49">
        <v>-9251</v>
      </c>
      <c r="M29" s="49">
        <v>-9336</v>
      </c>
      <c r="N29" s="49">
        <v>-9332</v>
      </c>
    </row>
    <row r="30" spans="2:14" x14ac:dyDescent="0.35">
      <c r="B30" s="48" t="s">
        <v>149</v>
      </c>
      <c r="C30" s="49">
        <v>-1551</v>
      </c>
      <c r="D30" s="50">
        <v>-722</v>
      </c>
      <c r="E30" s="50">
        <v>-720</v>
      </c>
      <c r="F30" s="50">
        <v>-108</v>
      </c>
      <c r="G30" s="50">
        <v>-121</v>
      </c>
      <c r="H30" s="50">
        <v>-96</v>
      </c>
      <c r="I30" s="50">
        <v>-95</v>
      </c>
      <c r="J30" s="50">
        <v>-57</v>
      </c>
      <c r="K30" s="50">
        <v>-30</v>
      </c>
      <c r="L30" s="50">
        <v>-100</v>
      </c>
      <c r="M30" s="50">
        <v>-141</v>
      </c>
      <c r="N30" s="49">
        <v>-1059</v>
      </c>
    </row>
    <row r="31" spans="2:14" x14ac:dyDescent="0.35">
      <c r="B31" s="48" t="s">
        <v>150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49">
        <v>-1346</v>
      </c>
      <c r="K31" s="49">
        <v>-1477</v>
      </c>
      <c r="L31" s="49">
        <v>-1559</v>
      </c>
      <c r="M31" s="49">
        <v>-1517</v>
      </c>
      <c r="N31" s="49">
        <v>-1924</v>
      </c>
    </row>
    <row r="32" spans="2:14" x14ac:dyDescent="0.35">
      <c r="B32" s="48" t="s">
        <v>151</v>
      </c>
      <c r="C32" s="49">
        <v>-2849</v>
      </c>
      <c r="D32" s="50">
        <v>-450</v>
      </c>
      <c r="E32" s="50">
        <v>-57</v>
      </c>
      <c r="F32" s="50">
        <v>0</v>
      </c>
      <c r="G32" s="50">
        <v>0</v>
      </c>
      <c r="H32" s="50">
        <v>0</v>
      </c>
      <c r="I32" s="50">
        <v>0</v>
      </c>
      <c r="J32" s="50">
        <v>-29</v>
      </c>
      <c r="K32" s="50">
        <v>0</v>
      </c>
      <c r="L32" s="49">
        <v>3750</v>
      </c>
      <c r="M32" s="49">
        <v>3355</v>
      </c>
      <c r="N32" s="49">
        <v>3812</v>
      </c>
    </row>
    <row r="33" spans="2:14" x14ac:dyDescent="0.35">
      <c r="B33" s="46" t="s">
        <v>35</v>
      </c>
      <c r="C33" s="47">
        <v>-2499</v>
      </c>
      <c r="D33" s="47">
        <v>4277</v>
      </c>
      <c r="E33" s="47">
        <v>4500</v>
      </c>
      <c r="F33" s="47">
        <v>-2589</v>
      </c>
      <c r="G33" s="47">
        <v>-3167</v>
      </c>
      <c r="H33" s="51">
        <v>730</v>
      </c>
      <c r="I33" s="47">
        <v>6843</v>
      </c>
      <c r="J33" s="47">
        <v>-3092</v>
      </c>
      <c r="K33" s="47">
        <v>13232</v>
      </c>
      <c r="L33" s="47">
        <v>6459</v>
      </c>
      <c r="M33" s="47">
        <v>-6272</v>
      </c>
      <c r="N33" s="47">
        <v>8128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5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35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35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35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topLeftCell="A8"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Profit &amp; Loss</vt:lpstr>
      <vt:lpstr>Quarters</vt:lpstr>
      <vt:lpstr>Balance Sheet</vt:lpstr>
      <vt:lpstr>Finacials</vt:lpstr>
      <vt:lpstr>Historical FS</vt:lpstr>
      <vt:lpstr>Ratio Analysis</vt:lpstr>
      <vt:lpstr>Forecasting</vt:lpstr>
      <vt:lpstr>Data</vt:lpstr>
      <vt:lpstr>Data Sheet</vt:lpstr>
      <vt:lpstr>Cash Flow Data</vt:lpstr>
      <vt:lpstr>Cash Flow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PRASHANT UPADHYAY</cp:lastModifiedBy>
  <cp:lastPrinted>2025-01-29T17:39:12Z</cp:lastPrinted>
  <dcterms:created xsi:type="dcterms:W3CDTF">2012-08-17T09:55:37Z</dcterms:created>
  <dcterms:modified xsi:type="dcterms:W3CDTF">2025-02-04T17:21:31Z</dcterms:modified>
</cp:coreProperties>
</file>