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EW\Desktop\assignmm\"/>
    </mc:Choice>
  </mc:AlternateContent>
  <xr:revisionPtr revIDLastSave="0" documentId="8_{0319CC4F-0F83-475B-AC0E-C7B99B21AE85}" xr6:coauthVersionLast="47" xr6:coauthVersionMax="47" xr10:uidLastSave="{00000000-0000-0000-0000-000000000000}"/>
  <bookViews>
    <workbookView xWindow="-120" yWindow="-120" windowWidth="20730" windowHeight="11160" firstSheet="14" activeTab="14" xr2:uid="{00000000-000D-0000-FFFF-FFFF00000000}"/>
  </bookViews>
  <sheets>
    <sheet name="Assignment 1" sheetId="1" r:id="rId1"/>
    <sheet name="Assignment 1(b)" sheetId="2" r:id="rId2"/>
    <sheet name="Assignment 2" sheetId="3" r:id="rId3"/>
    <sheet name="Assignment 2(b)" sheetId="4" r:id="rId4"/>
    <sheet name="Assignment 3" sheetId="5" r:id="rId5"/>
    <sheet name="Assignment 3(b)" sheetId="6" r:id="rId6"/>
    <sheet name="Assignment 3(c)" sheetId="7" r:id="rId7"/>
    <sheet name="Assignment 3(d)" sheetId="8" r:id="rId8"/>
    <sheet name="Assignment 4" sheetId="9" r:id="rId9"/>
    <sheet name="Assignment 4(b)" sheetId="10" r:id="rId10"/>
    <sheet name="Assignment 5" sheetId="11" r:id="rId11"/>
    <sheet name="Assignment 6" sheetId="12" r:id="rId12"/>
    <sheet name="Assignment 7" sheetId="13" r:id="rId13"/>
    <sheet name="Assignment 7(b)" sheetId="14" r:id="rId14"/>
    <sheet name="Assignment 8" sheetId="15" r:id="rId15"/>
    <sheet name="Assignment 9" sheetId="16" r:id="rId16"/>
    <sheet name="assignment 10" sheetId="17" r:id="rId17"/>
    <sheet name="Assignment 11" sheetId="19" r:id="rId18"/>
    <sheet name="Assignment 12" sheetId="20" r:id="rId19"/>
    <sheet name="Assignment 13" sheetId="21" r:id="rId20"/>
  </sheets>
  <externalReferences>
    <externalReference r:id="rId21"/>
    <externalReference r:id="rId22"/>
  </externalReferences>
  <definedNames>
    <definedName name="_xlchart.v1.0" hidden="1">[1]Waterfall!$C$6:$C$17</definedName>
    <definedName name="_xlchart.v1.1" hidden="1">[1]Waterfall!$D$5</definedName>
    <definedName name="_xlchart.v1.2" hidden="1">[1]Waterfall!$D$6:$D$17</definedName>
    <definedName name="Data">[2]Source!$B$1:$E$36</definedName>
    <definedName name="Depart">'Assignment 1'!$H$7:$H$44</definedName>
    <definedName name="Grade">'Assignment 2(b)'!$D$5:$D$54</definedName>
    <definedName name="Head">'Assignment 7'!$C$5:$G$5</definedName>
    <definedName name="Mname">'Assignment 2'!$E$6:$E$26</definedName>
    <definedName name="Reg">'Assignment 1'!$I$7:$I$44</definedName>
    <definedName name="Salary">'Assignment 1'!$J$7:$J$44</definedName>
    <definedName name="Score">'Assignment 2'!$F$6:$F$26</definedName>
    <definedName name="Score1">'Assignment 2(b)'!$C$5:$C$54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17" l="1"/>
  <c r="X7" i="17"/>
  <c r="X8" i="17"/>
  <c r="X9" i="17"/>
  <c r="X10" i="17"/>
  <c r="X11" i="17"/>
  <c r="X12" i="17"/>
  <c r="X13" i="17"/>
  <c r="X14" i="17"/>
  <c r="X15" i="17"/>
  <c r="X16" i="17"/>
  <c r="X17" i="17"/>
  <c r="X18" i="17"/>
  <c r="X19" i="17"/>
  <c r="X20" i="17"/>
  <c r="X21" i="17"/>
  <c r="X22" i="17"/>
  <c r="X23" i="17"/>
  <c r="X24" i="17"/>
  <c r="X25" i="17"/>
  <c r="X26" i="17"/>
  <c r="X27" i="17"/>
  <c r="X28" i="17"/>
  <c r="X29" i="17"/>
  <c r="X30" i="17"/>
  <c r="X31" i="17"/>
  <c r="X32" i="17"/>
  <c r="X33" i="17"/>
  <c r="X34" i="17"/>
  <c r="X35" i="17"/>
  <c r="X36" i="17"/>
  <c r="X37" i="17"/>
  <c r="X38" i="17"/>
  <c r="X39" i="17"/>
  <c r="X40" i="17"/>
  <c r="X41" i="17"/>
  <c r="X42" i="17"/>
  <c r="X5" i="17"/>
  <c r="W6" i="17"/>
  <c r="W7" i="17"/>
  <c r="W8" i="17"/>
  <c r="W9" i="17"/>
  <c r="W10" i="17"/>
  <c r="W11" i="17"/>
  <c r="W12" i="17"/>
  <c r="W13" i="17"/>
  <c r="W14" i="17"/>
  <c r="W15" i="17"/>
  <c r="W16" i="17"/>
  <c r="W17" i="17"/>
  <c r="W18" i="17"/>
  <c r="W19" i="17"/>
  <c r="W20" i="17"/>
  <c r="W21" i="17"/>
  <c r="W22" i="17"/>
  <c r="W23" i="17"/>
  <c r="W24" i="17"/>
  <c r="W25" i="17"/>
  <c r="W26" i="17"/>
  <c r="W27" i="17"/>
  <c r="W28" i="17"/>
  <c r="W29" i="17"/>
  <c r="W30" i="17"/>
  <c r="W31" i="17"/>
  <c r="W32" i="17"/>
  <c r="W33" i="17"/>
  <c r="W34" i="17"/>
  <c r="W35" i="17"/>
  <c r="W36" i="17"/>
  <c r="W37" i="17"/>
  <c r="W38" i="17"/>
  <c r="W39" i="17"/>
  <c r="W40" i="17"/>
  <c r="W41" i="17"/>
  <c r="W42" i="17"/>
  <c r="W5" i="17"/>
  <c r="V5" i="17"/>
  <c r="V6" i="17"/>
  <c r="V7" i="17"/>
  <c r="V8" i="17"/>
  <c r="V9" i="17"/>
  <c r="V10" i="17"/>
  <c r="V11" i="17"/>
  <c r="V12" i="17"/>
  <c r="V13" i="17"/>
  <c r="V14" i="17"/>
  <c r="V15" i="17"/>
  <c r="V16" i="17"/>
  <c r="V17" i="17"/>
  <c r="V18" i="17"/>
  <c r="V19" i="17"/>
  <c r="V20" i="17"/>
  <c r="V21" i="17"/>
  <c r="V22" i="17"/>
  <c r="V23" i="17"/>
  <c r="V24" i="17"/>
  <c r="V25" i="17"/>
  <c r="V26" i="17"/>
  <c r="V27" i="17"/>
  <c r="V28" i="17"/>
  <c r="V29" i="17"/>
  <c r="V30" i="17"/>
  <c r="V31" i="17"/>
  <c r="V32" i="17"/>
  <c r="V33" i="17"/>
  <c r="V34" i="17"/>
  <c r="V35" i="17"/>
  <c r="V36" i="17"/>
  <c r="V37" i="17"/>
  <c r="V38" i="17"/>
  <c r="V39" i="17"/>
  <c r="V40" i="17"/>
  <c r="V41" i="17"/>
  <c r="V42" i="17"/>
  <c r="E10" i="21"/>
  <c r="F10" i="21" s="1"/>
  <c r="E11" i="21"/>
  <c r="F11" i="21" s="1"/>
  <c r="E12" i="21"/>
  <c r="F12" i="21" s="1"/>
  <c r="E13" i="21"/>
  <c r="F13" i="21" s="1"/>
  <c r="E14" i="21"/>
  <c r="F14" i="21" s="1"/>
  <c r="E15" i="21"/>
  <c r="F15" i="21" s="1"/>
  <c r="E16" i="21"/>
  <c r="F16" i="21" s="1"/>
  <c r="E17" i="21"/>
  <c r="F17" i="21" s="1"/>
  <c r="E18" i="21"/>
  <c r="F18" i="21" s="1"/>
  <c r="E19" i="21"/>
  <c r="E9" i="21"/>
  <c r="F9" i="21" s="1"/>
  <c r="E5" i="21"/>
  <c r="B9" i="21"/>
  <c r="F19" i="21"/>
  <c r="B19" i="21"/>
  <c r="B18" i="21"/>
  <c r="B17" i="21"/>
  <c r="B16" i="21"/>
  <c r="B15" i="21"/>
  <c r="B14" i="21"/>
  <c r="B13" i="21"/>
  <c r="B12" i="21"/>
  <c r="B11" i="21"/>
  <c r="B10" i="21"/>
  <c r="C6" i="21"/>
  <c r="F20" i="21" l="1"/>
  <c r="F22" i="21" l="1" a="1"/>
  <c r="F22" i="21" s="1"/>
  <c r="F21" i="21"/>
  <c r="G6" i="20" a="1"/>
  <c r="G6" i="20" s="1"/>
  <c r="AY17" i="19"/>
  <c r="AY16" i="19"/>
  <c r="AY15" i="19"/>
  <c r="AY14" i="19"/>
  <c r="AY13" i="19"/>
  <c r="AY12" i="19"/>
  <c r="AY11" i="19"/>
  <c r="AY10" i="19"/>
  <c r="AY9" i="19"/>
  <c r="AY8" i="19"/>
  <c r="AY7" i="19"/>
  <c r="AL18" i="19"/>
  <c r="AA8" i="19"/>
  <c r="AA9" i="19"/>
  <c r="AA10" i="19"/>
  <c r="AA11" i="19"/>
  <c r="AA12" i="19"/>
  <c r="AA13" i="19"/>
  <c r="AA14" i="19"/>
  <c r="AA15" i="19"/>
  <c r="AA16" i="19"/>
  <c r="AA17" i="19"/>
  <c r="AA18" i="19"/>
  <c r="AA19" i="19"/>
  <c r="AA20" i="19"/>
  <c r="AA21" i="19"/>
  <c r="AA22" i="19"/>
  <c r="AA23" i="19"/>
  <c r="AA24" i="19"/>
  <c r="AA25" i="19"/>
  <c r="AA26" i="19"/>
  <c r="AA27" i="19"/>
  <c r="AA28" i="19"/>
  <c r="AA29" i="19"/>
  <c r="AA30" i="19"/>
  <c r="AA31" i="19"/>
  <c r="AA32" i="19"/>
  <c r="AA33" i="19"/>
  <c r="AA34" i="19"/>
  <c r="AA35" i="19"/>
  <c r="AA36" i="19"/>
  <c r="AA37" i="19"/>
  <c r="AA38" i="19"/>
  <c r="AA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7" i="19"/>
  <c r="N9" i="19"/>
  <c r="N10" i="19"/>
  <c r="N11" i="19"/>
  <c r="O11" i="19" s="1"/>
  <c r="N12" i="19"/>
  <c r="O12" i="19" s="1"/>
  <c r="N13" i="19"/>
  <c r="N14" i="19"/>
  <c r="N15" i="19"/>
  <c r="N16" i="19"/>
  <c r="O16" i="19" s="1"/>
  <c r="N17" i="19"/>
  <c r="N18" i="19"/>
  <c r="N19" i="19"/>
  <c r="N20" i="19"/>
  <c r="N21" i="19"/>
  <c r="N22" i="19"/>
  <c r="N23" i="19"/>
  <c r="O23" i="19" s="1"/>
  <c r="N24" i="19"/>
  <c r="O24" i="19" s="1"/>
  <c r="N8" i="19"/>
  <c r="O20" i="19"/>
  <c r="O19" i="19"/>
  <c r="F23" i="21" l="1"/>
  <c r="O15" i="19"/>
  <c r="O18" i="19"/>
  <c r="O10" i="19"/>
  <c r="O21" i="19"/>
  <c r="O17" i="19"/>
  <c r="O13" i="19"/>
  <c r="O9" i="19"/>
  <c r="O22" i="19"/>
  <c r="O14" i="19"/>
  <c r="O8" i="19"/>
  <c r="M8" i="17"/>
  <c r="M7" i="17"/>
  <c r="E44" i="16" a="1"/>
  <c r="E44" i="16" s="1"/>
  <c r="M44" i="16" s="1"/>
  <c r="E43" i="16" a="1"/>
  <c r="E43" i="16" s="1"/>
  <c r="M43" i="16" s="1"/>
  <c r="E42" i="16" a="1"/>
  <c r="E42" i="16" s="1"/>
  <c r="M42" i="16" s="1"/>
  <c r="E41" i="16" a="1"/>
  <c r="E41" i="16" s="1"/>
  <c r="M41" i="16" s="1"/>
  <c r="E40" i="16" a="1"/>
  <c r="E40" i="16" s="1"/>
  <c r="M40" i="16" s="1"/>
  <c r="E39" i="16" a="1"/>
  <c r="E39" i="16" s="1"/>
  <c r="M39" i="16" s="1"/>
  <c r="E38" i="16" a="1"/>
  <c r="E38" i="16" s="1"/>
  <c r="M38" i="16" s="1"/>
  <c r="E37" i="16" a="1"/>
  <c r="E37" i="16" s="1"/>
  <c r="M37" i="16" s="1"/>
  <c r="E36" i="16" a="1"/>
  <c r="E36" i="16" s="1"/>
  <c r="M36" i="16" s="1"/>
  <c r="E35" i="16" a="1"/>
  <c r="E35" i="16" s="1"/>
  <c r="M35" i="16" s="1"/>
  <c r="E34" i="16" a="1"/>
  <c r="E34" i="16" s="1"/>
  <c r="M34" i="16" s="1"/>
  <c r="E33" i="16" a="1"/>
  <c r="E33" i="16" s="1"/>
  <c r="M33" i="16" s="1"/>
  <c r="E32" i="16" a="1"/>
  <c r="E32" i="16" s="1"/>
  <c r="M32" i="16" s="1"/>
  <c r="E31" i="16" a="1"/>
  <c r="E31" i="16" s="1"/>
  <c r="M31" i="16" s="1"/>
  <c r="E30" i="16" a="1"/>
  <c r="E30" i="16" s="1"/>
  <c r="M30" i="16" s="1"/>
  <c r="E29" i="16" a="1"/>
  <c r="E29" i="16" s="1"/>
  <c r="M29" i="16" s="1"/>
  <c r="E28" i="16" a="1"/>
  <c r="E28" i="16" s="1"/>
  <c r="M28" i="16" s="1"/>
  <c r="E27" i="16" a="1"/>
  <c r="E27" i="16" s="1"/>
  <c r="M27" i="16" s="1"/>
  <c r="E26" i="16"/>
  <c r="M26" i="16" s="1"/>
  <c r="E26" i="16" a="1"/>
  <c r="E25" i="16" a="1"/>
  <c r="E25" i="16" s="1"/>
  <c r="M25" i="16" s="1"/>
  <c r="E24" i="16" a="1"/>
  <c r="E24" i="16" s="1"/>
  <c r="M24" i="16" s="1"/>
  <c r="E23" i="16" a="1"/>
  <c r="E23" i="16" s="1"/>
  <c r="M23" i="16" s="1"/>
  <c r="E22" i="16" a="1"/>
  <c r="E22" i="16" s="1"/>
  <c r="M22" i="16" s="1"/>
  <c r="E21" i="16" a="1"/>
  <c r="E21" i="16" s="1"/>
  <c r="M21" i="16" s="1"/>
  <c r="E20" i="16" a="1"/>
  <c r="E20" i="16" s="1"/>
  <c r="M20" i="16" s="1"/>
  <c r="E19" i="16" a="1"/>
  <c r="E19" i="16" s="1"/>
  <c r="M19" i="16" s="1"/>
  <c r="E18" i="16" a="1"/>
  <c r="E18" i="16" s="1"/>
  <c r="M18" i="16" s="1"/>
  <c r="E17" i="16" a="1"/>
  <c r="E17" i="16" s="1"/>
  <c r="M17" i="16" s="1"/>
  <c r="E16" i="16" a="1"/>
  <c r="E16" i="16" s="1"/>
  <c r="M16" i="16" s="1"/>
  <c r="E15" i="16" a="1"/>
  <c r="E15" i="16" s="1"/>
  <c r="M15" i="16" s="1"/>
  <c r="E14" i="16" a="1"/>
  <c r="E14" i="16" s="1"/>
  <c r="M14" i="16" s="1"/>
  <c r="E13" i="16" a="1"/>
  <c r="E13" i="16" s="1"/>
  <c r="M13" i="16" s="1"/>
  <c r="E12" i="16" a="1"/>
  <c r="E12" i="16" s="1"/>
  <c r="M12" i="16" s="1"/>
  <c r="E11" i="16" a="1"/>
  <c r="E11" i="16" s="1"/>
  <c r="M11" i="16" s="1"/>
  <c r="E10" i="16"/>
  <c r="M10" i="16" s="1"/>
  <c r="E10" i="16" a="1"/>
  <c r="E9" i="16" a="1"/>
  <c r="E9" i="16" s="1"/>
  <c r="M9" i="16" s="1"/>
  <c r="E8" i="16" a="1"/>
  <c r="E8" i="16" s="1"/>
  <c r="M8" i="16" s="1"/>
  <c r="E7" i="16" a="1"/>
  <c r="E7" i="16" s="1"/>
  <c r="M7" i="16" s="1"/>
  <c r="D16" i="14"/>
  <c r="D15" i="14"/>
  <c r="D14" i="14"/>
  <c r="D13" i="14"/>
  <c r="D12" i="14"/>
  <c r="D11" i="14"/>
  <c r="D10" i="14"/>
  <c r="D9" i="14"/>
  <c r="H17" i="13"/>
  <c r="I17" i="13" s="1"/>
  <c r="H16" i="13"/>
  <c r="I16" i="13" s="1"/>
  <c r="H15" i="13"/>
  <c r="I15" i="13" s="1"/>
  <c r="H14" i="13"/>
  <c r="I14" i="13" s="1"/>
  <c r="H13" i="13"/>
  <c r="I13" i="13" s="1"/>
  <c r="H12" i="13"/>
  <c r="I12" i="13" s="1"/>
  <c r="H11" i="13"/>
  <c r="I11" i="13" s="1"/>
  <c r="H10" i="13"/>
  <c r="I10" i="13" s="1"/>
  <c r="H9" i="13"/>
  <c r="I9" i="13" s="1"/>
  <c r="H8" i="13"/>
  <c r="I8" i="13" s="1"/>
  <c r="H7" i="13"/>
  <c r="I7" i="13" s="1"/>
  <c r="H6" i="13"/>
  <c r="I6" i="13" s="1"/>
  <c r="O48" i="12" a="1"/>
  <c r="O48" i="12" s="1"/>
  <c r="M48" i="12"/>
  <c r="L48" i="12"/>
  <c r="K48" i="12"/>
  <c r="J48" i="12"/>
  <c r="O47" i="12" a="1"/>
  <c r="O47" i="12" s="1"/>
  <c r="M47" i="12"/>
  <c r="L47" i="12"/>
  <c r="K47" i="12"/>
  <c r="J47" i="12"/>
  <c r="O46" i="12" a="1"/>
  <c r="O46" i="12" s="1"/>
  <c r="M46" i="12"/>
  <c r="L46" i="12"/>
  <c r="K46" i="12"/>
  <c r="J46" i="12"/>
  <c r="O45" i="12" a="1"/>
  <c r="O45" i="12" s="1"/>
  <c r="M45" i="12"/>
  <c r="L45" i="12"/>
  <c r="K45" i="12"/>
  <c r="J45" i="12"/>
  <c r="O44" i="12" a="1"/>
  <c r="O44" i="12" s="1"/>
  <c r="M44" i="12"/>
  <c r="L44" i="12"/>
  <c r="K44" i="12"/>
  <c r="J44" i="12"/>
  <c r="O43" i="12" a="1"/>
  <c r="O43" i="12" s="1"/>
  <c r="M43" i="12"/>
  <c r="L43" i="12"/>
  <c r="K43" i="12"/>
  <c r="J43" i="12"/>
  <c r="O42" i="12" a="1"/>
  <c r="O42" i="12" s="1"/>
  <c r="M42" i="12"/>
  <c r="L42" i="12"/>
  <c r="K42" i="12"/>
  <c r="J42" i="12"/>
  <c r="O41" i="12" a="1"/>
  <c r="O41" i="12" s="1"/>
  <c r="M41" i="12"/>
  <c r="L41" i="12"/>
  <c r="K41" i="12"/>
  <c r="J41" i="12"/>
  <c r="O40" i="12" a="1"/>
  <c r="O40" i="12" s="1"/>
  <c r="M40" i="12"/>
  <c r="L40" i="12"/>
  <c r="K40" i="12"/>
  <c r="J40" i="12"/>
  <c r="O39" i="12" a="1"/>
  <c r="O39" i="12" s="1"/>
  <c r="M39" i="12"/>
  <c r="L39" i="12"/>
  <c r="K39" i="12"/>
  <c r="J39" i="12"/>
  <c r="O38" i="12" a="1"/>
  <c r="O38" i="12" s="1"/>
  <c r="M38" i="12"/>
  <c r="L38" i="12"/>
  <c r="K38" i="12"/>
  <c r="J38" i="12"/>
  <c r="O37" i="12" a="1"/>
  <c r="O37" i="12" s="1"/>
  <c r="M37" i="12"/>
  <c r="L37" i="12"/>
  <c r="K37" i="12"/>
  <c r="J37" i="12"/>
  <c r="O36" i="12" a="1"/>
  <c r="O36" i="12" s="1"/>
  <c r="M36" i="12"/>
  <c r="L36" i="12"/>
  <c r="K36" i="12"/>
  <c r="J36" i="12"/>
  <c r="O35" i="12" a="1"/>
  <c r="O35" i="12" s="1"/>
  <c r="M35" i="12"/>
  <c r="L35" i="12"/>
  <c r="K35" i="12"/>
  <c r="J35" i="12"/>
  <c r="O34" i="12" a="1"/>
  <c r="O34" i="12" s="1"/>
  <c r="M34" i="12"/>
  <c r="L34" i="12"/>
  <c r="K34" i="12"/>
  <c r="J34" i="12"/>
  <c r="O33" i="12" a="1"/>
  <c r="O33" i="12" s="1"/>
  <c r="M33" i="12"/>
  <c r="L33" i="12"/>
  <c r="K33" i="12"/>
  <c r="J33" i="12"/>
  <c r="O32" i="12" a="1"/>
  <c r="O32" i="12" s="1"/>
  <c r="M32" i="12"/>
  <c r="L32" i="12"/>
  <c r="K32" i="12"/>
  <c r="J32" i="12"/>
  <c r="O31" i="12" a="1"/>
  <c r="O31" i="12" s="1"/>
  <c r="M31" i="12"/>
  <c r="L31" i="12"/>
  <c r="K31" i="12"/>
  <c r="J31" i="12"/>
  <c r="O30" i="12" a="1"/>
  <c r="O30" i="12" s="1"/>
  <c r="M30" i="12"/>
  <c r="L30" i="12"/>
  <c r="K30" i="12"/>
  <c r="J30" i="12"/>
  <c r="O29" i="12" a="1"/>
  <c r="O29" i="12" s="1"/>
  <c r="M29" i="12"/>
  <c r="L29" i="12"/>
  <c r="K29" i="12"/>
  <c r="J29" i="12"/>
  <c r="O28" i="12" a="1"/>
  <c r="O28" i="12" s="1"/>
  <c r="M28" i="12"/>
  <c r="L28" i="12"/>
  <c r="K28" i="12"/>
  <c r="J28" i="12"/>
  <c r="O27" i="12" a="1"/>
  <c r="O27" i="12" s="1"/>
  <c r="M27" i="12"/>
  <c r="L27" i="12"/>
  <c r="K27" i="12"/>
  <c r="J27" i="12"/>
  <c r="O26" i="12" a="1"/>
  <c r="O26" i="12" s="1"/>
  <c r="M26" i="12"/>
  <c r="L26" i="12"/>
  <c r="K26" i="12"/>
  <c r="J26" i="12"/>
  <c r="O25" i="12" a="1"/>
  <c r="O25" i="12" s="1"/>
  <c r="M25" i="12"/>
  <c r="L25" i="12"/>
  <c r="K25" i="12"/>
  <c r="J25" i="12"/>
  <c r="O24" i="12" a="1"/>
  <c r="O24" i="12" s="1"/>
  <c r="M24" i="12"/>
  <c r="L24" i="12"/>
  <c r="K24" i="12"/>
  <c r="J24" i="12"/>
  <c r="O23" i="12" a="1"/>
  <c r="O23" i="12" s="1"/>
  <c r="M23" i="12"/>
  <c r="L23" i="12"/>
  <c r="K23" i="12"/>
  <c r="J23" i="12"/>
  <c r="O22" i="12" a="1"/>
  <c r="O22" i="12" s="1"/>
  <c r="M22" i="12"/>
  <c r="L22" i="12"/>
  <c r="K22" i="12"/>
  <c r="J22" i="12"/>
  <c r="O21" i="12" a="1"/>
  <c r="O21" i="12" s="1"/>
  <c r="M21" i="12"/>
  <c r="L21" i="12"/>
  <c r="K21" i="12"/>
  <c r="J21" i="12"/>
  <c r="O20" i="12" a="1"/>
  <c r="O20" i="12" s="1"/>
  <c r="M20" i="12"/>
  <c r="L20" i="12"/>
  <c r="K20" i="12"/>
  <c r="J20" i="12"/>
  <c r="O19" i="12" a="1"/>
  <c r="O19" i="12" s="1"/>
  <c r="M19" i="12"/>
  <c r="L19" i="12"/>
  <c r="K19" i="12"/>
  <c r="J19" i="12"/>
  <c r="O18" i="12" a="1"/>
  <c r="O18" i="12" s="1"/>
  <c r="M18" i="12"/>
  <c r="L18" i="12"/>
  <c r="K18" i="12"/>
  <c r="J18" i="12"/>
  <c r="O17" i="12" a="1"/>
  <c r="O17" i="12" s="1"/>
  <c r="M17" i="12"/>
  <c r="L17" i="12"/>
  <c r="K17" i="12"/>
  <c r="J17" i="12"/>
  <c r="O16" i="12" a="1"/>
  <c r="O16" i="12" s="1"/>
  <c r="M16" i="12"/>
  <c r="L16" i="12"/>
  <c r="K16" i="12"/>
  <c r="J16" i="12"/>
  <c r="O15" i="12" a="1"/>
  <c r="O15" i="12" s="1"/>
  <c r="M15" i="12"/>
  <c r="L15" i="12"/>
  <c r="K15" i="12"/>
  <c r="J15" i="12"/>
  <c r="O14" i="12" a="1"/>
  <c r="O14" i="12" s="1"/>
  <c r="M14" i="12"/>
  <c r="L14" i="12"/>
  <c r="K14" i="12"/>
  <c r="J14" i="12"/>
  <c r="O13" i="12" a="1"/>
  <c r="O13" i="12" s="1"/>
  <c r="M13" i="12"/>
  <c r="L13" i="12"/>
  <c r="K13" i="12"/>
  <c r="J13" i="12"/>
  <c r="O12" i="12" a="1"/>
  <c r="O12" i="12" s="1"/>
  <c r="M12" i="12"/>
  <c r="L12" i="12"/>
  <c r="K12" i="12"/>
  <c r="J12" i="12"/>
  <c r="O11" i="12" a="1"/>
  <c r="O11" i="12" s="1"/>
  <c r="M11" i="12"/>
  <c r="L11" i="12"/>
  <c r="K11" i="12"/>
  <c r="J11" i="12"/>
  <c r="G319" i="11"/>
  <c r="G318" i="11"/>
  <c r="G317" i="11"/>
  <c r="G316" i="11"/>
  <c r="G315" i="11"/>
  <c r="G314" i="11"/>
  <c r="G313" i="11"/>
  <c r="G312" i="11"/>
  <c r="G311" i="11"/>
  <c r="G310" i="11"/>
  <c r="G309" i="11"/>
  <c r="G308" i="11"/>
  <c r="G307" i="11"/>
  <c r="G306" i="11"/>
  <c r="G305" i="11"/>
  <c r="G304" i="11"/>
  <c r="G303" i="11"/>
  <c r="G302" i="11"/>
  <c r="G301" i="11"/>
  <c r="G300" i="11"/>
  <c r="G299" i="11"/>
  <c r="G298" i="11"/>
  <c r="G297" i="11"/>
  <c r="G296" i="11"/>
  <c r="G295" i="11"/>
  <c r="G294" i="11"/>
  <c r="G293" i="11"/>
  <c r="G292" i="11"/>
  <c r="G291" i="11"/>
  <c r="G290" i="11"/>
  <c r="G289" i="11"/>
  <c r="G288" i="11"/>
  <c r="G287" i="11"/>
  <c r="G286" i="11"/>
  <c r="G285" i="11"/>
  <c r="G284" i="11"/>
  <c r="G283" i="11"/>
  <c r="G282" i="11"/>
  <c r="G281" i="11"/>
  <c r="G280" i="11"/>
  <c r="G279" i="11"/>
  <c r="G278" i="11"/>
  <c r="G277" i="11"/>
  <c r="G276" i="11"/>
  <c r="G275" i="11"/>
  <c r="G274" i="11"/>
  <c r="G273" i="11"/>
  <c r="G272" i="11"/>
  <c r="G271" i="11"/>
  <c r="G270"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I18" i="10"/>
  <c r="H18" i="10"/>
  <c r="G18" i="10"/>
  <c r="F18" i="10"/>
  <c r="E18" i="10"/>
  <c r="D18" i="10"/>
  <c r="I17" i="10"/>
  <c r="H17" i="10"/>
  <c r="G17" i="10"/>
  <c r="F17" i="10"/>
  <c r="E17" i="10"/>
  <c r="D17" i="10"/>
  <c r="I16" i="10"/>
  <c r="H16" i="10"/>
  <c r="G16" i="10"/>
  <c r="F16" i="10"/>
  <c r="E16" i="10"/>
  <c r="D16" i="10"/>
  <c r="I15" i="10"/>
  <c r="H15" i="10"/>
  <c r="G15" i="10"/>
  <c r="F15" i="10"/>
  <c r="E15" i="10"/>
  <c r="D15" i="10"/>
  <c r="I14" i="10"/>
  <c r="H14" i="10"/>
  <c r="G14" i="10"/>
  <c r="F14" i="10"/>
  <c r="E14" i="10"/>
  <c r="D14" i="10"/>
  <c r="I13" i="10"/>
  <c r="H13" i="10"/>
  <c r="G13" i="10"/>
  <c r="F13" i="10"/>
  <c r="E13" i="10"/>
  <c r="D13" i="10"/>
  <c r="I12" i="10"/>
  <c r="H12" i="10"/>
  <c r="G12" i="10"/>
  <c r="F12" i="10"/>
  <c r="E12" i="10"/>
  <c r="D12" i="10"/>
  <c r="I11" i="10"/>
  <c r="H11" i="10"/>
  <c r="G11" i="10"/>
  <c r="F11" i="10"/>
  <c r="E11" i="10"/>
  <c r="D11" i="10"/>
  <c r="I10" i="10"/>
  <c r="H10" i="10"/>
  <c r="G10" i="10"/>
  <c r="F10" i="10"/>
  <c r="E10" i="10"/>
  <c r="D10" i="10"/>
  <c r="I9" i="10"/>
  <c r="H9" i="10"/>
  <c r="G9" i="10"/>
  <c r="F9" i="10"/>
  <c r="E9" i="10"/>
  <c r="D9" i="10"/>
  <c r="I8" i="10"/>
  <c r="H8" i="10"/>
  <c r="G8" i="10"/>
  <c r="F8" i="10"/>
  <c r="E8" i="10"/>
  <c r="D8" i="10"/>
  <c r="I7" i="10"/>
  <c r="H7" i="10"/>
  <c r="G7" i="10"/>
  <c r="F7" i="10"/>
  <c r="E7" i="10"/>
  <c r="D7" i="10"/>
  <c r="G4" i="10"/>
  <c r="G3" i="10"/>
  <c r="C4" i="10"/>
  <c r="C3" i="10"/>
  <c r="C14" i="9"/>
  <c r="C13" i="9"/>
  <c r="C12" i="9"/>
  <c r="C11" i="9"/>
  <c r="C10" i="9"/>
  <c r="C9" i="9"/>
  <c r="C8" i="9"/>
  <c r="C7" i="9"/>
  <c r="C6" i="9"/>
  <c r="G24" i="7" l="1"/>
  <c r="G17" i="7"/>
  <c r="G13" i="7"/>
  <c r="G10" i="7"/>
  <c r="G5" i="7"/>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H11" i="4" s="1"/>
  <c r="C11" i="3"/>
  <c r="C10" i="3"/>
  <c r="C9" i="3"/>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9" i="2"/>
  <c r="N34" i="1"/>
  <c r="N14" i="1"/>
  <c r="N5" i="1"/>
  <c r="N3" i="1"/>
  <c r="Q30" i="1"/>
  <c r="P30" i="1"/>
  <c r="O30" i="1"/>
  <c r="N30" i="1"/>
  <c r="Q29" i="1"/>
  <c r="P29" i="1"/>
  <c r="O29" i="1"/>
  <c r="N29" i="1"/>
  <c r="Q28" i="1"/>
  <c r="P28" i="1"/>
  <c r="O28" i="1"/>
  <c r="N28" i="1"/>
  <c r="Q27" i="1"/>
  <c r="P27" i="1"/>
  <c r="O27" i="1"/>
  <c r="N27" i="1"/>
  <c r="Q26" i="1"/>
  <c r="P26" i="1"/>
  <c r="O26" i="1"/>
  <c r="N26" i="1"/>
  <c r="N25" i="1"/>
  <c r="Q25" i="1"/>
  <c r="P25" i="1"/>
  <c r="O25" i="1"/>
  <c r="Q24" i="1"/>
  <c r="P24" i="1"/>
  <c r="O24" i="1"/>
  <c r="N24" i="1"/>
  <c r="Q23" i="1"/>
  <c r="P23" i="1"/>
  <c r="O23" i="1"/>
  <c r="N23" i="1"/>
  <c r="N22" i="1"/>
  <c r="Q22" i="1"/>
  <c r="P22" i="1"/>
  <c r="O22" i="1"/>
  <c r="Q21" i="1"/>
  <c r="P21" i="1"/>
  <c r="O21" i="1"/>
  <c r="N21" i="1"/>
  <c r="Q20" i="1"/>
  <c r="P20" i="1"/>
  <c r="O20" i="1"/>
  <c r="N20" i="1"/>
  <c r="Q44" i="1"/>
  <c r="O44" i="1"/>
  <c r="P44" i="1"/>
  <c r="Q36" i="1"/>
  <c r="P36" i="1"/>
  <c r="O36" i="1"/>
  <c r="N44" i="1"/>
  <c r="Q43" i="1"/>
  <c r="P43" i="1"/>
  <c r="O43" i="1"/>
  <c r="N43" i="1"/>
  <c r="Q42" i="1"/>
  <c r="P42" i="1"/>
  <c r="O42" i="1"/>
  <c r="N42" i="1"/>
  <c r="Q41" i="1"/>
  <c r="P41" i="1"/>
  <c r="O41" i="1"/>
  <c r="N41" i="1"/>
  <c r="Q40" i="1"/>
  <c r="P40" i="1"/>
  <c r="O40" i="1"/>
  <c r="N40" i="1"/>
  <c r="N39" i="1"/>
  <c r="Q39" i="1"/>
  <c r="P39" i="1"/>
  <c r="O39" i="1"/>
  <c r="Q38" i="1"/>
  <c r="P38" i="1"/>
  <c r="O38" i="1"/>
  <c r="N38" i="1"/>
  <c r="N37" i="1"/>
  <c r="Q37" i="1"/>
  <c r="P37" i="1"/>
  <c r="O37" i="1"/>
  <c r="N36" i="1"/>
  <c r="Q35" i="1"/>
  <c r="P35" i="1"/>
  <c r="O35" i="1"/>
  <c r="N35" i="1"/>
  <c r="Q34" i="1"/>
  <c r="P34" i="1"/>
  <c r="O34" i="1"/>
  <c r="M12" i="2"/>
  <c r="M16" i="2"/>
  <c r="M20" i="2"/>
  <c r="M24" i="2"/>
  <c r="M28" i="2"/>
  <c r="M32" i="2"/>
  <c r="M36" i="2"/>
  <c r="M40" i="2"/>
  <c r="M44" i="2"/>
  <c r="K10" i="2"/>
  <c r="M10" i="2" s="1"/>
  <c r="K11" i="2"/>
  <c r="M11" i="2" s="1"/>
  <c r="K12" i="2"/>
  <c r="K13" i="2"/>
  <c r="M13" i="2" s="1"/>
  <c r="K14" i="2"/>
  <c r="M14" i="2" s="1"/>
  <c r="K15" i="2"/>
  <c r="M15" i="2" s="1"/>
  <c r="K16" i="2"/>
  <c r="K17" i="2"/>
  <c r="M17" i="2" s="1"/>
  <c r="K18" i="2"/>
  <c r="M18" i="2" s="1"/>
  <c r="K19" i="2"/>
  <c r="M19" i="2" s="1"/>
  <c r="K20" i="2"/>
  <c r="K21" i="2"/>
  <c r="M21" i="2" s="1"/>
  <c r="K22" i="2"/>
  <c r="M22" i="2" s="1"/>
  <c r="K23" i="2"/>
  <c r="M23" i="2" s="1"/>
  <c r="K24" i="2"/>
  <c r="K25" i="2"/>
  <c r="M25" i="2" s="1"/>
  <c r="K26" i="2"/>
  <c r="M26" i="2" s="1"/>
  <c r="K27" i="2"/>
  <c r="M27" i="2" s="1"/>
  <c r="K28" i="2"/>
  <c r="K29" i="2"/>
  <c r="M29" i="2" s="1"/>
  <c r="K30" i="2"/>
  <c r="M30" i="2" s="1"/>
  <c r="K31" i="2"/>
  <c r="M31" i="2" s="1"/>
  <c r="K32" i="2"/>
  <c r="K33" i="2"/>
  <c r="M33" i="2" s="1"/>
  <c r="K34" i="2"/>
  <c r="M34" i="2" s="1"/>
  <c r="K35" i="2"/>
  <c r="M35" i="2" s="1"/>
  <c r="K36" i="2"/>
  <c r="K37" i="2"/>
  <c r="M37" i="2" s="1"/>
  <c r="K38" i="2"/>
  <c r="M38" i="2" s="1"/>
  <c r="K39" i="2"/>
  <c r="M39" i="2" s="1"/>
  <c r="K40" i="2"/>
  <c r="K41" i="2"/>
  <c r="M41" i="2" s="1"/>
  <c r="K42" i="2"/>
  <c r="M42" i="2" s="1"/>
  <c r="K43" i="2"/>
  <c r="M43" i="2" s="1"/>
  <c r="K44" i="2"/>
  <c r="K45" i="2"/>
  <c r="M45" i="2" s="1"/>
  <c r="K46" i="2"/>
  <c r="M46" i="2" s="1"/>
  <c r="K9" i="2"/>
  <c r="M9" i="2" s="1"/>
  <c r="N16" i="1"/>
  <c r="N15" i="1"/>
  <c r="N13" i="1"/>
  <c r="N12" i="1"/>
  <c r="N11" i="1"/>
  <c r="N8" i="1"/>
  <c r="N7" i="1"/>
  <c r="N6" i="1"/>
  <c r="N4" i="1"/>
  <c r="N45" i="2" l="1"/>
  <c r="O45" i="2" s="1"/>
  <c r="N33" i="2"/>
  <c r="O33" i="2"/>
  <c r="N21" i="2"/>
  <c r="O21" i="2"/>
  <c r="N41" i="2"/>
  <c r="O41" i="2" s="1"/>
  <c r="N29" i="2"/>
  <c r="O29" i="2"/>
  <c r="N17" i="2"/>
  <c r="O17" i="2" s="1"/>
  <c r="N43" i="2"/>
  <c r="O43" i="2" s="1"/>
  <c r="O31" i="2"/>
  <c r="N31" i="2"/>
  <c r="N11" i="2"/>
  <c r="O11" i="2" s="1"/>
  <c r="O36" i="2"/>
  <c r="N37" i="2"/>
  <c r="O37" i="2"/>
  <c r="N25" i="2"/>
  <c r="O25" i="2" s="1"/>
  <c r="N13" i="2"/>
  <c r="O13" i="2"/>
  <c r="O9" i="2"/>
  <c r="N9" i="2"/>
  <c r="N39" i="2"/>
  <c r="O39" i="2" s="1"/>
  <c r="O35" i="2"/>
  <c r="N35" i="2"/>
  <c r="N27" i="2"/>
  <c r="O27" i="2" s="1"/>
  <c r="O23" i="2"/>
  <c r="N23" i="2"/>
  <c r="N19" i="2"/>
  <c r="O19" i="2" s="1"/>
  <c r="O15" i="2"/>
  <c r="N15" i="2"/>
  <c r="N46" i="2"/>
  <c r="O46" i="2"/>
  <c r="N42" i="2"/>
  <c r="O42" i="2" s="1"/>
  <c r="N38" i="2"/>
  <c r="O38" i="2"/>
  <c r="N34" i="2"/>
  <c r="O34" i="2" s="1"/>
  <c r="N30" i="2"/>
  <c r="O30" i="2"/>
  <c r="N26" i="2"/>
  <c r="O26" i="2" s="1"/>
  <c r="N22" i="2"/>
  <c r="O22" i="2"/>
  <c r="N18" i="2"/>
  <c r="O18" i="2" s="1"/>
  <c r="N14" i="2"/>
  <c r="O14" i="2"/>
  <c r="N10" i="2"/>
  <c r="O10" i="2" s="1"/>
  <c r="N44" i="2"/>
  <c r="O44" i="2" s="1"/>
  <c r="N40" i="2"/>
  <c r="O40" i="2" s="1"/>
  <c r="N36" i="2"/>
  <c r="N32" i="2"/>
  <c r="O32" i="2" s="1"/>
  <c r="N28" i="2"/>
  <c r="O28" i="2" s="1"/>
  <c r="N24" i="2"/>
  <c r="O24" i="2" s="1"/>
  <c r="N20" i="2"/>
  <c r="O20" i="2" s="1"/>
  <c r="N16" i="2"/>
  <c r="O16" i="2" s="1"/>
  <c r="N12" i="2"/>
  <c r="O12" i="2" s="1"/>
  <c r="G10" i="4"/>
  <c r="H10" i="4"/>
  <c r="G7" i="4"/>
  <c r="G9" i="4"/>
  <c r="G11" i="4"/>
  <c r="G8" i="4"/>
  <c r="H8" i="4"/>
  <c r="H7" i="4"/>
  <c r="H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<sst xmlns="http://schemas.openxmlformats.org/spreadsheetml/2006/main" count="3531" uniqueCount="505">
  <si>
    <t>Create a summary Data Analysis about the dataset given below.</t>
  </si>
  <si>
    <t>Descriptive Analysis</t>
  </si>
  <si>
    <t>Use Name Range concept to apply functions.</t>
  </si>
  <si>
    <t>Total Salary</t>
  </si>
  <si>
    <t>Average Salary</t>
  </si>
  <si>
    <t>Median Salary</t>
  </si>
  <si>
    <t>C_Code</t>
  </si>
  <si>
    <t>FirstName</t>
  </si>
  <si>
    <t>LastName</t>
  </si>
  <si>
    <t>Birthdate</t>
  </si>
  <si>
    <t>Gender</t>
  </si>
  <si>
    <t>M_Status</t>
  </si>
  <si>
    <t>Department</t>
  </si>
  <si>
    <t>Region</t>
  </si>
  <si>
    <t>Basic Salary</t>
  </si>
  <si>
    <t>Total Employees</t>
  </si>
  <si>
    <t>Ram</t>
  </si>
  <si>
    <t>Ambradkar</t>
  </si>
  <si>
    <t>Female</t>
  </si>
  <si>
    <t>Married</t>
  </si>
  <si>
    <t>FLM</t>
  </si>
  <si>
    <t>North</t>
  </si>
  <si>
    <t>Max Salary</t>
  </si>
  <si>
    <t>Sachin</t>
  </si>
  <si>
    <t>Bangera</t>
  </si>
  <si>
    <t>Single</t>
  </si>
  <si>
    <t>Digital Marketing</t>
  </si>
  <si>
    <t>Min Salary</t>
  </si>
  <si>
    <t>Rajesh</t>
  </si>
  <si>
    <t>Bohra</t>
  </si>
  <si>
    <t>Rajeesh</t>
  </si>
  <si>
    <t>C</t>
  </si>
  <si>
    <t>Male</t>
  </si>
  <si>
    <t>Inside Sales</t>
  </si>
  <si>
    <t>South</t>
  </si>
  <si>
    <t>More Analysis</t>
  </si>
  <si>
    <t>Melwyn</t>
  </si>
  <si>
    <t>Crasto</t>
  </si>
  <si>
    <t>Marketing</t>
  </si>
  <si>
    <t>total number of males</t>
  </si>
  <si>
    <t>Dedhia</t>
  </si>
  <si>
    <t>Director</t>
  </si>
  <si>
    <t>total number of females</t>
  </si>
  <si>
    <t>Dattatray</t>
  </si>
  <si>
    <t>Desai</t>
  </si>
  <si>
    <t>Learning &amp; Development</t>
  </si>
  <si>
    <t>Mid West</t>
  </si>
  <si>
    <t>Total number Employees working in North</t>
  </si>
  <si>
    <t>Vishnu</t>
  </si>
  <si>
    <t>Average Salary Paid to Sales Departement of North Region</t>
  </si>
  <si>
    <t>Dinesh</t>
  </si>
  <si>
    <t>Dhanuka</t>
  </si>
  <si>
    <t>East</t>
  </si>
  <si>
    <t>Max Salary paid in Digital Marketing</t>
  </si>
  <si>
    <t>Heena</t>
  </si>
  <si>
    <t>Dongre</t>
  </si>
  <si>
    <t>Min Salary paid in South Region</t>
  </si>
  <si>
    <t>Dhiren</t>
  </si>
  <si>
    <t>Haria</t>
  </si>
  <si>
    <t>Gururaj</t>
  </si>
  <si>
    <t>Joshi</t>
  </si>
  <si>
    <t>Ruffina</t>
  </si>
  <si>
    <t>CEO</t>
  </si>
  <si>
    <t>Jagjit</t>
  </si>
  <si>
    <t>Kahlon</t>
  </si>
  <si>
    <t>CCD</t>
  </si>
  <si>
    <t>Piyush</t>
  </si>
  <si>
    <t>Kamdar</t>
  </si>
  <si>
    <t>Department/Region</t>
  </si>
  <si>
    <t>D</t>
  </si>
  <si>
    <t>Kulkarni</t>
  </si>
  <si>
    <t>Raju</t>
  </si>
  <si>
    <t>Manek</t>
  </si>
  <si>
    <t>Yogesh</t>
  </si>
  <si>
    <t>Mansharamani</t>
  </si>
  <si>
    <t>Satish</t>
  </si>
  <si>
    <t>Pasari</t>
  </si>
  <si>
    <t>Nitin</t>
  </si>
  <si>
    <t>Patki</t>
  </si>
  <si>
    <t>Operations</t>
  </si>
  <si>
    <t>Prem</t>
  </si>
  <si>
    <t>Pherwani</t>
  </si>
  <si>
    <t>Finance</t>
  </si>
  <si>
    <t>Sudesh</t>
  </si>
  <si>
    <t>Pillai</t>
  </si>
  <si>
    <t>Boneca</t>
  </si>
  <si>
    <t>Rego</t>
  </si>
  <si>
    <t>Sharadchandra</t>
  </si>
  <si>
    <t>Riswadkar</t>
  </si>
  <si>
    <t>Simon</t>
  </si>
  <si>
    <t>Rodrigues</t>
  </si>
  <si>
    <t>Ashok</t>
  </si>
  <si>
    <t>Samtaney</t>
  </si>
  <si>
    <t>Sales</t>
  </si>
  <si>
    <t>Praful</t>
  </si>
  <si>
    <t>Savla</t>
  </si>
  <si>
    <t>Stan</t>
  </si>
  <si>
    <t>Serrao</t>
  </si>
  <si>
    <t>Shah</t>
  </si>
  <si>
    <t>Sheth</t>
  </si>
  <si>
    <t>Shankar</t>
  </si>
  <si>
    <t>Shetty</t>
  </si>
  <si>
    <t>Kawdoor</t>
  </si>
  <si>
    <t>Venitha</t>
  </si>
  <si>
    <t>Tulsidas</t>
  </si>
  <si>
    <t>Rajeev</t>
  </si>
  <si>
    <t>Singh</t>
  </si>
  <si>
    <t>Bobby</t>
  </si>
  <si>
    <t>Tanna</t>
  </si>
  <si>
    <t>Jitendra</t>
  </si>
  <si>
    <t>Thacker</t>
  </si>
  <si>
    <t>Yashraj</t>
  </si>
  <si>
    <t>Vaidya</t>
  </si>
  <si>
    <t>Region &amp; Departmentwise Report</t>
  </si>
  <si>
    <t>Region &amp; Departmentwise Salary</t>
  </si>
  <si>
    <t>Calculate HRA at 45% of Basic salary</t>
  </si>
  <si>
    <t>Give Annual Bonus as 1000 Gift Voucher plus 5% of Basic salary</t>
  </si>
  <si>
    <t>Calcualte Gross Salary</t>
  </si>
  <si>
    <t>Calculate professional tax at 5%</t>
  </si>
  <si>
    <t>Calcualte Net Salary</t>
  </si>
  <si>
    <t>Manager name</t>
  </si>
  <si>
    <t>V, Rajesh</t>
  </si>
  <si>
    <t>Machado, Jason</t>
  </si>
  <si>
    <t>Elayedatt, Rubin</t>
  </si>
  <si>
    <t>Scores</t>
  </si>
  <si>
    <t>**Use Name Range Concept</t>
  </si>
  <si>
    <t>Q. Calculate the average roll up for the respective managers using the data in the second table.</t>
  </si>
  <si>
    <t>Student</t>
  </si>
  <si>
    <t>Grade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</si>
  <si>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</si>
  <si>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</si>
  <si>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</si>
  <si>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</si>
  <si>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</si>
  <si>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</si>
  <si>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</si>
  <si>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</si>
  <si>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</si>
  <si>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</si>
  <si>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</si>
  <si>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</si>
  <si>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</si>
  <si>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</si>
  <si>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</si>
  <si>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</si>
  <si>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</si>
  <si>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</si>
  <si>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</si>
  <si>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</si>
  <si>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</si>
  <si>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</si>
  <si>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</si>
  <si>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</si>
  <si>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</si>
  <si>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</si>
  <si>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</si>
  <si>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</si>
  <si>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</si>
  <si>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</si>
  <si>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</si>
  <si>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</si>
  <si>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</si>
  <si>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</si>
  <si>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</si>
  <si>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</si>
  <si>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</si>
  <si>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</si>
  <si>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</si>
  <si>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</si>
  <si>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</si>
  <si>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</si>
  <si>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</si>
  <si>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</si>
  <si>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</si>
  <si>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</si>
  <si>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</si>
  <si>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</si>
  <si>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</si>
  <si>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</si>
  <si>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Min</t>
  </si>
  <si>
    <t>Max</t>
  </si>
  <si>
    <t>A</t>
  </si>
  <si>
    <t>B</t>
  </si>
  <si>
    <t>F</t>
  </si>
  <si>
    <t>Q. For the student database given alongside, Find the min and max values for the grades.</t>
  </si>
  <si>
    <t>January</t>
  </si>
  <si>
    <t>February</t>
  </si>
  <si>
    <t>March</t>
  </si>
  <si>
    <t>April</t>
  </si>
  <si>
    <t>Jon Allen</t>
  </si>
  <si>
    <t>Maria Consuelo</t>
  </si>
  <si>
    <t>Su Li Macado</t>
  </si>
  <si>
    <t>Tony Jackson</t>
  </si>
  <si>
    <t>Katie Wilson</t>
  </si>
  <si>
    <t>Jennifer Flynn</t>
  </si>
  <si>
    <t>Chi Lyn Cheng</t>
  </si>
  <si>
    <t>Antonio Bendera</t>
  </si>
  <si>
    <t>Q - Use conditional formatting in such a manner that any Cell which has more than the average for that month will have a green colour else Red color</t>
  </si>
  <si>
    <t xml:space="preserve">Add arrows to show increase/ decrese in 'nav' as compared to previous day. </t>
  </si>
  <si>
    <t>It should look like the image as shown.</t>
  </si>
  <si>
    <t>fund_symbol</t>
  </si>
  <si>
    <t>price_date</t>
  </si>
  <si>
    <t>nav_per_share</t>
  </si>
  <si>
    <t>AAAAX</t>
  </si>
  <si>
    <t xml:space="preserve">Add Data bars in next column. </t>
  </si>
  <si>
    <t>Product</t>
  </si>
  <si>
    <t>Total rev</t>
  </si>
  <si>
    <t>BLUECHIP</t>
  </si>
  <si>
    <t>DB-FLX</t>
  </si>
  <si>
    <t>DB-VAL</t>
  </si>
  <si>
    <t>EQ-FLX</t>
  </si>
  <si>
    <t>EQ-L</t>
  </si>
  <si>
    <t>EQ-L&amp;MC</t>
  </si>
  <si>
    <t>EQ-MC&amp;S</t>
  </si>
  <si>
    <t>EQ-VAL</t>
  </si>
  <si>
    <t>Highlight whole row, where date is of 'Today'.</t>
  </si>
  <si>
    <t>S.no.</t>
  </si>
  <si>
    <t>Batch</t>
  </si>
  <si>
    <t>Pax Count</t>
  </si>
  <si>
    <t>Timeslots for Training</t>
  </si>
  <si>
    <t>Session Dates</t>
  </si>
  <si>
    <t>Trainers</t>
  </si>
  <si>
    <t>Batch-2</t>
  </si>
  <si>
    <t>3 pm to 7 pm</t>
  </si>
  <si>
    <t>Batch-1</t>
  </si>
  <si>
    <t>Batch-3</t>
  </si>
  <si>
    <t>4 pm to 8 pm</t>
  </si>
  <si>
    <t>Format whole column with any Color, based on the selection of month in C5</t>
  </si>
  <si>
    <t>Month</t>
  </si>
  <si>
    <t>Mar</t>
  </si>
  <si>
    <t>Jan</t>
  </si>
  <si>
    <t>Feb</t>
  </si>
  <si>
    <t>Apr</t>
  </si>
  <si>
    <t>May</t>
  </si>
  <si>
    <t>Jun</t>
  </si>
  <si>
    <t>Q. Convert the date from first format to the second format and sort in ascending order.</t>
  </si>
  <si>
    <t>Date (yyyymmdd.000)</t>
  </si>
  <si>
    <t>Date (mm/dd/yyyy)</t>
  </si>
  <si>
    <t>Current Date</t>
  </si>
  <si>
    <t>Current Time</t>
  </si>
  <si>
    <t>Last Modified Date</t>
  </si>
  <si>
    <t>Last Modified Time</t>
  </si>
  <si>
    <t>Name</t>
  </si>
  <si>
    <t>Day</t>
  </si>
  <si>
    <t>Month(in number)</t>
  </si>
  <si>
    <t>Month(in text)</t>
  </si>
  <si>
    <t>Year</t>
  </si>
  <si>
    <t>Age(in years)</t>
  </si>
  <si>
    <t>Exact Age with Years, Month, Days</t>
  </si>
  <si>
    <t>Boneca Rego</t>
  </si>
  <si>
    <t>Rajeev Singh</t>
  </si>
  <si>
    <t>Gururaj Joshi</t>
  </si>
  <si>
    <t>Sudesh Pillai</t>
  </si>
  <si>
    <t>Yashraj Vaidya</t>
  </si>
  <si>
    <t>Dinesh Dhanuka</t>
  </si>
  <si>
    <t>Yogesh Mansharamani</t>
  </si>
  <si>
    <t>Ram Ambradkar</t>
  </si>
  <si>
    <t>Ruffina Joshi</t>
  </si>
  <si>
    <t>Simon Rodrigues</t>
  </si>
  <si>
    <t>Dhiren Sheth</t>
  </si>
  <si>
    <t>Ashok Samtaney</t>
  </si>
  <si>
    <t>Sort as per conditions and Copy paste the results, by adding a new sheet in this file. 
Plus Paste Screenshots of Advanced Filter(wherever necessary)</t>
  </si>
  <si>
    <t>1. Filter all the Country name starts with letter "F"</t>
  </si>
  <si>
    <t>2. Filter the data in Quarter 3</t>
  </si>
  <si>
    <t>ID</t>
  </si>
  <si>
    <t>Segment</t>
  </si>
  <si>
    <t>Country</t>
  </si>
  <si>
    <t>Date</t>
  </si>
  <si>
    <t>Profit</t>
  </si>
  <si>
    <t>Quarter</t>
  </si>
  <si>
    <t>Government</t>
  </si>
  <si>
    <t>Mexico</t>
  </si>
  <si>
    <t>France</t>
  </si>
  <si>
    <t>Germany</t>
  </si>
  <si>
    <t>United States of America</t>
  </si>
  <si>
    <t>Canada</t>
  </si>
  <si>
    <t>Midmarket</t>
  </si>
  <si>
    <t>Small Business</t>
  </si>
  <si>
    <t>Channel Partners</t>
  </si>
  <si>
    <t>Enterprise</t>
  </si>
  <si>
    <t>Add new column for each task</t>
  </si>
  <si>
    <t>Write 'Eligible for Gift', in front of Females having Salary less than 50000</t>
  </si>
  <si>
    <t>Employees having Salary less than 30000 and belong to CCD department, Get 9000 as Bonus</t>
  </si>
  <si>
    <t>Employees joined before 1980 , write them as 'Retired'</t>
  </si>
  <si>
    <t>Employees belong to Sales and Marketing Department with Basic Salary &lt; 45000 get Bonus of 25000</t>
  </si>
  <si>
    <t>Gift everyone 1500 rs. Amazon Voucher, except Director and CEO</t>
  </si>
  <si>
    <t>Employees will receive TA-DA as per the Region they are posted in. North=5000, South=4000, East=4200, Midwest=3800</t>
  </si>
  <si>
    <t>Join date</t>
  </si>
  <si>
    <t>Use INDEX, MIN &amp; MATCH to find vendor name with lowest bid</t>
  </si>
  <si>
    <t>Products/Vendors</t>
  </si>
  <si>
    <t>Vendor1</t>
  </si>
  <si>
    <t>Vendor2</t>
  </si>
  <si>
    <t>Vendor3</t>
  </si>
  <si>
    <t>Vendor4</t>
  </si>
  <si>
    <t>Vendor5</t>
  </si>
  <si>
    <t>Lowest Bid</t>
  </si>
  <si>
    <t>Vendor for Low Bid</t>
  </si>
  <si>
    <t>Product1</t>
  </si>
  <si>
    <t>Product2</t>
  </si>
  <si>
    <t>Product3</t>
  </si>
  <si>
    <t>Product4</t>
  </si>
  <si>
    <t>Product5</t>
  </si>
  <si>
    <t>Product6</t>
  </si>
  <si>
    <t>Product7</t>
  </si>
  <si>
    <t>Product8</t>
  </si>
  <si>
    <t>Product9</t>
  </si>
  <si>
    <t>Product10</t>
  </si>
  <si>
    <t>Product11</t>
  </si>
  <si>
    <t>Product12</t>
  </si>
  <si>
    <t>Q. The Iist has employee names and badge#s of XYZ Inc.</t>
  </si>
  <si>
    <t>Their Manager name is in the other table, you will need to use the employee badge to lookup their manager in the manager table. Note Managers rotate randomly each month, so your lookup needs to consider the month also</t>
  </si>
  <si>
    <t>Month :</t>
  </si>
  <si>
    <t>Employee Table</t>
  </si>
  <si>
    <t>Badge#</t>
  </si>
  <si>
    <t>Manager</t>
  </si>
  <si>
    <t>Prashanth, Gopi</t>
  </si>
  <si>
    <t>Tank, Ashwini</t>
  </si>
  <si>
    <t>Suri, Aviral</t>
  </si>
  <si>
    <t>Kumar, Ram</t>
  </si>
  <si>
    <t>Tendulkar, Sachin</t>
  </si>
  <si>
    <t>Maradonna, Diego</t>
  </si>
  <si>
    <t>Singh, Robin</t>
  </si>
  <si>
    <t>Kumar, Deepak</t>
  </si>
  <si>
    <t>Manager Table by Month</t>
  </si>
  <si>
    <t>Emp Badge#</t>
  </si>
  <si>
    <t>Londo, Mollari</t>
  </si>
  <si>
    <t>Puri, Om</t>
  </si>
  <si>
    <t>Temp Mgr1</t>
  </si>
  <si>
    <t>Prakash, Surya</t>
  </si>
  <si>
    <t>Wayne, John</t>
  </si>
  <si>
    <t>Jain, Anita</t>
  </si>
  <si>
    <t>Sort as per conditions and Copy paste the results, by adding a new sheet in this file. Plus Paste Screenshots of Sort Box.</t>
  </si>
  <si>
    <t>1. Sort Segment, inside each segment Country should be sorted, with sorted profit for each country Low to high.</t>
  </si>
  <si>
    <t>Separate First Name and Last Name for the below list .</t>
  </si>
  <si>
    <t>Create Employee ID: initials of Name+first 2 letters of Department name+region initial+S.No       (ALL IN UPPER CASE). Example: MCMAN01</t>
  </si>
  <si>
    <t>S.No</t>
  </si>
  <si>
    <t>Full Name</t>
  </si>
  <si>
    <t>First Name</t>
  </si>
  <si>
    <t>Last Name</t>
  </si>
  <si>
    <t>Hiring Date</t>
  </si>
  <si>
    <t>Employee ID</t>
  </si>
  <si>
    <t>Melwyn Crasto</t>
  </si>
  <si>
    <t>Piyush Shah</t>
  </si>
  <si>
    <t>Rajesh Bohra</t>
  </si>
  <si>
    <t>Dhiren Haria</t>
  </si>
  <si>
    <t>Rajesh Dedhia</t>
  </si>
  <si>
    <t>Heena Dongre</t>
  </si>
  <si>
    <t>Bobby Tanna</t>
  </si>
  <si>
    <t>Stan Serrao</t>
  </si>
  <si>
    <t>Rajeesh C</t>
  </si>
  <si>
    <t>Tulsidas Shetty</t>
  </si>
  <si>
    <t>Sachin Bangera</t>
  </si>
  <si>
    <t>Vishnu Desai</t>
  </si>
  <si>
    <t>Raju Manek</t>
  </si>
  <si>
    <t>Jagjit Kahlon</t>
  </si>
  <si>
    <t>Satish Pasari</t>
  </si>
  <si>
    <t>Kawdoor Shetty</t>
  </si>
  <si>
    <t>Jitendra Thacker</t>
  </si>
  <si>
    <t>Dattatray Desai</t>
  </si>
  <si>
    <t>Piyush Kamdar</t>
  </si>
  <si>
    <t>D Kulkarni</t>
  </si>
  <si>
    <t>Praful Savla</t>
  </si>
  <si>
    <t>Sharadchandra Riswadkar</t>
  </si>
  <si>
    <t>Nitin Patki</t>
  </si>
  <si>
    <t>Shankar Shetty</t>
  </si>
  <si>
    <t>Venitha Shetty</t>
  </si>
  <si>
    <t>Prem Pherwani</t>
  </si>
  <si>
    <t>Name of Employees, who have</t>
  </si>
  <si>
    <t>Figure out who has the Max and Min Salary</t>
  </si>
  <si>
    <t>Salary</t>
  </si>
  <si>
    <t>Create Line Chart with Proper formatting</t>
  </si>
  <si>
    <t>Should be formatted as shown in picture</t>
  </si>
  <si>
    <t>Revenue'000</t>
  </si>
  <si>
    <t>Create Combo Chart with Proper formatting</t>
  </si>
  <si>
    <t>Running Total</t>
  </si>
  <si>
    <t>%</t>
  </si>
  <si>
    <t>Create Scatter Chart with Proper formatting</t>
  </si>
  <si>
    <t>X</t>
  </si>
  <si>
    <t>Y</t>
  </si>
  <si>
    <t>horsepower</t>
  </si>
  <si>
    <t>weight</t>
  </si>
  <si>
    <t>(X-XBAR)</t>
  </si>
  <si>
    <t>(Y-YBAR)</t>
  </si>
  <si>
    <t>Create Waterfall Chart with Proper formatting</t>
  </si>
  <si>
    <t>Period</t>
  </si>
  <si>
    <t>Net Cash Flow</t>
  </si>
  <si>
    <t>Start Balance</t>
  </si>
  <si>
    <t>JAN FY2022</t>
  </si>
  <si>
    <t>FEB FY2022</t>
  </si>
  <si>
    <t>MAR FY2022</t>
  </si>
  <si>
    <t>APR FY2022</t>
  </si>
  <si>
    <t>MAY FY2022</t>
  </si>
  <si>
    <t>JUN FY2022</t>
  </si>
  <si>
    <t>JUL FY2022</t>
  </si>
  <si>
    <t>AUG FY2022</t>
  </si>
  <si>
    <t>SEP FY2022</t>
  </si>
  <si>
    <t>OCT FY2022</t>
  </si>
  <si>
    <t>Current Balance</t>
  </si>
  <si>
    <t>Create Gantt Chart with Proper formatting</t>
  </si>
  <si>
    <t>Task Description</t>
  </si>
  <si>
    <t>Start 
Date</t>
  </si>
  <si>
    <t>Planned 
End Date</t>
  </si>
  <si>
    <t>Work Days Planned</t>
  </si>
  <si>
    <t>Main task 1</t>
  </si>
  <si>
    <t>Sub-task 1</t>
  </si>
  <si>
    <t>Sub-task 2</t>
  </si>
  <si>
    <t>Sub-task 3</t>
  </si>
  <si>
    <t>Sub-task 4</t>
  </si>
  <si>
    <t>Sub-task 5</t>
  </si>
  <si>
    <t>Sub-task 6</t>
  </si>
  <si>
    <t>Main task 2</t>
  </si>
  <si>
    <t>VALIDATION SHEET</t>
  </si>
  <si>
    <t>Consider yourself as a manager you need to send this sheet to employees 
to gather data. For proper data collection validate the columns</t>
  </si>
  <si>
    <t>Emp_Code</t>
  </si>
  <si>
    <t>UserID</t>
  </si>
  <si>
    <t>Area</t>
  </si>
  <si>
    <t>West</t>
  </si>
  <si>
    <t>Kurla</t>
  </si>
  <si>
    <t>Andheri</t>
  </si>
  <si>
    <t>Virar</t>
  </si>
  <si>
    <t>Churchgate</t>
  </si>
  <si>
    <t>Ghatkopar</t>
  </si>
  <si>
    <t>Santacruz</t>
  </si>
  <si>
    <t>Bhyander</t>
  </si>
  <si>
    <t>Nariman point</t>
  </si>
  <si>
    <t>Vashi</t>
  </si>
  <si>
    <t>Vileparle</t>
  </si>
  <si>
    <t>Mira Road</t>
  </si>
  <si>
    <t>Colaba</t>
  </si>
  <si>
    <t>Thane</t>
  </si>
  <si>
    <t>Khar</t>
  </si>
  <si>
    <t>Vasai</t>
  </si>
  <si>
    <t>Kalbadevi</t>
  </si>
  <si>
    <t>Mulund</t>
  </si>
  <si>
    <t>Bandra</t>
  </si>
  <si>
    <t>Nallasopara</t>
  </si>
  <si>
    <t>Masjid Bunder</t>
  </si>
  <si>
    <t>Chembur</t>
  </si>
  <si>
    <t>Gogeshwari</t>
  </si>
  <si>
    <t>Naigaon</t>
  </si>
  <si>
    <t>Dockyard</t>
  </si>
  <si>
    <t>1.Give validation to Emp_code so that the user can enter only between 1 to 1000 without decimal</t>
  </si>
  <si>
    <t>2.Give validation to Birthdate so that the date after 2002 should not be accepted</t>
  </si>
  <si>
    <t>3.Give validation to Salary so that the salary is between 25000-85000</t>
  </si>
  <si>
    <t>4.Give validation to User_Id so that the userid is minimum 5 character long</t>
  </si>
  <si>
    <t>5.Give validation to Region so that the user will select the region from list</t>
  </si>
  <si>
    <t>6.Depending upon the region selected the user will get the respective Area</t>
  </si>
  <si>
    <t>Region Details</t>
  </si>
  <si>
    <t>TAX INVOICE</t>
  </si>
  <si>
    <t>Stark Enterprises Ltd</t>
  </si>
  <si>
    <t>31, Baker Street</t>
  </si>
  <si>
    <t>Invoice No</t>
  </si>
  <si>
    <t>Address</t>
  </si>
  <si>
    <t>Customer</t>
  </si>
  <si>
    <t>Interstellar</t>
  </si>
  <si>
    <t>Qty</t>
  </si>
  <si>
    <t>Rate</t>
  </si>
  <si>
    <t>Amount</t>
  </si>
  <si>
    <t>Chair</t>
  </si>
  <si>
    <t>Desk Organizer</t>
  </si>
  <si>
    <t>Files &amp; Folders</t>
  </si>
  <si>
    <t>Study Table</t>
  </si>
  <si>
    <t>Bookcase</t>
  </si>
  <si>
    <t>Gross Amount</t>
  </si>
  <si>
    <t>GST (5%)</t>
  </si>
  <si>
    <t>Discount</t>
  </si>
  <si>
    <t>Net Amount</t>
  </si>
  <si>
    <t>Rate'00</t>
  </si>
  <si>
    <t>Type</t>
  </si>
  <si>
    <t>Wholesaler</t>
  </si>
  <si>
    <t>Johannesburg, South Africa</t>
  </si>
  <si>
    <t>Gravity</t>
  </si>
  <si>
    <t>Retailer</t>
  </si>
  <si>
    <t>La Coruna, Spain</t>
  </si>
  <si>
    <t>Alien</t>
  </si>
  <si>
    <t>Bangalore, India</t>
  </si>
  <si>
    <t>Inception</t>
  </si>
  <si>
    <t>Chennai, India</t>
  </si>
  <si>
    <t>Avengers</t>
  </si>
  <si>
    <t>Tunis, Tunisia</t>
  </si>
  <si>
    <t>Aquaman</t>
  </si>
  <si>
    <t>Turku, Finland</t>
  </si>
  <si>
    <t>Thor</t>
  </si>
  <si>
    <t>Warsaw, Poland</t>
  </si>
  <si>
    <t>Legend</t>
  </si>
  <si>
    <t>Loki</t>
  </si>
  <si>
    <t>Guardian</t>
  </si>
  <si>
    <t>Limerick, Ireland</t>
  </si>
  <si>
    <t>Wonder</t>
  </si>
  <si>
    <t>Montpellier, France</t>
  </si>
  <si>
    <t>Moana</t>
  </si>
  <si>
    <t>Direct</t>
  </si>
  <si>
    <t>Katmandu, Nepal</t>
  </si>
  <si>
    <t>Objective: Create a fully automated Invoice where, End user needs to only select Customer Name, Product and Enter Number of Invoice &amp; Qty to generate an Invoice.</t>
  </si>
  <si>
    <t>Instructions:</t>
  </si>
  <si>
    <t>Invoice No' should look like SEL001, if Number "1" is entered by the user</t>
  </si>
  <si>
    <t>Date of Invoice should be automatic</t>
  </si>
  <si>
    <t>Customer should have pre-defined list, as per selection of Customer, Address should be automatically populated</t>
  </si>
  <si>
    <t>S.no. should be automated, will display automatically when product is selected</t>
  </si>
  <si>
    <t>Each cell under Product and Rate should have pre-defined lists to chose from</t>
  </si>
  <si>
    <t>Add appropriate formulas to complete all the necessary calculations</t>
  </si>
  <si>
    <t>Disount eligibility: Gross upto 2500- 0%, Gross more than or equal to 2500 -- 2%</t>
  </si>
  <si>
    <t>Get Region, Department and Salary of all Employees from Sheet "Source"</t>
  </si>
  <si>
    <t>If C-Code is not present, display "Retired"</t>
  </si>
  <si>
    <t>*Use Name Range and Vlookup with Match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</si>
</sst>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6" formatCode="&quot;₹&quot;\ #,##0;[Red]&quot;₹&quot;\ \-#,##0"/>
    <numFmt numFmtId="8" formatCode="&quot;₹&quot;\ #,##0.00;[Red]&quot;₹&quot;\ \-#,##0.00"/>
    <numFmt numFmtId="43" formatCode="_ * #,##0.00_ ;_ * \-#,##0.00_ ;_ * &quot;-&quot;??_ ;_ @_ "/>
    <numFmt numFmtId="164" formatCode="0.0%"/>
    <numFmt numFmtId="165" formatCode="dd/mmmm/yyyy"/>
    <numFmt numFmtId="166" formatCode="[$-F400]h:mm:ss\ AM/PM"/>
    <numFmt numFmtId="167" formatCode="_ * #,##0_ ;_ * \-#,##0_ ;_ * &quot;-&quot;??_ ;_ @_ "/>
    <numFmt numFmtId="168" formatCode="&quot;$&quot;#,##0_);[Red]\(&quot;$&quot;#,##0\)"/>
    <numFmt numFmtId="169" formatCode="dd\-mmm\-yy;;"/>
    <numFmt numFmtId="170" formatCode="&quot;SEL&quot;000"/>
  </numFmts>
  <fonts count="43" x14ac:knownFonts="1">
    <font>
      <sz val="11"/>
      <color theme="1"/>
      <name val="Calibri"/>
      <family val="2"/>
      <scheme val="minor"/>
    </font>
    <font>
      <b/>
      <sz val="11"/>
      <color rgb="FFFF0000"/>
      <name val="Calibri"/>
      <family val="2"/>
    </font>
    <font>
      <sz val="11"/>
      <name val="Calibri"/>
      <family val="2"/>
    </font>
    <font>
      <b/>
      <sz val="11"/>
      <color theme="1"/>
      <name val="Calibri"/>
      <family val="2"/>
    </font>
    <font>
      <sz val="11"/>
      <color theme="1"/>
      <name val="Calibri"/>
      <family val="2"/>
    </font>
    <font>
      <b/>
      <sz val="11"/>
      <color theme="1"/>
      <name val="Calibri"/>
      <family val="2"/>
      <scheme val="minor"/>
    </font>
    <font>
      <b/>
      <sz val="11"/>
      <color rgb="FFFF0000"/>
      <name val="Calibri"/>
      <family val="2"/>
      <scheme val="minor"/>
    </font>
    <font>
      <sz val="11"/>
      <color theme="1"/>
      <name val="Calibri"/>
      <family val="2"/>
      <scheme val="minor"/>
    </font>
    <font>
      <b/>
      <sz val="10"/>
      <color rgb="FFFFFFFF"/>
      <name val="Arial"/>
      <family val="2"/>
    </font>
    <font>
      <sz val="10"/>
      <color theme="1"/>
      <name val="Calibri"/>
      <family val="2"/>
    </font>
    <font>
      <b/>
      <sz val="10"/>
      <color theme="1"/>
      <name val="Calibri"/>
      <family val="2"/>
    </font>
    <font>
      <b/>
      <sz val="10"/>
      <color theme="1"/>
      <name val="Arial"/>
      <family val="2"/>
    </font>
    <font>
      <b/>
      <sz val="11"/>
      <color rgb="FF000080"/>
      <name val="Arial"/>
      <family val="2"/>
    </font>
    <font>
      <b/>
      <sz val="10"/>
      <color rgb="FF800000"/>
      <name val="Arial"/>
      <family val="2"/>
    </font>
    <font>
      <b/>
      <sz val="8"/>
      <color theme="1"/>
      <name val="Arial"/>
      <family val="2"/>
    </font>
    <font>
      <b/>
      <sz val="10"/>
      <color rgb="FFFF0000"/>
      <name val="Arial"/>
      <family val="2"/>
    </font>
    <font>
      <b/>
      <sz val="14"/>
      <color rgb="FFFF0000"/>
      <name val="Calibri"/>
      <family val="2"/>
      <scheme val="minor"/>
    </font>
    <font>
      <sz val="12"/>
      <color rgb="FF222222"/>
      <name val="Calibri"/>
      <family val="2"/>
    </font>
    <font>
      <strike/>
      <sz val="11"/>
      <color theme="1"/>
      <name val="Calibri"/>
      <family val="2"/>
      <scheme val="minor"/>
    </font>
    <font>
      <strike/>
      <sz val="12"/>
      <color rgb="FF222222"/>
      <name val="Calibri"/>
      <family val="2"/>
    </font>
    <font>
      <sz val="11"/>
      <color rgb="FF000000"/>
      <name val="Calibri"/>
      <family val="2"/>
    </font>
    <font>
      <b/>
      <sz val="12"/>
      <color rgb="FFFF0000"/>
      <name val="Calibri"/>
      <family val="2"/>
    </font>
    <font>
      <sz val="11"/>
      <color rgb="FFFF0000"/>
      <name val="Calibri"/>
      <family val="2"/>
    </font>
    <font>
      <b/>
      <sz val="10"/>
      <color indexed="10"/>
      <name val="Arial"/>
      <family val="2"/>
    </font>
    <font>
      <b/>
      <sz val="10"/>
      <color indexed="9"/>
      <name val="Arial"/>
      <family val="2"/>
    </font>
    <font>
      <sz val="10"/>
      <name val="Arial"/>
      <family val="2"/>
    </font>
    <font>
      <b/>
      <sz val="11"/>
      <color theme="0"/>
      <name val="Calibri"/>
      <family val="2"/>
    </font>
    <font>
      <b/>
      <sz val="8"/>
      <name val="Verdana"/>
      <family val="2"/>
    </font>
    <font>
      <b/>
      <sz val="8"/>
      <color theme="1"/>
      <name val="Verdana"/>
      <family val="2"/>
    </font>
    <font>
      <sz val="8"/>
      <name val="Verdana"/>
      <family val="2"/>
    </font>
    <font>
      <b/>
      <sz val="14"/>
      <color theme="3" tint="-0.499984740745262"/>
      <name val="Calibri"/>
      <family val="2"/>
      <scheme val="minor"/>
    </font>
    <font>
      <b/>
      <sz val="11"/>
      <color theme="3" tint="-0.499984740745262"/>
      <name val="Calibri"/>
      <family val="2"/>
      <scheme val="minor"/>
    </font>
    <font>
      <b/>
      <sz val="10"/>
      <color theme="3" tint="-0.499984740745262"/>
      <name val="Calibri"/>
      <family val="2"/>
      <scheme val="minor"/>
    </font>
    <font>
      <sz val="10"/>
      <name val="Calibri"/>
      <family val="2"/>
      <scheme val="minor"/>
    </font>
    <font>
      <b/>
      <sz val="8"/>
      <color rgb="FF002060"/>
      <name val="Arial"/>
      <family val="2"/>
    </font>
    <font>
      <b/>
      <sz val="16"/>
      <name val="Bahnschrift Light"/>
      <family val="2"/>
    </font>
    <font>
      <sz val="9"/>
      <color theme="9" tint="-0.499984740745262"/>
      <name val="Arial"/>
      <family val="2"/>
    </font>
    <font>
      <b/>
      <sz val="10"/>
      <color theme="2" tint="-0.749992370372631"/>
      <name val="Arial"/>
      <family val="2"/>
    </font>
    <font>
      <sz val="10"/>
      <color theme="2" tint="-0.749992370372631"/>
      <name val="Arial"/>
      <family val="2"/>
    </font>
    <font>
      <sz val="10"/>
      <color indexed="8"/>
      <name val="Arial"/>
      <family val="2"/>
    </font>
    <font>
      <b/>
      <sz val="10"/>
      <color theme="1" tint="0.249977111117893"/>
      <name val="Arial"/>
      <family val="2"/>
    </font>
    <font>
      <b/>
      <sz val="10"/>
      <name val="Calibri"/>
      <family val="2"/>
      <scheme val="minor"/>
    </font>
    <font>
      <b/>
      <sz val="10"/>
      <name val="Arial"/>
      <family val="2"/>
    </font>
  </fonts>
  <fills count="24">
    <fill>
      <patternFill patternType="none"/>
    </fill>
    <fill>
      <patternFill patternType="gray125"/>
    </fill>
    <fill>
      <patternFill patternType="solid">
        <fgColor rgb="FFA8D08D"/>
        <bgColor rgb="FFA8D08D"/>
      </patternFill>
    </fill>
    <fill>
      <patternFill patternType="solid">
        <fgColor rgb="FF000080"/>
        <bgColor rgb="FF000080"/>
      </patternFill>
    </fill>
    <fill>
      <patternFill patternType="solid">
        <fgColor rgb="FFFFFF99"/>
        <bgColor rgb="FFFFFF99"/>
      </patternFill>
    </fill>
    <fill>
      <patternFill patternType="solid">
        <fgColor rgb="FFFFFF00"/>
        <bgColor indexed="64"/>
      </patternFill>
    </fill>
    <fill>
      <patternFill patternType="solid">
        <fgColor rgb="FFFFC000"/>
        <bgColor indexed="64"/>
      </patternFill>
    </fill>
    <fill>
      <patternFill patternType="solid">
        <fgColor rgb="FFFFE598"/>
        <bgColor rgb="FFFFE598"/>
      </patternFill>
    </fill>
    <fill>
      <patternFill patternType="solid">
        <fgColor rgb="FFFFFF00"/>
        <bgColor rgb="FFFFFF00"/>
      </patternFill>
    </fill>
    <fill>
      <patternFill patternType="solid">
        <fgColor theme="0"/>
        <bgColor theme="0"/>
      </patternFill>
    </fill>
    <fill>
      <patternFill patternType="solid">
        <fgColor rgb="FFFBE4D5"/>
        <bgColor rgb="FFFBE4D5"/>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002060"/>
        <bgColor rgb="FF002060"/>
      </patternFill>
    </fill>
    <fill>
      <patternFill patternType="solid">
        <fgColor theme="9"/>
        <bgColor theme="9"/>
      </patternFill>
    </fill>
    <fill>
      <patternFill patternType="solid">
        <fgColor rgb="FFE2EFD9"/>
        <bgColor rgb="FFE2EFD9"/>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9D4BD"/>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indexed="42"/>
        <bgColor indexed="64"/>
      </patternFill>
    </fill>
    <fill>
      <patternFill patternType="solid">
        <fgColor theme="5" tint="0.59999389629810485"/>
        <bgColor indexed="64"/>
      </patternFill>
    </fill>
  </fills>
  <borders count="5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0000"/>
      </left>
      <right/>
      <top style="thin">
        <color rgb="FF000000"/>
      </top>
      <bottom/>
      <diagonal/>
    </border>
    <border>
      <left/>
      <right/>
      <top style="thin">
        <color rgb="FFA8D08D"/>
      </top>
      <bottom/>
      <diagonal/>
    </border>
    <border>
      <left/>
      <right/>
      <top style="thin">
        <color theme="0" tint="-0.24994659260841701"/>
      </top>
      <bottom style="thin">
        <color indexed="64"/>
      </bottom>
      <diagonal/>
    </border>
    <border>
      <left/>
      <right/>
      <top/>
      <bottom style="thin">
        <color indexed="64"/>
      </bottom>
      <diagonal/>
    </border>
    <border>
      <left/>
      <right/>
      <top style="thin">
        <color theme="0" tint="-0.24994659260841701"/>
      </top>
      <bottom style="thin">
        <color theme="0" tint="-0.2499465926084170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43" fontId="7" fillId="0" borderId="0" applyFont="0" applyFill="0" applyBorder="0" applyAlignment="0" applyProtection="0"/>
    <xf numFmtId="0" fontId="25" fillId="0" borderId="0"/>
  </cellStyleXfs>
  <cellXfs count="236">
    <xf numFmtId="0" fontId="0" fillId="0" borderId="0" xfId="0"/>
    <xf numFmtId="0" fontId="3" fillId="0" borderId="3" xfId="0" applyFont="1" applyBorder="1"/>
    <xf numFmtId="0" fontId="4" fillId="0" borderId="3" xfId="0" applyFont="1" applyBorder="1"/>
    <xf numFmtId="1" fontId="4" fillId="0" borderId="3" xfId="0" applyNumberFormat="1" applyFont="1" applyBorder="1"/>
    <xf numFmtId="0" fontId="4" fillId="0" borderId="3" xfId="0" applyFont="1" applyBorder="1" applyAlignment="1">
      <alignment horizontal="center"/>
    </xf>
    <xf numFmtId="0" fontId="4" fillId="0" borderId="3" xfId="0" quotePrefix="1" applyFont="1" applyBorder="1"/>
    <xf numFmtId="15" fontId="4" fillId="0" borderId="3" xfId="0" applyNumberFormat="1" applyFont="1" applyBorder="1" applyAlignment="1">
      <alignment horizontal="center"/>
    </xf>
    <xf numFmtId="0" fontId="4" fillId="0" borderId="3" xfId="0" quotePrefix="1" applyFont="1" applyBorder="1" applyAlignment="1">
      <alignment horizontal="center"/>
    </xf>
    <xf numFmtId="0" fontId="4" fillId="0" borderId="4" xfId="0" applyFont="1" applyBorder="1"/>
    <xf numFmtId="0" fontId="4" fillId="0" borderId="1" xfId="0" applyFont="1" applyBorder="1"/>
    <xf numFmtId="0" fontId="0" fillId="0" borderId="5" xfId="0" applyBorder="1"/>
    <xf numFmtId="0" fontId="4" fillId="0" borderId="6" xfId="0" applyFont="1" applyBorder="1"/>
    <xf numFmtId="0" fontId="3" fillId="0" borderId="5" xfId="0" applyFont="1" applyBorder="1"/>
    <xf numFmtId="0" fontId="4" fillId="0" borderId="5" xfId="0" quotePrefix="1" applyFont="1" applyBorder="1"/>
    <xf numFmtId="0" fontId="4" fillId="0" borderId="5" xfId="0" applyFont="1" applyBorder="1"/>
    <xf numFmtId="0" fontId="6" fillId="0" borderId="0" xfId="0" applyFont="1"/>
    <xf numFmtId="0" fontId="5" fillId="0" borderId="5" xfId="0" applyFont="1" applyBorder="1"/>
    <xf numFmtId="0" fontId="6" fillId="0" borderId="5" xfId="0" applyFont="1" applyBorder="1"/>
    <xf numFmtId="0" fontId="0" fillId="0" borderId="5" xfId="0" quotePrefix="1" applyBorder="1" applyAlignment="1">
      <alignment horizontal="center"/>
    </xf>
    <xf numFmtId="0" fontId="0" fillId="0" borderId="5" xfId="0" quotePrefix="1" applyBorder="1"/>
    <xf numFmtId="15" fontId="0" fillId="0" borderId="5" xfId="0" applyNumberFormat="1" applyBorder="1" applyAlignment="1">
      <alignment horizontal="center"/>
    </xf>
    <xf numFmtId="0" fontId="8" fillId="3" borderId="0" xfId="0" applyFont="1" applyFill="1" applyAlignment="1">
      <alignment horizontal="center"/>
    </xf>
    <xf numFmtId="0" fontId="4" fillId="4" borderId="3" xfId="0" applyFont="1" applyFill="1" applyBorder="1" applyAlignment="1">
      <alignment horizontal="center"/>
    </xf>
    <xf numFmtId="164" fontId="4" fillId="0" borderId="10" xfId="0" applyNumberFormat="1" applyFont="1" applyBorder="1"/>
    <xf numFmtId="164" fontId="4" fillId="0" borderId="3" xfId="0" applyNumberFormat="1" applyFont="1" applyBorder="1"/>
    <xf numFmtId="0" fontId="8" fillId="3" borderId="11" xfId="0" applyFont="1" applyFill="1" applyBorder="1" applyAlignment="1">
      <alignment horizontal="center"/>
    </xf>
    <xf numFmtId="0" fontId="9" fillId="0" borderId="3" xfId="0" applyFont="1" applyBorder="1" applyAlignment="1">
      <alignment horizontal="center" vertical="center"/>
    </xf>
    <xf numFmtId="164" fontId="10" fillId="0" borderId="3" xfId="0" applyNumberFormat="1" applyFont="1" applyBorder="1" applyAlignment="1">
      <alignment horizontal="center" vertical="center"/>
    </xf>
    <xf numFmtId="0" fontId="11" fillId="0" borderId="3" xfId="0" applyFont="1" applyBorder="1" applyAlignment="1">
      <alignment horizontal="center"/>
    </xf>
    <xf numFmtId="0" fontId="12" fillId="0" borderId="3" xfId="0" applyFont="1" applyBorder="1" applyAlignment="1">
      <alignment horizontal="center"/>
    </xf>
    <xf numFmtId="0" fontId="13" fillId="0" borderId="3" xfId="0" applyFont="1" applyBorder="1" applyAlignment="1">
      <alignment horizontal="center"/>
    </xf>
    <xf numFmtId="0" fontId="14" fillId="0" borderId="3" xfId="0" applyFont="1" applyBorder="1" applyAlignment="1">
      <alignment horizontal="center"/>
    </xf>
    <xf numFmtId="0" fontId="3" fillId="0" borderId="3" xfId="0" applyFont="1" applyBorder="1" applyAlignment="1">
      <alignment horizontal="center"/>
    </xf>
    <xf numFmtId="0" fontId="0" fillId="5" borderId="5" xfId="0" applyFill="1" applyBorder="1" applyAlignment="1">
      <alignment vertical="center"/>
    </xf>
    <xf numFmtId="0" fontId="5" fillId="5" borderId="5" xfId="0" applyFont="1" applyFill="1" applyBorder="1" applyAlignment="1">
      <alignment horizontal="center" vertical="center"/>
    </xf>
    <xf numFmtId="0" fontId="5" fillId="5" borderId="5" xfId="0" applyFont="1" applyFill="1" applyBorder="1" applyAlignment="1">
      <alignment vertical="center"/>
    </xf>
    <xf numFmtId="1" fontId="0" fillId="0" borderId="5" xfId="0" applyNumberFormat="1" applyBorder="1" applyAlignment="1">
      <alignment vertical="center"/>
    </xf>
    <xf numFmtId="15" fontId="0" fillId="0" borderId="5" xfId="0" applyNumberFormat="1" applyBorder="1"/>
    <xf numFmtId="0" fontId="0" fillId="0" borderId="5" xfId="0" applyBorder="1" applyAlignment="1">
      <alignment horizontal="center" vertical="center"/>
    </xf>
    <xf numFmtId="1" fontId="0" fillId="0" borderId="5" xfId="0" applyNumberFormat="1" applyBorder="1"/>
    <xf numFmtId="0" fontId="5" fillId="0" borderId="5" xfId="0" applyFont="1" applyBorder="1" applyAlignment="1">
      <alignment horizontal="center" vertical="center" wrapText="1"/>
    </xf>
    <xf numFmtId="0" fontId="17" fillId="0" borderId="5" xfId="0" applyFont="1" applyBorder="1" applyAlignment="1">
      <alignment horizontal="center" wrapText="1"/>
    </xf>
    <xf numFmtId="0" fontId="18" fillId="0" borderId="5" xfId="0" applyFont="1" applyBorder="1" applyAlignment="1">
      <alignment horizontal="center" vertical="center"/>
    </xf>
    <xf numFmtId="165" fontId="0" fillId="0" borderId="5" xfId="0" applyNumberFormat="1" applyBorder="1" applyAlignment="1">
      <alignment horizontal="center" vertical="center"/>
    </xf>
    <xf numFmtId="0" fontId="0" fillId="0" borderId="5" xfId="0" applyBorder="1" applyAlignment="1">
      <alignment horizontal="center" vertical="center" wrapText="1"/>
    </xf>
    <xf numFmtId="0" fontId="19" fillId="0" borderId="5" xfId="0" applyFont="1" applyBorder="1" applyAlignment="1">
      <alignment horizontal="center" wrapText="1"/>
    </xf>
    <xf numFmtId="165" fontId="18" fillId="0" borderId="5" xfId="0" applyNumberFormat="1" applyFont="1" applyBorder="1" applyAlignment="1">
      <alignment horizontal="center" vertical="center"/>
    </xf>
    <xf numFmtId="0" fontId="5" fillId="5" borderId="15" xfId="0" applyFont="1" applyFill="1" applyBorder="1"/>
    <xf numFmtId="0" fontId="0" fillId="0" borderId="16" xfId="0" applyBorder="1"/>
    <xf numFmtId="0" fontId="8" fillId="3" borderId="4" xfId="0" applyFont="1" applyFill="1" applyBorder="1" applyAlignment="1">
      <alignment horizontal="center" vertical="center"/>
    </xf>
    <xf numFmtId="0" fontId="4" fillId="4" borderId="5" xfId="0" applyFont="1" applyFill="1" applyBorder="1" applyAlignment="1">
      <alignment horizontal="right"/>
    </xf>
    <xf numFmtId="0" fontId="3" fillId="2" borderId="3" xfId="0" applyFont="1" applyFill="1" applyBorder="1"/>
    <xf numFmtId="14" fontId="4" fillId="7" borderId="3" xfId="0" applyNumberFormat="1" applyFont="1" applyFill="1" applyBorder="1"/>
    <xf numFmtId="166" fontId="4" fillId="7" borderId="3" xfId="0" applyNumberFormat="1" applyFont="1" applyFill="1" applyBorder="1"/>
    <xf numFmtId="0" fontId="3" fillId="2" borderId="3" xfId="0" applyFont="1" applyFill="1" applyBorder="1" applyAlignment="1">
      <alignment horizontal="center" vertical="center"/>
    </xf>
    <xf numFmtId="0" fontId="4" fillId="7" borderId="3" xfId="0" applyFont="1" applyFill="1" applyBorder="1" applyAlignment="1">
      <alignment horizontal="center" vertical="center"/>
    </xf>
    <xf numFmtId="1" fontId="4" fillId="7" borderId="3" xfId="0" applyNumberFormat="1" applyFont="1" applyFill="1" applyBorder="1"/>
    <xf numFmtId="2" fontId="4" fillId="7" borderId="3" xfId="0" applyNumberFormat="1" applyFont="1" applyFill="1" applyBorder="1" applyAlignment="1">
      <alignment horizontal="center" vertical="center"/>
    </xf>
    <xf numFmtId="0" fontId="7" fillId="0" borderId="5" xfId="0" applyFont="1" applyBorder="1"/>
    <xf numFmtId="0" fontId="20" fillId="0" borderId="5" xfId="0" applyFont="1" applyBorder="1"/>
    <xf numFmtId="0" fontId="20" fillId="0" borderId="17" xfId="0" applyFont="1" applyBorder="1"/>
    <xf numFmtId="14" fontId="4" fillId="0" borderId="5" xfId="0" applyNumberFormat="1" applyFont="1" applyBorder="1"/>
    <xf numFmtId="0" fontId="22" fillId="0" borderId="0" xfId="0" applyFont="1"/>
    <xf numFmtId="0" fontId="3" fillId="8" borderId="3" xfId="0" applyFont="1" applyFill="1" applyBorder="1"/>
    <xf numFmtId="43" fontId="4" fillId="8" borderId="3" xfId="1" applyFont="1" applyFill="1" applyBorder="1" applyAlignment="1">
      <alignment horizontal="center" vertical="center"/>
    </xf>
    <xf numFmtId="167" fontId="4" fillId="8" borderId="3" xfId="1" applyNumberFormat="1" applyFont="1" applyFill="1" applyBorder="1"/>
    <xf numFmtId="0" fontId="4" fillId="8" borderId="3" xfId="0" applyFont="1" applyFill="1" applyBorder="1"/>
    <xf numFmtId="0" fontId="3" fillId="9" borderId="3" xfId="0" applyFont="1" applyFill="1" applyBorder="1"/>
    <xf numFmtId="0" fontId="4" fillId="10" borderId="3" xfId="0" applyFont="1" applyFill="1" applyBorder="1"/>
    <xf numFmtId="0" fontId="4" fillId="10" borderId="3" xfId="0" applyFont="1" applyFill="1" applyBorder="1" applyAlignment="1">
      <alignment horizontal="center"/>
    </xf>
    <xf numFmtId="0" fontId="23" fillId="0" borderId="5" xfId="0" applyFont="1" applyBorder="1" applyAlignment="1">
      <alignment horizontal="right" indent="1"/>
    </xf>
    <xf numFmtId="0" fontId="5" fillId="5" borderId="5" xfId="0" applyFont="1" applyFill="1" applyBorder="1" applyAlignment="1">
      <alignment horizontal="left" indent="1"/>
    </xf>
    <xf numFmtId="0" fontId="24" fillId="12" borderId="21" xfId="0" applyFont="1" applyFill="1" applyBorder="1" applyAlignment="1">
      <alignment horizontal="center"/>
    </xf>
    <xf numFmtId="0" fontId="24" fillId="12" borderId="5" xfId="0" applyFont="1" applyFill="1" applyBorder="1" applyAlignment="1">
      <alignment horizontal="center"/>
    </xf>
    <xf numFmtId="0" fontId="24" fillId="12" borderId="22" xfId="0" applyFont="1" applyFill="1" applyBorder="1" applyAlignment="1">
      <alignment horizontal="center"/>
    </xf>
    <xf numFmtId="0" fontId="0" fillId="13" borderId="21" xfId="0" applyFill="1" applyBorder="1" applyAlignment="1">
      <alignment horizontal="center"/>
    </xf>
    <xf numFmtId="0" fontId="0" fillId="13" borderId="5" xfId="0" applyFill="1" applyBorder="1" applyAlignment="1">
      <alignment horizontal="center"/>
    </xf>
    <xf numFmtId="0" fontId="0" fillId="0" borderId="22" xfId="0" applyBorder="1"/>
    <xf numFmtId="0" fontId="25" fillId="13" borderId="21" xfId="0" applyFont="1" applyFill="1" applyBorder="1" applyAlignment="1">
      <alignment horizontal="center"/>
    </xf>
    <xf numFmtId="0" fontId="0" fillId="13" borderId="23" xfId="0" applyFill="1" applyBorder="1" applyAlignment="1">
      <alignment horizontal="center"/>
    </xf>
    <xf numFmtId="0" fontId="0" fillId="13" borderId="24" xfId="0" applyFill="1" applyBorder="1" applyAlignment="1">
      <alignment horizontal="center"/>
    </xf>
    <xf numFmtId="0" fontId="0" fillId="0" borderId="27" xfId="0" applyBorder="1"/>
    <xf numFmtId="0" fontId="0" fillId="0" borderId="28" xfId="0" applyBorder="1"/>
    <xf numFmtId="0" fontId="24" fillId="12" borderId="29" xfId="0" applyFont="1" applyFill="1" applyBorder="1" applyAlignment="1">
      <alignment horizontal="center"/>
    </xf>
    <xf numFmtId="0" fontId="24" fillId="12" borderId="0" xfId="0" applyFont="1" applyFill="1" applyAlignment="1">
      <alignment horizontal="center"/>
    </xf>
    <xf numFmtId="0" fontId="24" fillId="12" borderId="30" xfId="0" applyFont="1" applyFill="1" applyBorder="1" applyAlignment="1">
      <alignment horizontal="center"/>
    </xf>
    <xf numFmtId="0" fontId="0" fillId="13" borderId="31" xfId="0" applyFill="1" applyBorder="1" applyAlignment="1">
      <alignment horizontal="center"/>
    </xf>
    <xf numFmtId="0" fontId="0" fillId="11" borderId="32" xfId="0" applyFill="1" applyBorder="1" applyAlignment="1">
      <alignment horizontal="center"/>
    </xf>
    <xf numFmtId="0" fontId="0" fillId="11" borderId="33" xfId="0" applyFill="1" applyBorder="1" applyAlignment="1">
      <alignment horizontal="center"/>
    </xf>
    <xf numFmtId="0" fontId="0" fillId="13" borderId="29" xfId="0" applyFill="1" applyBorder="1" applyAlignment="1">
      <alignment horizontal="center"/>
    </xf>
    <xf numFmtId="0" fontId="0" fillId="11" borderId="17" xfId="0" applyFill="1" applyBorder="1" applyAlignment="1">
      <alignment horizontal="center"/>
    </xf>
    <xf numFmtId="0" fontId="0" fillId="11" borderId="34" xfId="0" applyFill="1" applyBorder="1" applyAlignment="1">
      <alignment horizontal="center"/>
    </xf>
    <xf numFmtId="0" fontId="0" fillId="13" borderId="35" xfId="0" applyFill="1" applyBorder="1" applyAlignment="1">
      <alignment horizontal="center"/>
    </xf>
    <xf numFmtId="0" fontId="0" fillId="11" borderId="36" xfId="0" applyFill="1" applyBorder="1" applyAlignment="1">
      <alignment horizontal="center"/>
    </xf>
    <xf numFmtId="0" fontId="0" fillId="11" borderId="37" xfId="0" applyFill="1" applyBorder="1" applyAlignment="1">
      <alignment horizontal="center"/>
    </xf>
    <xf numFmtId="0" fontId="0" fillId="5" borderId="5" xfId="0" quotePrefix="1" applyFill="1" applyBorder="1"/>
    <xf numFmtId="0" fontId="1" fillId="2" borderId="38" xfId="0" applyFont="1" applyFill="1" applyBorder="1" applyAlignment="1">
      <alignment horizontal="left"/>
    </xf>
    <xf numFmtId="0" fontId="3" fillId="0" borderId="4" xfId="0" applyFont="1" applyBorder="1"/>
    <xf numFmtId="0" fontId="3" fillId="0" borderId="1" xfId="0" applyFont="1" applyBorder="1"/>
    <xf numFmtId="0" fontId="3" fillId="2" borderId="4" xfId="0" applyFont="1" applyFill="1" applyBorder="1"/>
    <xf numFmtId="0" fontId="0" fillId="0" borderId="0" xfId="0" quotePrefix="1"/>
    <xf numFmtId="0" fontId="4" fillId="0" borderId="38" xfId="0" applyFont="1" applyBorder="1"/>
    <xf numFmtId="6" fontId="4" fillId="0" borderId="4" xfId="0" applyNumberFormat="1" applyFont="1" applyBorder="1"/>
    <xf numFmtId="6" fontId="4" fillId="0" borderId="3" xfId="0" applyNumberFormat="1" applyFont="1" applyBorder="1"/>
    <xf numFmtId="0" fontId="26" fillId="14" borderId="5" xfId="0" applyFont="1" applyFill="1" applyBorder="1"/>
    <xf numFmtId="0" fontId="26" fillId="14" borderId="5" xfId="0" applyFont="1" applyFill="1" applyBorder="1" applyAlignment="1">
      <alignment horizontal="right"/>
    </xf>
    <xf numFmtId="168" fontId="4" fillId="0" borderId="5" xfId="0" applyNumberFormat="1" applyFont="1" applyBorder="1"/>
    <xf numFmtId="9" fontId="4" fillId="0" borderId="5" xfId="0" applyNumberFormat="1" applyFont="1" applyBorder="1"/>
    <xf numFmtId="4" fontId="4" fillId="0" borderId="5" xfId="0" applyNumberFormat="1" applyFont="1" applyBorder="1"/>
    <xf numFmtId="0" fontId="1" fillId="0" borderId="0" xfId="0" applyFont="1"/>
    <xf numFmtId="0" fontId="7" fillId="0" borderId="0" xfId="0" applyFont="1"/>
    <xf numFmtId="0" fontId="26" fillId="15" borderId="39" xfId="0" applyFont="1" applyFill="1" applyBorder="1"/>
    <xf numFmtId="0" fontId="4" fillId="16" borderId="39" xfId="0" applyFont="1" applyFill="1" applyBorder="1"/>
    <xf numFmtId="0" fontId="4" fillId="0" borderId="39" xfId="0" applyFont="1" applyBorder="1"/>
    <xf numFmtId="2" fontId="0" fillId="0" borderId="0" xfId="0" applyNumberFormat="1"/>
    <xf numFmtId="8" fontId="0" fillId="0" borderId="5" xfId="0" applyNumberFormat="1" applyBorder="1"/>
    <xf numFmtId="0" fontId="27" fillId="0" borderId="40" xfId="0" applyFont="1" applyBorder="1" applyAlignment="1">
      <alignment horizontal="left" vertical="center"/>
    </xf>
    <xf numFmtId="0" fontId="27" fillId="0" borderId="40" xfId="0" applyFont="1" applyBorder="1" applyAlignment="1">
      <alignment horizontal="center" vertical="center" wrapText="1"/>
    </xf>
    <xf numFmtId="0" fontId="28" fillId="0" borderId="41" xfId="0" applyFont="1" applyBorder="1" applyAlignment="1">
      <alignment horizontal="center" vertical="center" wrapText="1"/>
    </xf>
    <xf numFmtId="0" fontId="29" fillId="0" borderId="0" xfId="0" applyFont="1" applyProtection="1">
      <protection locked="0"/>
    </xf>
    <xf numFmtId="0" fontId="29" fillId="0" borderId="0" xfId="0" applyFont="1" applyAlignment="1" applyProtection="1">
      <alignment horizontal="right"/>
      <protection locked="0"/>
    </xf>
    <xf numFmtId="15" fontId="29" fillId="0" borderId="0" xfId="0" applyNumberFormat="1" applyFont="1" applyAlignment="1" applyProtection="1">
      <alignment horizontal="right"/>
      <protection locked="0"/>
    </xf>
    <xf numFmtId="1" fontId="29" fillId="0" borderId="0" xfId="0" applyNumberFormat="1" applyFont="1" applyAlignment="1">
      <alignment horizontal="center"/>
    </xf>
    <xf numFmtId="0" fontId="29" fillId="0" borderId="42" xfId="0" applyFont="1" applyBorder="1" applyProtection="1">
      <protection locked="0"/>
    </xf>
    <xf numFmtId="0" fontId="29" fillId="0" borderId="42" xfId="0" applyFont="1" applyBorder="1" applyAlignment="1" applyProtection="1">
      <alignment horizontal="right"/>
      <protection locked="0"/>
    </xf>
    <xf numFmtId="169" fontId="29" fillId="0" borderId="42" xfId="0" applyNumberFormat="1" applyFont="1" applyBorder="1" applyAlignment="1" applyProtection="1">
      <alignment horizontal="right"/>
      <protection locked="0"/>
    </xf>
    <xf numFmtId="15" fontId="29" fillId="0" borderId="42" xfId="0" applyNumberFormat="1" applyFont="1" applyBorder="1" applyAlignment="1" applyProtection="1">
      <alignment horizontal="right"/>
      <protection locked="0"/>
    </xf>
    <xf numFmtId="0" fontId="31" fillId="18" borderId="5" xfId="0" applyFont="1" applyFill="1" applyBorder="1" applyAlignment="1">
      <alignment horizontal="center" vertical="center"/>
    </xf>
    <xf numFmtId="14" fontId="0" fillId="0" borderId="5" xfId="0" applyNumberFormat="1" applyBorder="1"/>
    <xf numFmtId="0" fontId="32" fillId="18" borderId="5" xfId="0" applyFont="1" applyFill="1" applyBorder="1" applyAlignment="1">
      <alignment horizontal="center"/>
    </xf>
    <xf numFmtId="0" fontId="33" fillId="0" borderId="32" xfId="2" applyFont="1" applyBorder="1"/>
    <xf numFmtId="0" fontId="33" fillId="0" borderId="46" xfId="2" applyFont="1" applyBorder="1"/>
    <xf numFmtId="0" fontId="33" fillId="0" borderId="17" xfId="2" applyFont="1" applyBorder="1"/>
    <xf numFmtId="0" fontId="33" fillId="0" borderId="47" xfId="2" applyFont="1" applyBorder="1"/>
    <xf numFmtId="0" fontId="33" fillId="0" borderId="48" xfId="2" applyFont="1" applyBorder="1"/>
    <xf numFmtId="0" fontId="33" fillId="0" borderId="49" xfId="2" applyFont="1" applyBorder="1"/>
    <xf numFmtId="0" fontId="37" fillId="20" borderId="5" xfId="0" applyFont="1" applyFill="1" applyBorder="1"/>
    <xf numFmtId="170" fontId="38" fillId="20" borderId="7" xfId="0" applyNumberFormat="1" applyFont="1" applyFill="1" applyBorder="1" applyAlignment="1">
      <alignment horizontal="left"/>
    </xf>
    <xf numFmtId="0" fontId="38" fillId="20" borderId="32" xfId="0" applyFont="1" applyFill="1" applyBorder="1"/>
    <xf numFmtId="14" fontId="38" fillId="20" borderId="7" xfId="0" applyNumberFormat="1" applyFont="1" applyFill="1" applyBorder="1" applyAlignment="1">
      <alignment horizontal="left"/>
    </xf>
    <xf numFmtId="0" fontId="37" fillId="20" borderId="17" xfId="0" applyFont="1" applyFill="1" applyBorder="1"/>
    <xf numFmtId="0" fontId="38" fillId="20" borderId="7" xfId="0" applyFont="1" applyFill="1" applyBorder="1" applyAlignment="1">
      <alignment horizontal="left"/>
    </xf>
    <xf numFmtId="0" fontId="38" fillId="20" borderId="48" xfId="0" applyFont="1" applyFill="1" applyBorder="1"/>
    <xf numFmtId="0" fontId="37" fillId="21" borderId="5" xfId="0" applyFont="1" applyFill="1" applyBorder="1" applyAlignment="1">
      <alignment horizontal="center"/>
    </xf>
    <xf numFmtId="0" fontId="37" fillId="21" borderId="48" xfId="0" applyFont="1" applyFill="1" applyBorder="1" applyAlignment="1">
      <alignment horizontal="center"/>
    </xf>
    <xf numFmtId="0" fontId="0" fillId="0" borderId="48" xfId="0" applyBorder="1" applyAlignment="1">
      <alignment horizontal="center"/>
    </xf>
    <xf numFmtId="0" fontId="0" fillId="0" borderId="48" xfId="0" applyBorder="1" applyAlignment="1">
      <alignment horizontal="left"/>
    </xf>
    <xf numFmtId="0" fontId="0" fillId="0" borderId="48" xfId="0" applyBorder="1" applyAlignment="1">
      <alignment horizontal="right"/>
    </xf>
    <xf numFmtId="0" fontId="0" fillId="22" borderId="53" xfId="0" applyFill="1" applyBorder="1"/>
    <xf numFmtId="0" fontId="0" fillId="22" borderId="46" xfId="0" applyFill="1" applyBorder="1"/>
    <xf numFmtId="0" fontId="39" fillId="22" borderId="5" xfId="0" applyFont="1" applyFill="1" applyBorder="1" applyAlignment="1">
      <alignment horizontal="right"/>
    </xf>
    <xf numFmtId="0" fontId="0" fillId="22" borderId="55" xfId="0" applyFill="1" applyBorder="1"/>
    <xf numFmtId="0" fontId="0" fillId="22" borderId="47" xfId="0" applyFill="1" applyBorder="1"/>
    <xf numFmtId="0" fontId="0" fillId="22" borderId="56" xfId="0" applyFill="1" applyBorder="1"/>
    <xf numFmtId="0" fontId="0" fillId="22" borderId="49" xfId="0" applyFill="1" applyBorder="1"/>
    <xf numFmtId="0" fontId="40" fillId="23" borderId="5" xfId="0" applyFont="1" applyFill="1" applyBorder="1" applyAlignment="1">
      <alignment horizontal="right"/>
    </xf>
    <xf numFmtId="0" fontId="41" fillId="18" borderId="5" xfId="0" applyFont="1" applyFill="1" applyBorder="1"/>
    <xf numFmtId="0" fontId="33" fillId="0" borderId="5" xfId="0" applyFont="1" applyBorder="1"/>
    <xf numFmtId="0" fontId="0" fillId="0" borderId="53" xfId="0" applyBorder="1"/>
    <xf numFmtId="0" fontId="0" fillId="0" borderId="55" xfId="0" applyBorder="1"/>
    <xf numFmtId="0" fontId="0" fillId="0" borderId="56" xfId="0" applyBorder="1"/>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0" xfId="0" applyFont="1" applyFill="1" applyAlignment="1">
      <alignment horizontal="center"/>
    </xf>
    <xf numFmtId="0" fontId="1" fillId="2" borderId="1" xfId="0" applyFont="1" applyFill="1" applyBorder="1" applyAlignment="1">
      <alignment horizontal="center"/>
    </xf>
    <xf numFmtId="0" fontId="2" fillId="0" borderId="2" xfId="0" applyFont="1" applyBorder="1"/>
    <xf numFmtId="0" fontId="6" fillId="0" borderId="0" xfId="0" applyFont="1" applyAlignment="1">
      <alignment horizontal="left"/>
    </xf>
    <xf numFmtId="0" fontId="1" fillId="0" borderId="0" xfId="0" applyFont="1" applyAlignment="1">
      <alignment horizontal="center"/>
    </xf>
    <xf numFmtId="0" fontId="15" fillId="0" borderId="0" xfId="0" applyFont="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22" fillId="0" borderId="0" xfId="0" applyFont="1" applyAlignment="1">
      <alignment horizontal="left"/>
    </xf>
    <xf numFmtId="0" fontId="21" fillId="0" borderId="0" xfId="0" applyFont="1" applyAlignment="1">
      <alignment horizontal="left"/>
    </xf>
    <xf numFmtId="0" fontId="1" fillId="0" borderId="5" xfId="0" applyFont="1" applyBorder="1" applyAlignment="1">
      <alignment horizontal="center"/>
    </xf>
    <xf numFmtId="0" fontId="23" fillId="0" borderId="0" xfId="0" applyFont="1" applyAlignment="1">
      <alignment horizontal="left"/>
    </xf>
    <xf numFmtId="0" fontId="23" fillId="0" borderId="0" xfId="0" applyFont="1" applyAlignment="1">
      <alignment horizontal="left" vertical="top" wrapText="1"/>
    </xf>
    <xf numFmtId="0" fontId="0" fillId="11" borderId="18" xfId="0" applyFill="1" applyBorder="1" applyAlignment="1">
      <alignment horizontal="center" vertical="center"/>
    </xf>
    <xf numFmtId="0" fontId="0" fillId="11" borderId="19" xfId="0" applyFill="1" applyBorder="1" applyAlignment="1">
      <alignment horizontal="center" vertical="center"/>
    </xf>
    <xf numFmtId="0" fontId="0" fillId="11" borderId="20" xfId="0" applyFill="1" applyBorder="1" applyAlignment="1">
      <alignment horizontal="center" vertical="center"/>
    </xf>
    <xf numFmtId="0" fontId="0" fillId="6" borderId="25" xfId="0" applyFill="1" applyBorder="1" applyAlignment="1">
      <alignment horizontal="center" vertical="center"/>
    </xf>
    <xf numFmtId="0" fontId="0" fillId="6" borderId="26" xfId="0" applyFill="1" applyBorder="1" applyAlignment="1">
      <alignment horizontal="center" vertical="center"/>
    </xf>
    <xf numFmtId="0" fontId="25" fillId="0" borderId="29" xfId="2" applyBorder="1" applyAlignment="1">
      <alignment horizontal="left"/>
    </xf>
    <xf numFmtId="0" fontId="25" fillId="0" borderId="0" xfId="2" applyAlignment="1">
      <alignment horizontal="left"/>
    </xf>
    <xf numFmtId="0" fontId="25" fillId="0" borderId="30" xfId="2" applyBorder="1" applyAlignment="1">
      <alignment horizontal="left"/>
    </xf>
    <xf numFmtId="0" fontId="25" fillId="0" borderId="35" xfId="2" applyBorder="1" applyAlignment="1">
      <alignment horizontal="left"/>
    </xf>
    <xf numFmtId="0" fontId="25" fillId="0" borderId="51" xfId="2" applyBorder="1" applyAlignment="1">
      <alignment horizontal="left"/>
    </xf>
    <xf numFmtId="0" fontId="25" fillId="0" borderId="52" xfId="2" applyBorder="1" applyAlignment="1">
      <alignment horizontal="left"/>
    </xf>
    <xf numFmtId="0" fontId="30" fillId="17" borderId="5" xfId="2" applyFont="1" applyFill="1" applyBorder="1" applyAlignment="1">
      <alignment horizontal="center" vertical="center"/>
    </xf>
    <xf numFmtId="0" fontId="30" fillId="17" borderId="18" xfId="2" applyFont="1" applyFill="1" applyBorder="1" applyAlignment="1">
      <alignment horizontal="center"/>
    </xf>
    <xf numFmtId="0" fontId="30" fillId="17" borderId="19" xfId="2" applyFont="1" applyFill="1" applyBorder="1" applyAlignment="1">
      <alignment horizontal="center"/>
    </xf>
    <xf numFmtId="0" fontId="30" fillId="17" borderId="20" xfId="2" applyFont="1" applyFill="1" applyBorder="1" applyAlignment="1">
      <alignment horizontal="center"/>
    </xf>
    <xf numFmtId="0" fontId="15" fillId="0" borderId="43" xfId="2" applyFont="1" applyBorder="1" applyAlignment="1">
      <alignment horizontal="left" vertical="center" wrapText="1"/>
    </xf>
    <xf numFmtId="0" fontId="15" fillId="0" borderId="44" xfId="2" applyFont="1" applyBorder="1" applyAlignment="1">
      <alignment horizontal="left" vertical="center" wrapText="1"/>
    </xf>
    <xf numFmtId="0" fontId="15" fillId="0" borderId="45" xfId="2" applyFont="1" applyBorder="1" applyAlignment="1">
      <alignment horizontal="left" vertical="center" wrapText="1"/>
    </xf>
    <xf numFmtId="0" fontId="25" fillId="0" borderId="50" xfId="2" applyBorder="1" applyAlignment="1">
      <alignment horizontal="left"/>
    </xf>
    <xf numFmtId="0" fontId="25" fillId="0" borderId="27" xfId="2" applyBorder="1" applyAlignment="1">
      <alignment horizontal="left"/>
    </xf>
    <xf numFmtId="0" fontId="25" fillId="0" borderId="28" xfId="2" applyBorder="1" applyAlignment="1">
      <alignment horizontal="left"/>
    </xf>
    <xf numFmtId="0" fontId="0" fillId="0" borderId="41" xfId="0" applyBorder="1" applyAlignment="1">
      <alignment horizontal="left"/>
    </xf>
    <xf numFmtId="0" fontId="0" fillId="0" borderId="49" xfId="0" applyBorder="1" applyAlignment="1">
      <alignment horizontal="left"/>
    </xf>
    <xf numFmtId="0" fontId="37" fillId="22" borderId="9" xfId="0" applyFont="1" applyFill="1" applyBorder="1" applyAlignment="1">
      <alignment horizontal="left"/>
    </xf>
    <xf numFmtId="0" fontId="37" fillId="22" borderId="5" xfId="0" applyFont="1" applyFill="1" applyBorder="1" applyAlignment="1">
      <alignment horizontal="left"/>
    </xf>
    <xf numFmtId="0" fontId="40" fillId="23" borderId="9" xfId="0" applyFont="1" applyFill="1" applyBorder="1" applyAlignment="1">
      <alignment horizontal="left"/>
    </xf>
    <xf numFmtId="0" fontId="40" fillId="23" borderId="5" xfId="0" applyFont="1" applyFill="1" applyBorder="1" applyAlignment="1">
      <alignment horizontal="left"/>
    </xf>
    <xf numFmtId="0" fontId="0" fillId="0" borderId="53" xfId="0" applyBorder="1" applyAlignment="1">
      <alignment horizontal="left" wrapText="1"/>
    </xf>
    <xf numFmtId="0" fontId="0" fillId="0" borderId="54" xfId="0" applyBorder="1" applyAlignment="1">
      <alignment horizontal="left" wrapText="1"/>
    </xf>
    <xf numFmtId="0" fontId="0" fillId="0" borderId="46" xfId="0" applyBorder="1" applyAlignment="1">
      <alignment horizontal="left" wrapText="1"/>
    </xf>
    <xf numFmtId="0" fontId="0" fillId="0" borderId="56" xfId="0" applyBorder="1" applyAlignment="1">
      <alignment horizontal="left" wrapText="1"/>
    </xf>
    <xf numFmtId="0" fontId="0" fillId="0" borderId="41" xfId="0" applyBorder="1" applyAlignment="1">
      <alignment horizontal="left" wrapText="1"/>
    </xf>
    <xf numFmtId="0" fontId="0" fillId="0" borderId="49" xfId="0" applyBorder="1" applyAlignment="1">
      <alignment horizontal="left" wrapText="1"/>
    </xf>
    <xf numFmtId="0" fontId="42" fillId="0" borderId="0" xfId="0" applyFont="1" applyAlignment="1">
      <alignment horizontal="left"/>
    </xf>
    <xf numFmtId="0" fontId="0" fillId="0" borderId="54" xfId="0" quotePrefix="1" applyBorder="1" applyAlignment="1">
      <alignment horizontal="left"/>
    </xf>
    <xf numFmtId="0" fontId="0" fillId="0" borderId="46" xfId="0" quotePrefix="1" applyBorder="1" applyAlignment="1">
      <alignment horizontal="left"/>
    </xf>
    <xf numFmtId="0" fontId="0" fillId="0" borderId="0" xfId="0" applyAlignment="1">
      <alignment horizontal="left"/>
    </xf>
    <xf numFmtId="0" fontId="0" fillId="0" borderId="47" xfId="0" applyBorder="1" applyAlignment="1">
      <alignment horizontal="left"/>
    </xf>
    <xf numFmtId="0" fontId="0" fillId="0" borderId="0" xfId="0" applyAlignment="1">
      <alignment horizontal="left" vertical="top"/>
    </xf>
    <xf numFmtId="0" fontId="0" fillId="0" borderId="47" xfId="0" applyBorder="1" applyAlignment="1">
      <alignment horizontal="left" vertical="top"/>
    </xf>
    <xf numFmtId="0" fontId="34" fillId="19" borderId="53" xfId="0" applyFont="1" applyFill="1" applyBorder="1" applyAlignment="1">
      <alignment horizontal="center"/>
    </xf>
    <xf numFmtId="0" fontId="34" fillId="19" borderId="54" xfId="0" applyFont="1" applyFill="1" applyBorder="1" applyAlignment="1">
      <alignment horizontal="center"/>
    </xf>
    <xf numFmtId="0" fontId="34" fillId="19" borderId="46" xfId="0" applyFont="1" applyFill="1" applyBorder="1" applyAlignment="1">
      <alignment horizontal="center"/>
    </xf>
    <xf numFmtId="0" fontId="35" fillId="18" borderId="55" xfId="0" applyFont="1" applyFill="1" applyBorder="1" applyAlignment="1">
      <alignment horizontal="center"/>
    </xf>
    <xf numFmtId="0" fontId="35" fillId="18" borderId="0" xfId="0" applyFont="1" applyFill="1" applyAlignment="1">
      <alignment horizontal="center"/>
    </xf>
    <xf numFmtId="0" fontId="35" fillId="18" borderId="47" xfId="0" applyFont="1" applyFill="1" applyBorder="1" applyAlignment="1">
      <alignment horizontal="center"/>
    </xf>
    <xf numFmtId="0" fontId="36" fillId="18" borderId="56" xfId="0" applyFont="1" applyFill="1" applyBorder="1" applyAlignment="1">
      <alignment horizontal="center"/>
    </xf>
    <xf numFmtId="0" fontId="36" fillId="18" borderId="41" xfId="0" applyFont="1" applyFill="1" applyBorder="1" applyAlignment="1">
      <alignment horizontal="center"/>
    </xf>
    <xf numFmtId="0" fontId="36" fillId="18" borderId="0" xfId="0" applyFont="1" applyFill="1" applyAlignment="1">
      <alignment horizontal="center"/>
    </xf>
    <xf numFmtId="0" fontId="36" fillId="18" borderId="49" xfId="0" applyFont="1" applyFill="1" applyBorder="1" applyAlignment="1">
      <alignment horizontal="center"/>
    </xf>
    <xf numFmtId="0" fontId="38" fillId="20" borderId="54" xfId="0" applyFont="1" applyFill="1" applyBorder="1" applyAlignment="1">
      <alignment horizontal="center" vertical="center"/>
    </xf>
    <xf numFmtId="0" fontId="38" fillId="20" borderId="46" xfId="0" applyFont="1" applyFill="1" applyBorder="1" applyAlignment="1">
      <alignment horizontal="center" vertical="center"/>
    </xf>
    <xf numFmtId="0" fontId="38" fillId="20" borderId="0" xfId="0" applyFont="1" applyFill="1" applyAlignment="1">
      <alignment horizontal="center" vertical="center"/>
    </xf>
    <xf numFmtId="0" fontId="38" fillId="20" borderId="47" xfId="0" applyFont="1" applyFill="1" applyBorder="1" applyAlignment="1">
      <alignment horizontal="center" vertical="center"/>
    </xf>
    <xf numFmtId="0" fontId="38" fillId="20" borderId="41" xfId="0" applyFont="1" applyFill="1" applyBorder="1" applyAlignment="1">
      <alignment horizontal="center" vertical="center"/>
    </xf>
    <xf numFmtId="0" fontId="38" fillId="20" borderId="49" xfId="0" applyFont="1" applyFill="1" applyBorder="1" applyAlignment="1">
      <alignment horizontal="center" vertical="center"/>
    </xf>
  </cellXfs>
  <cellStyles count="3">
    <cellStyle name="Comma" xfId="1" builtinId="3"/>
    <cellStyle name="Normal" xfId="0" builtinId="0"/>
    <cellStyle name="Normal 2" xfId="2" xr:uid="{EF71594D-549B-42B3-848E-CF9A1394DAC7}"/>
  </cellStyles>
  <dxfs count="11">
    <dxf>
      <fill>
        <patternFill>
          <bgColor theme="4" tint="0.39994506668294322"/>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9" tint="-0.24994659260841701"/>
        </patternFill>
      </fill>
    </dxf>
    <dxf>
      <fill>
        <patternFill>
          <bgColor theme="9" tint="-0.24994659260841701"/>
        </patternFill>
      </fill>
    </dxf>
    <dxf>
      <fill>
        <patternFill>
          <bgColor rgb="FFFF0000"/>
        </patternFill>
      </fill>
    </dxf>
    <dxf>
      <font>
        <color theme="0"/>
      </font>
      <fill>
        <patternFill patternType="solid">
          <fgColor rgb="FFFF0000"/>
          <bgColor rgb="FFFF0000"/>
        </patternFill>
      </fill>
    </dxf>
  </dxfs>
  <tableStyles count="1" defaultTableStyle="TableStyleMedium2" defaultPivotStyle="PivotStyleLight16">
    <tableStyle name="Invisible" pivot="0" table="0" count="0" xr9:uid="{7EEED74E-581D-4831-83CB-C23C4A0D14D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800" b="0"/>
              <a:t>Revenue'000</a:t>
            </a:r>
          </a:p>
        </c:rich>
      </c:tx>
      <c:layout>
        <c:manualLayout>
          <c:xMode val="edge"/>
          <c:yMode val="edge"/>
          <c:x val="0.38308373873647961"/>
          <c:y val="3.3840947546531303E-2"/>
        </c:manualLayout>
      </c:layout>
      <c:overlay val="0"/>
      <c:spPr>
        <a:noFill/>
        <a:ln>
          <a:noFill/>
        </a:ln>
        <a:effectLst/>
      </c:spPr>
    </c:title>
    <c:autoTitleDeleted val="0"/>
    <c:plotArea>
      <c:layout>
        <c:manualLayout>
          <c:layoutTarget val="inner"/>
          <c:xMode val="edge"/>
          <c:yMode val="edge"/>
          <c:x val="3.0014878713409233E-2"/>
          <c:y val="0.13468013468013468"/>
          <c:w val="0.95756678711754217"/>
          <c:h val="0.75471566054243222"/>
        </c:manualLayout>
      </c:layout>
      <c:lineChart>
        <c:grouping val="standard"/>
        <c:varyColors val="0"/>
        <c:ser>
          <c:idx val="0"/>
          <c:order val="0"/>
          <c:spPr>
            <a:ln w="9525" cap="rnd">
              <a:solidFill>
                <a:schemeClr val="accent1"/>
              </a:solidFill>
              <a:round/>
            </a:ln>
            <a:effectLst/>
          </c:spPr>
          <c:marker>
            <c:symbol val="diamond"/>
            <c:size val="6"/>
            <c:spPr>
              <a:solidFill>
                <a:schemeClr val="accent4"/>
              </a:solidFill>
              <a:ln w="9525">
                <a:solidFill>
                  <a:schemeClr val="accent1"/>
                </a:solidFill>
                <a:round/>
              </a:ln>
              <a:effectLst/>
            </c:spPr>
          </c:marker>
          <c:dPt>
            <c:idx val="7"/>
            <c:marker>
              <c:spPr>
                <a:solidFill>
                  <a:schemeClr val="accent4"/>
                </a:solidFill>
                <a:ln w="9525">
                  <a:solidFill>
                    <a:schemeClr val="accent1"/>
                  </a:solidFill>
                  <a:round/>
                </a:ln>
                <a:effectLst>
                  <a:outerShdw blurRad="50800" dist="50800" dir="5400000" algn="ctr" rotWithShape="0">
                    <a:schemeClr val="bg1"/>
                  </a:outerShdw>
                </a:effectLst>
              </c:spPr>
            </c:marker>
            <c:bubble3D val="0"/>
            <c:spPr>
              <a:ln w="9525" cap="rnd">
                <a:solidFill>
                  <a:schemeClr val="accent1"/>
                </a:solidFill>
                <a:round/>
              </a:ln>
              <a:effectLst>
                <a:outerShdw blurRad="50800" dist="50800" dir="5400000" algn="ctr" rotWithShape="0">
                  <a:schemeClr val="bg1"/>
                </a:outerShdw>
              </a:effectLst>
            </c:spPr>
            <c:extLst>
              <c:ext xmlns:c16="http://schemas.microsoft.com/office/drawing/2014/chart" uri="{C3380CC4-5D6E-409C-BE32-E72D297353CC}">
                <c16:uniqueId val="{00000001-DD33-4E7B-95E0-67E446015986}"/>
              </c:ext>
            </c:extLst>
          </c:dPt>
          <c:dPt>
            <c:idx val="9"/>
            <c:bubble3D val="0"/>
            <c:spPr>
              <a:ln w="9525" cap="rnd">
                <a:solidFill>
                  <a:schemeClr val="accent1"/>
                </a:solidFill>
                <a:round/>
              </a:ln>
              <a:effectLst/>
            </c:spPr>
            <c:extLst>
              <c:ext xmlns:c16="http://schemas.microsoft.com/office/drawing/2014/chart" uri="{C3380CC4-5D6E-409C-BE32-E72D297353CC}">
                <c16:uniqueId val="{00000003-DD33-4E7B-95E0-67E446015986}"/>
              </c:ext>
            </c:extLst>
          </c:dPt>
          <c:dPt>
            <c:idx val="13"/>
            <c:bubble3D val="0"/>
            <c:spPr>
              <a:ln w="9525" cap="rnd">
                <a:solidFill>
                  <a:schemeClr val="accent1"/>
                </a:solidFill>
                <a:round/>
              </a:ln>
              <a:effectLst/>
            </c:spPr>
            <c:extLst>
              <c:ext xmlns:c16="http://schemas.microsoft.com/office/drawing/2014/chart" uri="{C3380CC4-5D6E-409C-BE32-E72D297353CC}">
                <c16:uniqueId val="{00000005-DD33-4E7B-95E0-67E446015986}"/>
              </c:ext>
            </c:extLst>
          </c:dPt>
          <c:dPt>
            <c:idx val="14"/>
            <c:bubble3D val="0"/>
            <c:spPr>
              <a:ln w="9525" cap="rnd">
                <a:solidFill>
                  <a:schemeClr val="accent1"/>
                </a:solidFill>
                <a:round/>
              </a:ln>
              <a:effectLst/>
            </c:spPr>
            <c:extLst>
              <c:ext xmlns:c16="http://schemas.microsoft.com/office/drawing/2014/chart" uri="{C3380CC4-5D6E-409C-BE32-E72D297353CC}">
                <c16:uniqueId val="{00000007-DD33-4E7B-95E0-67E446015986}"/>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tx1">
                          <a:lumMod val="35000"/>
                          <a:lumOff val="65000"/>
                        </a:schemeClr>
                      </a:solidFill>
                    </a:ln>
                    <a:effectLst/>
                  </c:spPr>
                </c15:leaderLines>
              </c:ext>
            </c:extLst>
          </c:dLbls>
          <c:val>
            <c:numRef>
              <c:f>[2]Charts1!$C$6:$C$20</c:f>
              <c:numCache>
                <c:formatCode>General</c:formatCode>
                <c:ptCount val="15"/>
                <c:pt idx="0">
                  <c:v>2156</c:v>
                </c:pt>
                <c:pt idx="1">
                  <c:v>3562</c:v>
                </c:pt>
                <c:pt idx="2">
                  <c:v>7506</c:v>
                </c:pt>
                <c:pt idx="3">
                  <c:v>6258</c:v>
                </c:pt>
                <c:pt idx="4">
                  <c:v>6279</c:v>
                </c:pt>
                <c:pt idx="5">
                  <c:v>1963</c:v>
                </c:pt>
                <c:pt idx="6">
                  <c:v>6736</c:v>
                </c:pt>
                <c:pt idx="7">
                  <c:v>3280</c:v>
                </c:pt>
                <c:pt idx="8">
                  <c:v>8398</c:v>
                </c:pt>
                <c:pt idx="9">
                  <c:v>2882</c:v>
                </c:pt>
                <c:pt idx="10">
                  <c:v>4686</c:v>
                </c:pt>
                <c:pt idx="11">
                  <c:v>6976</c:v>
                </c:pt>
                <c:pt idx="12">
                  <c:v>2173</c:v>
                </c:pt>
                <c:pt idx="13">
                  <c:v>2166</c:v>
                </c:pt>
                <c:pt idx="14">
                  <c:v>8418</c:v>
                </c:pt>
              </c:numCache>
            </c:numRef>
          </c:val>
          <c:smooth val="0"/>
          <c:extLst>
            <c:ext xmlns:c15="http://schemas.microsoft.com/office/drawing/2012/chart" uri="{02D57815-91ED-43cb-92C2-25804820EDAC}">
              <c15:filteredCategoryTitle>
                <c15:cat>
                  <c:numRef>
                    <c:extLst>
                      <c:ext uri="{02D57815-91ED-43cb-92C2-25804820EDAC}">
                        <c15:formulaRef>
                          <c15:sqref>[2]Charts1!$B$6:$B$20</c15:sqref>
                        </c15:formulaRef>
                      </c:ext>
                    </c:extLst>
                    <c:numCache>
                      <c:formatCode>General</c:formatCode>
                      <c:ptCount val="1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numCache>
                  </c:numRef>
                </c15:cat>
              </c15:filteredCategoryTitle>
            </c:ext>
            <c:ext xmlns:c16="http://schemas.microsoft.com/office/drawing/2014/chart" uri="{C3380CC4-5D6E-409C-BE32-E72D297353CC}">
              <c16:uniqueId val="{00000008-DD33-4E7B-95E0-67E446015986}"/>
            </c:ext>
          </c:extLst>
        </c:ser>
        <c:dLbls>
          <c:dLblPos val="t"/>
          <c:showLegendKey val="0"/>
          <c:showVal val="1"/>
          <c:showCatName val="0"/>
          <c:showSerName val="0"/>
          <c:showPercent val="0"/>
          <c:showBubbleSize val="0"/>
        </c:dLbls>
        <c:marker val="1"/>
        <c:smooth val="0"/>
        <c:axId val="670593096"/>
        <c:axId val="670593456"/>
      </c:lineChart>
      <c:catAx>
        <c:axId val="670593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cap="all" spc="120" normalizeH="0" baseline="0">
                <a:solidFill>
                  <a:schemeClr val="tx1">
                    <a:lumMod val="65000"/>
                    <a:lumOff val="35000"/>
                  </a:schemeClr>
                </a:solidFill>
                <a:latin typeface="+mn-lt"/>
                <a:ea typeface="+mn-ea"/>
                <a:cs typeface="+mn-cs"/>
              </a:defRPr>
            </a:pPr>
            <a:endParaRPr lang="en-US"/>
          </a:p>
        </c:txPr>
        <c:crossAx val="670593456"/>
        <c:crosses val="autoZero"/>
        <c:auto val="1"/>
        <c:lblAlgn val="ctr"/>
        <c:lblOffset val="100"/>
        <c:noMultiLvlLbl val="0"/>
      </c:catAx>
      <c:valAx>
        <c:axId val="670593456"/>
        <c:scaling>
          <c:orientation val="minMax"/>
        </c:scaling>
        <c:delete val="1"/>
        <c:axPos val="l"/>
        <c:numFmt formatCode="General" sourceLinked="1"/>
        <c:majorTickMark val="none"/>
        <c:minorTickMark val="none"/>
        <c:tickLblPos val="nextTo"/>
        <c:crossAx val="670593096"/>
        <c:crosses val="autoZero"/>
        <c:crossBetween val="between"/>
      </c:valAx>
      <c:spPr>
        <a:solidFill>
          <a:schemeClr val="accent4">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1995D"/>
            </a:solidFill>
            <a:ln>
              <a:noFill/>
            </a:ln>
            <a:effectLst/>
          </c:spPr>
          <c:invertIfNegative val="0"/>
          <c:val>
            <c:numRef>
              <c:f>[2]Charts2!$C$6:$C$23</c:f>
              <c:numCache>
                <c:formatCode>General</c:formatCode>
                <c:ptCount val="18"/>
                <c:pt idx="0">
                  <c:v>528</c:v>
                </c:pt>
                <c:pt idx="1">
                  <c:v>4550</c:v>
                </c:pt>
                <c:pt idx="2">
                  <c:v>8189</c:v>
                </c:pt>
                <c:pt idx="3">
                  <c:v>1730</c:v>
                </c:pt>
                <c:pt idx="4">
                  <c:v>5262</c:v>
                </c:pt>
                <c:pt idx="5">
                  <c:v>2172</c:v>
                </c:pt>
                <c:pt idx="6">
                  <c:v>4384</c:v>
                </c:pt>
                <c:pt idx="7">
                  <c:v>8709</c:v>
                </c:pt>
                <c:pt idx="8">
                  <c:v>3618</c:v>
                </c:pt>
                <c:pt idx="9">
                  <c:v>6372</c:v>
                </c:pt>
                <c:pt idx="10">
                  <c:v>3456</c:v>
                </c:pt>
                <c:pt idx="11">
                  <c:v>7478</c:v>
                </c:pt>
                <c:pt idx="12">
                  <c:v>4649</c:v>
                </c:pt>
                <c:pt idx="13">
                  <c:v>5831</c:v>
                </c:pt>
                <c:pt idx="14">
                  <c:v>1599</c:v>
                </c:pt>
                <c:pt idx="15">
                  <c:v>3695</c:v>
                </c:pt>
                <c:pt idx="16">
                  <c:v>1678</c:v>
                </c:pt>
                <c:pt idx="17">
                  <c:v>3490</c:v>
                </c:pt>
              </c:numCache>
            </c:numRef>
          </c:val>
          <c:extLst>
            <c:ext xmlns:c15="http://schemas.microsoft.com/office/drawing/2012/chart" uri="{02D57815-91ED-43cb-92C2-25804820EDAC}">
              <c15:filteredCategoryTitle>
                <c15:cat>
                  <c:numRef>
                    <c:extLst>
                      <c:ext uri="{02D57815-91ED-43cb-92C2-25804820EDAC}">
                        <c15:formulaRef>
                          <c15:sqref>[2]Charts2!$B$6:$B$23</c15:sqref>
                        </c15:formulaRef>
                      </c:ext>
                    </c:extLst>
                    <c:numCache>
                      <c:formatCode>General</c:formatCode>
                      <c:ptCount val="18"/>
                      <c:pt idx="0">
                        <c:v>38353</c:v>
                      </c:pt>
                      <c:pt idx="1">
                        <c:v>38718</c:v>
                      </c:pt>
                      <c:pt idx="2">
                        <c:v>39083</c:v>
                      </c:pt>
                      <c:pt idx="3">
                        <c:v>39448</c:v>
                      </c:pt>
                      <c:pt idx="4">
                        <c:v>39814</c:v>
                      </c:pt>
                      <c:pt idx="5">
                        <c:v>40179</c:v>
                      </c:pt>
                      <c:pt idx="6">
                        <c:v>40544</c:v>
                      </c:pt>
                      <c:pt idx="7">
                        <c:v>40909</c:v>
                      </c:pt>
                      <c:pt idx="8">
                        <c:v>41275</c:v>
                      </c:pt>
                      <c:pt idx="9">
                        <c:v>41640</c:v>
                      </c:pt>
                      <c:pt idx="10">
                        <c:v>42005</c:v>
                      </c:pt>
                      <c:pt idx="11">
                        <c:v>42370</c:v>
                      </c:pt>
                      <c:pt idx="12">
                        <c:v>42736</c:v>
                      </c:pt>
                      <c:pt idx="13">
                        <c:v>43101</c:v>
                      </c:pt>
                      <c:pt idx="14">
                        <c:v>43466</c:v>
                      </c:pt>
                      <c:pt idx="15">
                        <c:v>43831</c:v>
                      </c:pt>
                      <c:pt idx="16">
                        <c:v>44197</c:v>
                      </c:pt>
                      <c:pt idx="17">
                        <c:v>44562</c:v>
                      </c:pt>
                    </c:numCache>
                  </c:numRef>
                </c15:cat>
              </c15:filteredCategoryTitle>
            </c:ext>
            <c:ext xmlns:c16="http://schemas.microsoft.com/office/drawing/2014/chart" uri="{C3380CC4-5D6E-409C-BE32-E72D297353CC}">
              <c16:uniqueId val="{00000000-ABF9-477B-8A65-2764C75C9471}"/>
            </c:ext>
          </c:extLst>
        </c:ser>
        <c:dLbls>
          <c:showLegendKey val="0"/>
          <c:showVal val="0"/>
          <c:showCatName val="0"/>
          <c:showSerName val="0"/>
          <c:showPercent val="0"/>
          <c:showBubbleSize val="0"/>
        </c:dLbls>
        <c:gapWidth val="70"/>
        <c:overlap val="-56"/>
        <c:axId val="878488416"/>
        <c:axId val="878492016"/>
      </c:barChart>
      <c:lineChart>
        <c:grouping val="standard"/>
        <c:varyColors val="0"/>
        <c:ser>
          <c:idx val="2"/>
          <c:order val="1"/>
          <c:spPr>
            <a:ln w="25400"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[2]Charts2!$E$6:$E$23</c:f>
              <c:numCache>
                <c:formatCode>General</c:formatCode>
                <c:ptCount val="18"/>
                <c:pt idx="1">
                  <c:v>6.5615712624370076E-2</c:v>
                </c:pt>
                <c:pt idx="2">
                  <c:v>0.17143041736658482</c:v>
                </c:pt>
                <c:pt idx="3">
                  <c:v>0.19378472670887711</c:v>
                </c:pt>
                <c:pt idx="4">
                  <c:v>0.26177800749450836</c:v>
                </c:pt>
                <c:pt idx="5">
                  <c:v>0.28984364905026488</c:v>
                </c:pt>
                <c:pt idx="6">
                  <c:v>0.34649179480553044</c:v>
                </c:pt>
                <c:pt idx="7">
                  <c:v>0.45902571391652669</c:v>
                </c:pt>
                <c:pt idx="8">
                  <c:v>0.50577594004393334</c:v>
                </c:pt>
                <c:pt idx="9">
                  <c:v>0.58811215919369431</c:v>
                </c:pt>
                <c:pt idx="10">
                  <c:v>0.6327690916139036</c:v>
                </c:pt>
                <c:pt idx="11">
                  <c:v>0.72939656286341903</c:v>
                </c:pt>
                <c:pt idx="12">
                  <c:v>0.78946892363354437</c:v>
                </c:pt>
                <c:pt idx="13">
                  <c:v>0.86481457552655383</c:v>
                </c:pt>
                <c:pt idx="14">
                  <c:v>0.88547615971055693</c:v>
                </c:pt>
                <c:pt idx="15">
                  <c:v>0.93322134642718702</c:v>
                </c:pt>
                <c:pt idx="16">
                  <c:v>0.95490373433260112</c:v>
                </c:pt>
                <c:pt idx="17">
                  <c:v>1</c:v>
                </c:pt>
              </c:numCache>
            </c:numRef>
          </c:val>
          <c:smooth val="0"/>
          <c:extLst>
            <c:ext xmlns:c15="http://schemas.microsoft.com/office/drawing/2012/chart" uri="{02D57815-91ED-43cb-92C2-25804820EDAC}">
              <c15:filteredCategoryTitle>
                <c15:cat>
                  <c:numRef>
                    <c:extLst>
                      <c:ext uri="{02D57815-91ED-43cb-92C2-25804820EDAC}">
                        <c15:formulaRef>
                          <c15:sqref>[2]Charts2!$B$6:$B$23</c15:sqref>
                        </c15:formulaRef>
                      </c:ext>
                    </c:extLst>
                    <c:numCache>
                      <c:formatCode>General</c:formatCode>
                      <c:ptCount val="18"/>
                      <c:pt idx="0">
                        <c:v>38353</c:v>
                      </c:pt>
                      <c:pt idx="1">
                        <c:v>38718</c:v>
                      </c:pt>
                      <c:pt idx="2">
                        <c:v>39083</c:v>
                      </c:pt>
                      <c:pt idx="3">
                        <c:v>39448</c:v>
                      </c:pt>
                      <c:pt idx="4">
                        <c:v>39814</c:v>
                      </c:pt>
                      <c:pt idx="5">
                        <c:v>40179</c:v>
                      </c:pt>
                      <c:pt idx="6">
                        <c:v>40544</c:v>
                      </c:pt>
                      <c:pt idx="7">
                        <c:v>40909</c:v>
                      </c:pt>
                      <c:pt idx="8">
                        <c:v>41275</c:v>
                      </c:pt>
                      <c:pt idx="9">
                        <c:v>41640</c:v>
                      </c:pt>
                      <c:pt idx="10">
                        <c:v>42005</c:v>
                      </c:pt>
                      <c:pt idx="11">
                        <c:v>42370</c:v>
                      </c:pt>
                      <c:pt idx="12">
                        <c:v>42736</c:v>
                      </c:pt>
                      <c:pt idx="13">
                        <c:v>43101</c:v>
                      </c:pt>
                      <c:pt idx="14">
                        <c:v>43466</c:v>
                      </c:pt>
                      <c:pt idx="15">
                        <c:v>43831</c:v>
                      </c:pt>
                      <c:pt idx="16">
                        <c:v>44197</c:v>
                      </c:pt>
                      <c:pt idx="17">
                        <c:v>44562</c:v>
                      </c:pt>
                    </c:numCache>
                  </c:numRef>
                </c15:cat>
              </c15:filteredCategoryTitle>
            </c:ext>
            <c:ext xmlns:c16="http://schemas.microsoft.com/office/drawing/2014/chart" uri="{C3380CC4-5D6E-409C-BE32-E72D297353CC}">
              <c16:uniqueId val="{00000001-ABF9-477B-8A65-2764C75C9471}"/>
            </c:ext>
          </c:extLst>
        </c:ser>
        <c:dLbls>
          <c:showLegendKey val="0"/>
          <c:showVal val="0"/>
          <c:showCatName val="0"/>
          <c:showSerName val="0"/>
          <c:showPercent val="0"/>
          <c:showBubbleSize val="0"/>
        </c:dLbls>
        <c:marker val="1"/>
        <c:smooth val="0"/>
        <c:axId val="674000960"/>
        <c:axId val="674001680"/>
      </c:lineChart>
      <c:catAx>
        <c:axId val="87848841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492016"/>
        <c:crosses val="autoZero"/>
        <c:auto val="1"/>
        <c:lblAlgn val="ctr"/>
        <c:lblOffset val="100"/>
        <c:noMultiLvlLbl val="0"/>
      </c:catAx>
      <c:valAx>
        <c:axId val="878492016"/>
        <c:scaling>
          <c:orientation val="minMax"/>
          <c:max val="1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878488416"/>
        <c:crosses val="autoZero"/>
        <c:crossBetween val="between"/>
      </c:valAx>
      <c:valAx>
        <c:axId val="67400168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00960"/>
        <c:crosses val="max"/>
        <c:crossBetween val="between"/>
      </c:valAx>
      <c:catAx>
        <c:axId val="674000960"/>
        <c:scaling>
          <c:orientation val="minMax"/>
        </c:scaling>
        <c:delete val="1"/>
        <c:axPos val="b"/>
        <c:numFmt formatCode="General" sourceLinked="1"/>
        <c:majorTickMark val="out"/>
        <c:minorTickMark val="none"/>
        <c:tickLblPos val="nextTo"/>
        <c:crossAx val="674001680"/>
        <c:crosses val="autoZero"/>
        <c:auto val="1"/>
        <c:lblAlgn val="ctr"/>
        <c:lblOffset val="100"/>
        <c:tickLblSkip val="1"/>
        <c:tickMarkSkip val="1"/>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F2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IN" sz="1100"/>
              <a:t>weight</a:t>
            </a:r>
            <a:r>
              <a:rPr lang="en-IN" sz="1100" baseline="0"/>
              <a:t> vs horsepower</a:t>
            </a:r>
            <a:endParaRPr lang="en-IN" sz="1100"/>
          </a:p>
        </c:rich>
      </c:tx>
      <c:layout>
        <c:manualLayout>
          <c:xMode val="edge"/>
          <c:yMode val="edge"/>
          <c:x val="0.41782633420822402"/>
          <c:y val="2.7777777777777776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a:outerShdw blurRad="50800" dist="1358900" dir="5400000" sx="1000" sy="1000" algn="ctr" rotWithShape="0">
                <a:schemeClr val="accent1">
                  <a:lumMod val="50000"/>
                  <a:alpha val="43000"/>
                </a:schemeClr>
              </a:outerShdw>
            </a:effectLst>
          </c:spPr>
          <c:marker>
            <c:symbol val="circle"/>
            <c:size val="5"/>
            <c:spPr>
              <a:solidFill>
                <a:schemeClr val="accent1"/>
              </a:solidFill>
              <a:ln w="9525">
                <a:solidFill>
                  <a:schemeClr val="accent1"/>
                </a:solidFill>
              </a:ln>
              <a:effectLst>
                <a:outerShdw blurRad="50800" dist="1358900" dir="5400000" sx="1000" sy="1000" algn="ctr" rotWithShape="0">
                  <a:schemeClr val="accent1">
                    <a:lumMod val="50000"/>
                    <a:alpha val="43000"/>
                  </a:schemeClr>
                </a:outerShdw>
              </a:effectLst>
            </c:spPr>
          </c:marker>
          <c:dPt>
            <c:idx val="13"/>
            <c:marker>
              <c:symbol val="circle"/>
              <c:size val="5"/>
              <c:spPr>
                <a:solidFill>
                  <a:schemeClr val="accent1"/>
                </a:solidFill>
                <a:ln w="9525">
                  <a:solidFill>
                    <a:schemeClr val="accent1"/>
                  </a:solidFill>
                </a:ln>
                <a:effectLst>
                  <a:outerShdw blurRad="50800" dist="1358900" dir="5400000" sx="1000" sy="1000" algn="ctr" rotWithShape="0">
                    <a:schemeClr val="accent1">
                      <a:lumMod val="50000"/>
                      <a:alpha val="43000"/>
                    </a:schemeClr>
                  </a:outerShdw>
                </a:effectLst>
              </c:spPr>
            </c:marker>
            <c:bubble3D val="0"/>
            <c:spPr>
              <a:ln w="19050" cap="rnd">
                <a:noFill/>
                <a:round/>
              </a:ln>
              <a:effectLst>
                <a:outerShdw blurRad="50800" dist="1358900" dir="5400000" sx="1000" sy="1000" algn="ctr" rotWithShape="0">
                  <a:schemeClr val="accent1">
                    <a:lumMod val="50000"/>
                    <a:alpha val="43000"/>
                  </a:schemeClr>
                </a:outerShdw>
              </a:effectLst>
            </c:spPr>
            <c:extLst>
              <c:ext xmlns:c16="http://schemas.microsoft.com/office/drawing/2014/chart" uri="{C3380CC4-5D6E-409C-BE32-E72D297353CC}">
                <c16:uniqueId val="{00000001-CC5B-4600-B204-36483B2F4F4F}"/>
              </c:ext>
            </c:extLst>
          </c:dPt>
          <c:trendline>
            <c:spPr>
              <a:ln w="19050" cap="rnd">
                <a:solidFill>
                  <a:schemeClr val="accent2">
                    <a:lumMod val="50000"/>
                    <a:alpha val="99000"/>
                  </a:schemeClr>
                </a:solidFill>
                <a:prstDash val="dash"/>
                <a:headEnd type="oval"/>
                <a:tailEnd type="triangle"/>
              </a:ln>
              <a:effectLst/>
            </c:spPr>
            <c:trendlineType val="linear"/>
            <c:intercept val="0"/>
            <c:dispRSqr val="1"/>
            <c:dispEq val="1"/>
            <c:trendlineLbl>
              <c:layout>
                <c:manualLayout>
                  <c:x val="-5.6755249343832019E-2"/>
                  <c:y val="-5.5131233595800522E-2"/>
                </c:manualLayout>
              </c:layout>
              <c:numFmt formatCode="General" sourceLinked="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rendlineLbl>
          </c:trendline>
          <c:xVal>
            <c:numRef>
              <c:f>[2]Charts3!$B$6:$B$37</c:f>
              <c:numCache>
                <c:formatCode>General</c:formatCode>
                <c:ptCount val="32"/>
                <c:pt idx="0">
                  <c:v>130</c:v>
                </c:pt>
                <c:pt idx="1">
                  <c:v>165</c:v>
                </c:pt>
                <c:pt idx="2">
                  <c:v>150</c:v>
                </c:pt>
                <c:pt idx="3">
                  <c:v>150</c:v>
                </c:pt>
                <c:pt idx="4">
                  <c:v>140</c:v>
                </c:pt>
                <c:pt idx="5">
                  <c:v>198</c:v>
                </c:pt>
                <c:pt idx="6">
                  <c:v>220</c:v>
                </c:pt>
                <c:pt idx="7">
                  <c:v>215</c:v>
                </c:pt>
                <c:pt idx="8">
                  <c:v>225</c:v>
                </c:pt>
                <c:pt idx="9">
                  <c:v>190</c:v>
                </c:pt>
                <c:pt idx="10">
                  <c:v>170</c:v>
                </c:pt>
                <c:pt idx="11">
                  <c:v>160</c:v>
                </c:pt>
                <c:pt idx="12">
                  <c:v>150</c:v>
                </c:pt>
                <c:pt idx="13">
                  <c:v>225</c:v>
                </c:pt>
                <c:pt idx="14">
                  <c:v>95</c:v>
                </c:pt>
                <c:pt idx="15">
                  <c:v>95</c:v>
                </c:pt>
                <c:pt idx="16">
                  <c:v>97</c:v>
                </c:pt>
                <c:pt idx="17">
                  <c:v>85</c:v>
                </c:pt>
                <c:pt idx="18">
                  <c:v>88</c:v>
                </c:pt>
                <c:pt idx="19">
                  <c:v>46</c:v>
                </c:pt>
                <c:pt idx="20">
                  <c:v>87</c:v>
                </c:pt>
                <c:pt idx="21">
                  <c:v>90</c:v>
                </c:pt>
                <c:pt idx="22">
                  <c:v>95</c:v>
                </c:pt>
                <c:pt idx="23">
                  <c:v>113</c:v>
                </c:pt>
                <c:pt idx="24">
                  <c:v>90</c:v>
                </c:pt>
                <c:pt idx="25">
                  <c:v>215</c:v>
                </c:pt>
                <c:pt idx="26">
                  <c:v>200</c:v>
                </c:pt>
                <c:pt idx="27">
                  <c:v>210</c:v>
                </c:pt>
                <c:pt idx="28">
                  <c:v>193</c:v>
                </c:pt>
                <c:pt idx="29">
                  <c:v>88</c:v>
                </c:pt>
                <c:pt idx="30">
                  <c:v>90</c:v>
                </c:pt>
                <c:pt idx="31">
                  <c:v>95</c:v>
                </c:pt>
              </c:numCache>
            </c:numRef>
          </c:xVal>
          <c:yVal>
            <c:numRef>
              <c:f>[2]Charts3!$C$6:$C$37</c:f>
              <c:numCache>
                <c:formatCode>General</c:formatCode>
                <c:ptCount val="32"/>
                <c:pt idx="0">
                  <c:v>3504</c:v>
                </c:pt>
                <c:pt idx="1">
                  <c:v>3693</c:v>
                </c:pt>
                <c:pt idx="2">
                  <c:v>3436</c:v>
                </c:pt>
                <c:pt idx="3">
                  <c:v>3433</c:v>
                </c:pt>
                <c:pt idx="4">
                  <c:v>3449</c:v>
                </c:pt>
                <c:pt idx="5">
                  <c:v>4341</c:v>
                </c:pt>
                <c:pt idx="6">
                  <c:v>4354</c:v>
                </c:pt>
                <c:pt idx="7">
                  <c:v>4312</c:v>
                </c:pt>
                <c:pt idx="8">
                  <c:v>4425</c:v>
                </c:pt>
                <c:pt idx="9">
                  <c:v>3850</c:v>
                </c:pt>
                <c:pt idx="10">
                  <c:v>3563</c:v>
                </c:pt>
                <c:pt idx="11">
                  <c:v>3609</c:v>
                </c:pt>
                <c:pt idx="12">
                  <c:v>3761</c:v>
                </c:pt>
                <c:pt idx="13">
                  <c:v>3086</c:v>
                </c:pt>
                <c:pt idx="14">
                  <c:v>2372</c:v>
                </c:pt>
                <c:pt idx="15">
                  <c:v>2833</c:v>
                </c:pt>
                <c:pt idx="16">
                  <c:v>2774</c:v>
                </c:pt>
                <c:pt idx="17">
                  <c:v>2587</c:v>
                </c:pt>
                <c:pt idx="18">
                  <c:v>2130</c:v>
                </c:pt>
                <c:pt idx="19">
                  <c:v>1835</c:v>
                </c:pt>
                <c:pt idx="20">
                  <c:v>2672</c:v>
                </c:pt>
                <c:pt idx="21">
                  <c:v>2430</c:v>
                </c:pt>
                <c:pt idx="22">
                  <c:v>2375</c:v>
                </c:pt>
                <c:pt idx="23">
                  <c:v>2234</c:v>
                </c:pt>
                <c:pt idx="24">
                  <c:v>2648</c:v>
                </c:pt>
                <c:pt idx="25">
                  <c:v>4615</c:v>
                </c:pt>
                <c:pt idx="26">
                  <c:v>4376</c:v>
                </c:pt>
                <c:pt idx="27">
                  <c:v>4382</c:v>
                </c:pt>
                <c:pt idx="28">
                  <c:v>4732</c:v>
                </c:pt>
                <c:pt idx="29">
                  <c:v>2130</c:v>
                </c:pt>
                <c:pt idx="30">
                  <c:v>2264</c:v>
                </c:pt>
                <c:pt idx="31">
                  <c:v>2228</c:v>
                </c:pt>
              </c:numCache>
            </c:numRef>
          </c:yVal>
          <c:smooth val="0"/>
          <c:extLst>
            <c:ext xmlns:c16="http://schemas.microsoft.com/office/drawing/2014/chart" uri="{C3380CC4-5D6E-409C-BE32-E72D297353CC}">
              <c16:uniqueId val="{00000003-CC5B-4600-B204-36483B2F4F4F}"/>
            </c:ext>
          </c:extLst>
        </c:ser>
        <c:dLbls>
          <c:showLegendKey val="0"/>
          <c:showVal val="0"/>
          <c:showCatName val="0"/>
          <c:showSerName val="0"/>
          <c:showPercent val="0"/>
          <c:showBubbleSize val="0"/>
        </c:dLbls>
        <c:axId val="669158296"/>
        <c:axId val="669160456"/>
      </c:scatterChart>
      <c:valAx>
        <c:axId val="669158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669160456"/>
        <c:crosses val="autoZero"/>
        <c:crossBetween val="midCat"/>
      </c:valAx>
      <c:valAx>
        <c:axId val="669160456"/>
        <c:scaling>
          <c:orientation val="minMax"/>
          <c:max val="6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669158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281758530183727"/>
          <c:y val="9.9003265864729198E-2"/>
          <c:w val="0.77450865847831107"/>
          <c:h val="0.83924236181961887"/>
        </c:manualLayout>
      </c:layout>
      <c:barChart>
        <c:barDir val="bar"/>
        <c:grouping val="stacked"/>
        <c:varyColors val="0"/>
        <c:ser>
          <c:idx val="0"/>
          <c:order val="0"/>
          <c:spPr>
            <a:noFill/>
            <a:ln>
              <a:noFill/>
            </a:ln>
            <a:effectLst/>
          </c:spPr>
          <c:invertIfNegative val="0"/>
          <c:val>
            <c:numRef>
              <c:f>[2]Charts5!$C$7:$C$17</c:f>
              <c:numCache>
                <c:formatCode>General</c:formatCode>
                <c:ptCount val="11"/>
                <c:pt idx="0">
                  <c:v>40081</c:v>
                </c:pt>
                <c:pt idx="1">
                  <c:v>40081</c:v>
                </c:pt>
                <c:pt idx="2">
                  <c:v>40119</c:v>
                </c:pt>
                <c:pt idx="3">
                  <c:v>40148</c:v>
                </c:pt>
                <c:pt idx="4">
                  <c:v>40148</c:v>
                </c:pt>
                <c:pt idx="5">
                  <c:v>40168</c:v>
                </c:pt>
                <c:pt idx="6">
                  <c:v>40182</c:v>
                </c:pt>
                <c:pt idx="7">
                  <c:v>40182</c:v>
                </c:pt>
                <c:pt idx="8">
                  <c:v>40182</c:v>
                </c:pt>
                <c:pt idx="9">
                  <c:v>40189</c:v>
                </c:pt>
                <c:pt idx="10">
                  <c:v>40203</c:v>
                </c:pt>
              </c:numCache>
            </c:numRef>
          </c:val>
          <c:extLst>
            <c:ext xmlns:c15="http://schemas.microsoft.com/office/drawing/2012/chart" uri="{02D57815-91ED-43cb-92C2-25804820EDAC}">
              <c15:filteredSeriesTitle>
                <c15:tx>
                  <c:strRef>
                    <c:extLst>
                      <c:ext uri="{02D57815-91ED-43cb-92C2-25804820EDAC}">
                        <c15:formulaRef>
                          <c15:sqref>[2]Charts5!$C$6</c15:sqref>
                        </c15:formulaRef>
                      </c:ext>
                    </c:extLst>
                    <c:strCache>
                      <c:ptCount val="1"/>
                      <c:pt idx="0">
                        <c:v>Start 
Date</c:v>
                      </c:pt>
                    </c:strCache>
                  </c:strRef>
                </c15:tx>
              </c15:filteredSeriesTitle>
            </c:ext>
            <c:ext xmlns:c15="http://schemas.microsoft.com/office/drawing/2012/chart" uri="{02D57815-91ED-43cb-92C2-25804820EDAC}">
              <c15:filteredCategoryTitle>
                <c15:cat>
                  <c:strRef>
                    <c:extLst>
                      <c:ext uri="{02D57815-91ED-43cb-92C2-25804820EDAC}">
                        <c15:formulaRef>
                          <c15:sqref>[2]Charts5!$B$7:$B$17</c15:sqref>
                        </c15:formulaRef>
                      </c:ext>
                    </c:extLst>
                    <c:strCache>
                      <c:ptCount val="11"/>
                      <c:pt idx="0">
                        <c:v>Main task 1</c:v>
                      </c:pt>
                      <c:pt idx="1">
                        <c:v>Sub-task 1</c:v>
                      </c:pt>
                      <c:pt idx="2">
                        <c:v>Sub-task 2</c:v>
                      </c:pt>
                      <c:pt idx="3">
                        <c:v>Sub-task 3</c:v>
                      </c:pt>
                      <c:pt idx="4">
                        <c:v>Sub-task 4</c:v>
                      </c:pt>
                      <c:pt idx="5">
                        <c:v>Sub-task 5</c:v>
                      </c:pt>
                      <c:pt idx="6">
                        <c:v>Sub-task 6</c:v>
                      </c:pt>
                      <c:pt idx="7">
                        <c:v>Main task 2</c:v>
                      </c:pt>
                      <c:pt idx="8">
                        <c:v>Sub-task 1</c:v>
                      </c:pt>
                      <c:pt idx="9">
                        <c:v>Sub-task 2</c:v>
                      </c:pt>
                      <c:pt idx="10">
                        <c:v>Sub-task 3</c:v>
                      </c:pt>
                    </c:strCache>
                  </c:strRef>
                </c15:cat>
              </c15:filteredCategoryTitle>
            </c:ext>
            <c:ext xmlns:c16="http://schemas.microsoft.com/office/drawing/2014/chart" uri="{C3380CC4-5D6E-409C-BE32-E72D297353CC}">
              <c16:uniqueId val="{00000000-4E2D-43CB-8229-59EB26BED25D}"/>
            </c:ext>
          </c:extLst>
        </c:ser>
        <c:ser>
          <c:idx val="1"/>
          <c:order val="1"/>
          <c:spPr>
            <a:solidFill>
              <a:schemeClr val="accent2"/>
            </a:solidFill>
            <a:ln>
              <a:noFill/>
            </a:ln>
            <a:effectLst/>
          </c:spPr>
          <c:invertIfNegative val="0"/>
          <c:val>
            <c:numRef>
              <c:f>[2]Charts5!$E$7:$E$17</c:f>
              <c:numCache>
                <c:formatCode>General</c:formatCode>
                <c:ptCount val="11"/>
                <c:pt idx="0">
                  <c:v>159</c:v>
                </c:pt>
                <c:pt idx="1">
                  <c:v>114</c:v>
                </c:pt>
                <c:pt idx="2">
                  <c:v>88</c:v>
                </c:pt>
                <c:pt idx="3">
                  <c:v>20</c:v>
                </c:pt>
                <c:pt idx="4">
                  <c:v>45</c:v>
                </c:pt>
                <c:pt idx="5">
                  <c:v>25</c:v>
                </c:pt>
                <c:pt idx="6">
                  <c:v>25</c:v>
                </c:pt>
                <c:pt idx="7">
                  <c:v>51</c:v>
                </c:pt>
                <c:pt idx="8">
                  <c:v>7</c:v>
                </c:pt>
                <c:pt idx="9">
                  <c:v>15</c:v>
                </c:pt>
                <c:pt idx="10">
                  <c:v>30</c:v>
                </c:pt>
              </c:numCache>
            </c:numRef>
          </c:val>
          <c:extLst>
            <c:ext xmlns:c15="http://schemas.microsoft.com/office/drawing/2012/chart" uri="{02D57815-91ED-43cb-92C2-25804820EDAC}">
              <c15:filteredSeriesTitle>
                <c15:tx>
                  <c:strRef>
                    <c:extLst>
                      <c:ext uri="{02D57815-91ED-43cb-92C2-25804820EDAC}">
                        <c15:formulaRef>
                          <c15:sqref>[2]Charts5!$E$6</c15:sqref>
                        </c15:formulaRef>
                      </c:ext>
                    </c:extLst>
                    <c:strCache>
                      <c:ptCount val="1"/>
                      <c:pt idx="0">
                        <c:v>Work Days Planned</c:v>
                      </c:pt>
                    </c:strCache>
                  </c:strRef>
                </c15:tx>
              </c15:filteredSeriesTitle>
            </c:ext>
            <c:ext xmlns:c16="http://schemas.microsoft.com/office/drawing/2014/chart" uri="{C3380CC4-5D6E-409C-BE32-E72D297353CC}">
              <c16:uniqueId val="{00000001-4E2D-43CB-8229-59EB26BED25D}"/>
            </c:ext>
          </c:extLst>
        </c:ser>
        <c:dLbls>
          <c:showLegendKey val="0"/>
          <c:showVal val="0"/>
          <c:showCatName val="0"/>
          <c:showSerName val="0"/>
          <c:showPercent val="0"/>
          <c:showBubbleSize val="0"/>
        </c:dLbls>
        <c:gapWidth val="49"/>
        <c:overlap val="100"/>
        <c:axId val="674003840"/>
        <c:axId val="674002400"/>
      </c:barChart>
      <c:catAx>
        <c:axId val="6740038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02400"/>
        <c:crosses val="autoZero"/>
        <c:auto val="1"/>
        <c:lblAlgn val="ctr"/>
        <c:lblOffset val="100"/>
        <c:noMultiLvlLbl val="0"/>
      </c:catAx>
      <c:valAx>
        <c:axId val="674002400"/>
        <c:scaling>
          <c:orientation val="minMax"/>
          <c:max val="40225"/>
          <c:min val="40081"/>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7400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'[1]Gantt chart'!$D$6</c:f>
              <c:strCache>
                <c:ptCount val="1"/>
                <c:pt idx="0">
                  <c:v>Start 
Date</c:v>
                </c:pt>
              </c:strCache>
            </c:strRef>
          </c:tx>
          <c:spPr>
            <a:noFill/>
            <a:ln>
              <a:noFill/>
            </a:ln>
            <a:effectLst/>
          </c:spPr>
          <c:invertIfNegative val="0"/>
          <c:cat>
            <c:strRef>
              <c:f>'[1]Gantt chart'!$C$7:$C$17</c:f>
              <c:strCache>
                <c:ptCount val="11"/>
                <c:pt idx="0">
                  <c:v>Main task 1</c:v>
                </c:pt>
                <c:pt idx="1">
                  <c:v>Sub-task 1</c:v>
                </c:pt>
                <c:pt idx="2">
                  <c:v>Sub-task 2</c:v>
                </c:pt>
                <c:pt idx="3">
                  <c:v>Sub-task 3</c:v>
                </c:pt>
                <c:pt idx="4">
                  <c:v>Sub-task 4</c:v>
                </c:pt>
                <c:pt idx="5">
                  <c:v>Sub-task 5</c:v>
                </c:pt>
                <c:pt idx="6">
                  <c:v>Sub-task 6</c:v>
                </c:pt>
                <c:pt idx="7">
                  <c:v>Main task 2</c:v>
                </c:pt>
                <c:pt idx="8">
                  <c:v>Sub-task 1</c:v>
                </c:pt>
                <c:pt idx="9">
                  <c:v>Sub-task 2</c:v>
                </c:pt>
                <c:pt idx="10">
                  <c:v>Sub-task 3</c:v>
                </c:pt>
              </c:strCache>
            </c:strRef>
          </c:cat>
          <c:val>
            <c:numRef>
              <c:f>'[1]Gantt chart'!$D$7:$D$17</c:f>
              <c:numCache>
                <c:formatCode>General</c:formatCode>
                <c:ptCount val="11"/>
                <c:pt idx="0">
                  <c:v>40081</c:v>
                </c:pt>
                <c:pt idx="1">
                  <c:v>40081</c:v>
                </c:pt>
                <c:pt idx="2">
                  <c:v>40119</c:v>
                </c:pt>
                <c:pt idx="3">
                  <c:v>40148</c:v>
                </c:pt>
                <c:pt idx="4">
                  <c:v>40148</c:v>
                </c:pt>
                <c:pt idx="5">
                  <c:v>40168</c:v>
                </c:pt>
                <c:pt idx="6">
                  <c:v>40182</c:v>
                </c:pt>
                <c:pt idx="7">
                  <c:v>40182</c:v>
                </c:pt>
                <c:pt idx="8">
                  <c:v>40182</c:v>
                </c:pt>
                <c:pt idx="9">
                  <c:v>40189</c:v>
                </c:pt>
                <c:pt idx="10">
                  <c:v>40203</c:v>
                </c:pt>
              </c:numCache>
            </c:numRef>
          </c:val>
          <c:extLst>
            <c:ext xmlns:c16="http://schemas.microsoft.com/office/drawing/2014/chart" uri="{C3380CC4-5D6E-409C-BE32-E72D297353CC}">
              <c16:uniqueId val="{00000000-FCC7-4BCC-9C93-B3FC8F235D94}"/>
            </c:ext>
          </c:extLst>
        </c:ser>
        <c:ser>
          <c:idx val="1"/>
          <c:order val="1"/>
          <c:tx>
            <c:strRef>
              <c:f>'[1]Gantt chart'!$F$6</c:f>
              <c:strCache>
                <c:ptCount val="1"/>
                <c:pt idx="0">
                  <c:v>Work Days Planned</c:v>
                </c:pt>
              </c:strCache>
            </c:strRef>
          </c:tx>
          <c:spPr>
            <a:solidFill>
              <a:schemeClr val="accent2"/>
            </a:solidFill>
            <a:ln>
              <a:noFill/>
            </a:ln>
            <a:effectLst/>
          </c:spPr>
          <c:invertIfNegative val="0"/>
          <c:val>
            <c:numRef>
              <c:f>'[1]Gantt chart'!$F$7:$F$17</c:f>
              <c:numCache>
                <c:formatCode>General</c:formatCode>
                <c:ptCount val="11"/>
                <c:pt idx="0">
                  <c:v>159</c:v>
                </c:pt>
                <c:pt idx="1">
                  <c:v>114</c:v>
                </c:pt>
                <c:pt idx="2">
                  <c:v>88</c:v>
                </c:pt>
                <c:pt idx="3">
                  <c:v>20</c:v>
                </c:pt>
                <c:pt idx="4">
                  <c:v>45</c:v>
                </c:pt>
                <c:pt idx="5">
                  <c:v>25</c:v>
                </c:pt>
                <c:pt idx="6">
                  <c:v>25</c:v>
                </c:pt>
                <c:pt idx="7">
                  <c:v>51</c:v>
                </c:pt>
                <c:pt idx="8">
                  <c:v>7</c:v>
                </c:pt>
                <c:pt idx="9">
                  <c:v>15</c:v>
                </c:pt>
                <c:pt idx="10">
                  <c:v>30</c:v>
                </c:pt>
              </c:numCache>
            </c:numRef>
          </c:val>
          <c:extLst>
            <c:ext xmlns:c16="http://schemas.microsoft.com/office/drawing/2014/chart" uri="{C3380CC4-5D6E-409C-BE32-E72D297353CC}">
              <c16:uniqueId val="{00000001-FCC7-4BCC-9C93-B3FC8F235D94}"/>
            </c:ext>
          </c:extLst>
        </c:ser>
        <c:dLbls>
          <c:showLegendKey val="0"/>
          <c:showVal val="0"/>
          <c:showCatName val="0"/>
          <c:showSerName val="0"/>
          <c:showPercent val="0"/>
          <c:showBubbleSize val="0"/>
        </c:dLbls>
        <c:gapWidth val="52"/>
        <c:overlap val="100"/>
        <c:axId val="1989517535"/>
        <c:axId val="1996987263"/>
      </c:barChart>
      <c:catAx>
        <c:axId val="19895175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87263"/>
        <c:crosses val="autoZero"/>
        <c:auto val="1"/>
        <c:lblAlgn val="ctr"/>
        <c:lblOffset val="100"/>
        <c:noMultiLvlLbl val="0"/>
      </c:catAx>
      <c:valAx>
        <c:axId val="1996987263"/>
        <c:scaling>
          <c:orientation val="minMax"/>
          <c:max val="40233"/>
          <c:min val="40081"/>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51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chartData>
  <cx:chart>
    <cx:plotArea>
      <cx:plotAreaRegion>
        <cx:series layoutId="waterfall" uniqueId="{700D6E6F-68B1-4CEF-A945-7F6C41BEA1D7}">
          <cx:dataLabels pos="outEnd">
            <cx:numFmt formatCode="#,##0.00;[Red]-#,##0.00" sourceLinked="0"/>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visibility seriesName="0" categoryName="0" value="1"/>
            <cx:separator>, </cx:separator>
          </cx:dataLabels>
          <cx:dataId val="0"/>
          <cx:layoutPr/>
        </cx:series>
      </cx:plotAreaRegion>
      <cx:axis id="0">
        <cx:catScaling gapWidth="0.5"/>
        <cx:tickLabels/>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axis>
      <cx:axis id="1">
        <cx:valScaling max="180000"/>
        <cx:tickLabels/>
        <cx:numFmt formatCode="#,##0;[Red]-#,##0" sourceLinked="0"/>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waterfall" uniqueId="{5E2817B1-01B8-4FC5-A65E-8EACF6579974}">
          <cx:tx>
            <cx:txData>
              <cx:f>_xlchart.v1.1</cx:f>
              <cx:v>Net Cash Flow</cx:v>
            </cx:txData>
          </cx:tx>
          <cx:dataLabels pos="outEnd">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visibility seriesName="0" categoryName="0" value="1"/>
            <cx:separator>, </cx:separator>
          </cx:dataLabels>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image" Target="../media/image4.png"/><Relationship Id="rId7" Type="http://schemas.microsoft.com/office/2014/relationships/chartEx" Target="../charts/chartEx1.xml"/><Relationship Id="rId2" Type="http://schemas.openxmlformats.org/officeDocument/2006/relationships/image" Target="../media/image3.png"/><Relationship Id="rId1" Type="http://schemas.openxmlformats.org/officeDocument/2006/relationships/chart" Target="../charts/chart1.xml"/><Relationship Id="rId6"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5.xml"/><Relationship Id="rId4" Type="http://schemas.openxmlformats.org/officeDocument/2006/relationships/chart" Target="../charts/chart2.xml"/><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6</xdr:col>
      <xdr:colOff>0</xdr:colOff>
      <xdr:row>3</xdr:row>
      <xdr:rowOff>0</xdr:rowOff>
    </xdr:from>
    <xdr:ext cx="2804403" cy="2834886"/>
    <xdr:pic>
      <xdr:nvPicPr>
        <xdr:cNvPr id="2" name="Picture 1">
          <a:extLst>
            <a:ext uri="{FF2B5EF4-FFF2-40B4-BE49-F238E27FC236}">
              <a16:creationId xmlns:a16="http://schemas.microsoft.com/office/drawing/2014/main" id="{D531DF65-8A81-40D2-AA53-6871B410ADF9}"/>
            </a:ext>
          </a:extLst>
        </xdr:cNvPr>
        <xdr:cNvPicPr>
          <a:picLocks noChangeAspect="1"/>
        </xdr:cNvPicPr>
      </xdr:nvPicPr>
      <xdr:blipFill>
        <a:blip xmlns:r="http://schemas.openxmlformats.org/officeDocument/2006/relationships" r:embed="rId1"/>
        <a:stretch>
          <a:fillRect/>
        </a:stretch>
      </xdr:blipFill>
      <xdr:spPr>
        <a:xfrm>
          <a:off x="3838575" y="571500"/>
          <a:ext cx="2804403" cy="2834886"/>
        </a:xfrm>
        <a:prstGeom prst="rect">
          <a:avLst/>
        </a:prstGeom>
      </xdr:spPr>
    </xdr:pic>
    <xdr:clientData/>
  </xdr:oneCellAnchor>
  <xdr:oneCellAnchor>
    <xdr:from>
      <xdr:col>17</xdr:col>
      <xdr:colOff>0</xdr:colOff>
      <xdr:row>4</xdr:row>
      <xdr:rowOff>0</xdr:rowOff>
    </xdr:from>
    <xdr:ext cx="1714695" cy="1325307"/>
    <xdr:pic>
      <xdr:nvPicPr>
        <xdr:cNvPr id="3" name="Picture 2">
          <a:extLst>
            <a:ext uri="{FF2B5EF4-FFF2-40B4-BE49-F238E27FC236}">
              <a16:creationId xmlns:a16="http://schemas.microsoft.com/office/drawing/2014/main" id="{502B9679-260A-4E8D-B128-55E512D773B4}"/>
            </a:ext>
          </a:extLst>
        </xdr:cNvPr>
        <xdr:cNvPicPr>
          <a:picLocks noChangeAspect="1"/>
        </xdr:cNvPicPr>
      </xdr:nvPicPr>
      <xdr:blipFill>
        <a:blip xmlns:r="http://schemas.openxmlformats.org/officeDocument/2006/relationships" r:embed="rId2"/>
        <a:stretch>
          <a:fillRect/>
        </a:stretch>
      </xdr:blipFill>
      <xdr:spPr>
        <a:xfrm>
          <a:off x="10544175" y="762000"/>
          <a:ext cx="1714695" cy="132530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104775</xdr:colOff>
      <xdr:row>14</xdr:row>
      <xdr:rowOff>28575</xdr:rowOff>
    </xdr:from>
    <xdr:to>
      <xdr:col>9</xdr:col>
      <xdr:colOff>590550</xdr:colOff>
      <xdr:row>24</xdr:row>
      <xdr:rowOff>9525</xdr:rowOff>
    </xdr:to>
    <xdr:graphicFrame macro="">
      <xdr:nvGraphicFramePr>
        <xdr:cNvPr id="2" name="Chart 1">
          <a:extLst>
            <a:ext uri="{FF2B5EF4-FFF2-40B4-BE49-F238E27FC236}">
              <a16:creationId xmlns:a16="http://schemas.microsoft.com/office/drawing/2014/main" id="{C31E6949-F697-4C25-81D5-92950CC53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161925</xdr:colOff>
      <xdr:row>3</xdr:row>
      <xdr:rowOff>180975</xdr:rowOff>
    </xdr:from>
    <xdr:ext cx="4671060" cy="1809750"/>
    <xdr:pic>
      <xdr:nvPicPr>
        <xdr:cNvPr id="3" name="image2.png">
          <a:extLst>
            <a:ext uri="{FF2B5EF4-FFF2-40B4-BE49-F238E27FC236}">
              <a16:creationId xmlns:a16="http://schemas.microsoft.com/office/drawing/2014/main" id="{C771E48A-B279-41B4-BECD-E6E57B81F316}"/>
            </a:ext>
          </a:extLst>
        </xdr:cNvPr>
        <xdr:cNvPicPr preferRelativeResize="0"/>
      </xdr:nvPicPr>
      <xdr:blipFill>
        <a:blip xmlns:r="http://schemas.openxmlformats.org/officeDocument/2006/relationships" r:embed="rId2" cstate="print"/>
        <a:stretch>
          <a:fillRect/>
        </a:stretch>
      </xdr:blipFill>
      <xdr:spPr>
        <a:xfrm>
          <a:off x="1600200" y="752475"/>
          <a:ext cx="4671060" cy="1809750"/>
        </a:xfrm>
        <a:prstGeom prst="rect">
          <a:avLst/>
        </a:prstGeom>
        <a:noFill/>
        <a:effectLst>
          <a:outerShdw blurRad="50800" dist="38100" dir="5400000" algn="ctr" rotWithShape="0">
            <a:srgbClr val="000000">
              <a:alpha val="43137"/>
            </a:srgbClr>
          </a:outerShdw>
        </a:effectLst>
      </xdr:spPr>
    </xdr:pic>
    <xdr:clientData fLocksWithSheet="0"/>
  </xdr:oneCellAnchor>
  <xdr:oneCellAnchor>
    <xdr:from>
      <xdr:col>16</xdr:col>
      <xdr:colOff>0</xdr:colOff>
      <xdr:row>3</xdr:row>
      <xdr:rowOff>0</xdr:rowOff>
    </xdr:from>
    <xdr:ext cx="3905250" cy="2158365"/>
    <xdr:pic>
      <xdr:nvPicPr>
        <xdr:cNvPr id="4" name="image1.png">
          <a:extLst>
            <a:ext uri="{FF2B5EF4-FFF2-40B4-BE49-F238E27FC236}">
              <a16:creationId xmlns:a16="http://schemas.microsoft.com/office/drawing/2014/main" id="{3DAA2F0E-6216-4C8D-B00D-7EB1BF4B4F30}"/>
            </a:ext>
          </a:extLst>
        </xdr:cNvPr>
        <xdr:cNvPicPr preferRelativeResize="0"/>
      </xdr:nvPicPr>
      <xdr:blipFill>
        <a:blip xmlns:r="http://schemas.openxmlformats.org/officeDocument/2006/relationships" r:embed="rId3" cstate="print"/>
        <a:stretch>
          <a:fillRect/>
        </a:stretch>
      </xdr:blipFill>
      <xdr:spPr>
        <a:xfrm>
          <a:off x="10801350" y="571500"/>
          <a:ext cx="3905250" cy="2158365"/>
        </a:xfrm>
        <a:prstGeom prst="rect">
          <a:avLst/>
        </a:prstGeom>
        <a:noFill/>
      </xdr:spPr>
    </xdr:pic>
    <xdr:clientData fLocksWithSheet="0"/>
  </xdr:oneCellAnchor>
  <xdr:twoCellAnchor>
    <xdr:from>
      <xdr:col>16</xdr:col>
      <xdr:colOff>0</xdr:colOff>
      <xdr:row>16</xdr:row>
      <xdr:rowOff>0</xdr:rowOff>
    </xdr:from>
    <xdr:to>
      <xdr:col>22</xdr:col>
      <xdr:colOff>276225</xdr:colOff>
      <xdr:row>27</xdr:row>
      <xdr:rowOff>61913</xdr:rowOff>
    </xdr:to>
    <xdr:graphicFrame macro="">
      <xdr:nvGraphicFramePr>
        <xdr:cNvPr id="5" name="Chart 4">
          <a:extLst>
            <a:ext uri="{FF2B5EF4-FFF2-40B4-BE49-F238E27FC236}">
              <a16:creationId xmlns:a16="http://schemas.microsoft.com/office/drawing/2014/main" id="{0E9E9BE7-E185-4D1B-9DC4-8539B30A0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28</xdr:col>
      <xdr:colOff>0</xdr:colOff>
      <xdr:row>5</xdr:row>
      <xdr:rowOff>0</xdr:rowOff>
    </xdr:from>
    <xdr:ext cx="4042410" cy="1954530"/>
    <xdr:pic>
      <xdr:nvPicPr>
        <xdr:cNvPr id="6" name="image3.png">
          <a:extLst>
            <a:ext uri="{FF2B5EF4-FFF2-40B4-BE49-F238E27FC236}">
              <a16:creationId xmlns:a16="http://schemas.microsoft.com/office/drawing/2014/main" id="{F8AAE304-5E44-4242-B21A-A69E71BCBBED}"/>
            </a:ext>
          </a:extLst>
        </xdr:cNvPr>
        <xdr:cNvPicPr preferRelativeResize="0"/>
      </xdr:nvPicPr>
      <xdr:blipFill>
        <a:blip xmlns:r="http://schemas.openxmlformats.org/officeDocument/2006/relationships" r:embed="rId5" cstate="print"/>
        <a:stretch>
          <a:fillRect/>
        </a:stretch>
      </xdr:blipFill>
      <xdr:spPr>
        <a:xfrm>
          <a:off x="18326100" y="952500"/>
          <a:ext cx="4042410" cy="1954530"/>
        </a:xfrm>
        <a:prstGeom prst="rect">
          <a:avLst/>
        </a:prstGeom>
        <a:noFill/>
      </xdr:spPr>
    </xdr:pic>
    <xdr:clientData fLocksWithSheet="0"/>
  </xdr:oneCellAnchor>
  <xdr:twoCellAnchor>
    <xdr:from>
      <xdr:col>28</xdr:col>
      <xdr:colOff>0</xdr:colOff>
      <xdr:row>17</xdr:row>
      <xdr:rowOff>0</xdr:rowOff>
    </xdr:from>
    <xdr:to>
      <xdr:col>34</xdr:col>
      <xdr:colOff>485775</xdr:colOff>
      <xdr:row>28</xdr:row>
      <xdr:rowOff>142875</xdr:rowOff>
    </xdr:to>
    <xdr:graphicFrame macro="">
      <xdr:nvGraphicFramePr>
        <xdr:cNvPr id="7" name="Chart 6">
          <a:extLst>
            <a:ext uri="{FF2B5EF4-FFF2-40B4-BE49-F238E27FC236}">
              <a16:creationId xmlns:a16="http://schemas.microsoft.com/office/drawing/2014/main" id="{805D6D03-9E14-46C3-AB1D-E14DE7B96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600075</xdr:colOff>
      <xdr:row>4</xdr:row>
      <xdr:rowOff>66675</xdr:rowOff>
    </xdr:from>
    <xdr:to>
      <xdr:col>45</xdr:col>
      <xdr:colOff>123825</xdr:colOff>
      <xdr:row>16</xdr:row>
      <xdr:rowOff>38101</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308E666C-6DE2-4E64-A373-BC4FC01FD8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5384125" y="828675"/>
              <a:ext cx="4695825" cy="24669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628650</xdr:colOff>
      <xdr:row>17</xdr:row>
      <xdr:rowOff>0</xdr:rowOff>
    </xdr:from>
    <xdr:to>
      <xdr:col>45</xdr:col>
      <xdr:colOff>146685</xdr:colOff>
      <xdr:row>29</xdr:row>
      <xdr:rowOff>163830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1C47CA66-741B-4A73-8E57-31BBE6CAA7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5412700" y="3448050"/>
              <a:ext cx="4690110" cy="24498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53</xdr:col>
      <xdr:colOff>0</xdr:colOff>
      <xdr:row>5</xdr:row>
      <xdr:rowOff>0</xdr:rowOff>
    </xdr:from>
    <xdr:to>
      <xdr:col>60</xdr:col>
      <xdr:colOff>585789</xdr:colOff>
      <xdr:row>15</xdr:row>
      <xdr:rowOff>147638</xdr:rowOff>
    </xdr:to>
    <xdr:graphicFrame macro="">
      <xdr:nvGraphicFramePr>
        <xdr:cNvPr id="10" name="Chart 9">
          <a:extLst>
            <a:ext uri="{FF2B5EF4-FFF2-40B4-BE49-F238E27FC236}">
              <a16:creationId xmlns:a16="http://schemas.microsoft.com/office/drawing/2014/main" id="{4F50902C-1C55-480C-B6B0-EBCD81BCB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53</xdr:col>
      <xdr:colOff>0</xdr:colOff>
      <xdr:row>17</xdr:row>
      <xdr:rowOff>0</xdr:rowOff>
    </xdr:from>
    <xdr:to>
      <xdr:col>60</xdr:col>
      <xdr:colOff>563880</xdr:colOff>
      <xdr:row>29</xdr:row>
      <xdr:rowOff>125730</xdr:rowOff>
    </xdr:to>
    <xdr:graphicFrame macro="">
      <xdr:nvGraphicFramePr>
        <xdr:cNvPr id="11" name="Chart 10">
          <a:extLst>
            <a:ext uri="{FF2B5EF4-FFF2-40B4-BE49-F238E27FC236}">
              <a16:creationId xmlns:a16="http://schemas.microsoft.com/office/drawing/2014/main" id="{F060165C-6E58-4D2B-8ACE-97B2D94DF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ExcelR%20-%20DA\Advanced%20Excel\Assignments\Assignment\Assignment%206.xlsx" TargetMode="External"/><Relationship Id="rId1" Type="http://schemas.openxmlformats.org/officeDocument/2006/relationships/externalLinkPath" Target="file:///E:\ExcelR%20-%20DA\Advanced%20Excel\Assignments\Assignment\Assignment%206.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ExcelR%20-%20DA\Advanced%20Excel\Assignments\Assignment%20Day%204.xlsx" TargetMode="External"/><Relationship Id="rId1" Type="http://schemas.openxmlformats.org/officeDocument/2006/relationships/externalLinkPath" Target="file:///E:\ExcelR%20-%20DA\Advanced%20Excel\Assignments\Assignment%20Day%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ts"/>
      <sheetName val="Charts2"/>
      <sheetName val="Scatter"/>
      <sheetName val="Waterfall"/>
      <sheetName val="Gantt chart"/>
    </sheetNames>
    <sheetDataSet>
      <sheetData sheetId="0"/>
      <sheetData sheetId="1"/>
      <sheetData sheetId="2"/>
      <sheetData sheetId="3">
        <row r="5">
          <cell r="D5" t="str">
            <v>Net Cash Flow</v>
          </cell>
        </row>
        <row r="6">
          <cell r="C6" t="str">
            <v>Start Balance</v>
          </cell>
          <cell r="D6">
            <v>100000</v>
          </cell>
        </row>
        <row r="7">
          <cell r="C7" t="str">
            <v>JAN FY2022</v>
          </cell>
          <cell r="D7">
            <v>-25000</v>
          </cell>
        </row>
        <row r="8">
          <cell r="C8" t="str">
            <v>FEB FY2022</v>
          </cell>
          <cell r="D8">
            <v>10000</v>
          </cell>
        </row>
        <row r="9">
          <cell r="C9" t="str">
            <v>MAR FY2022</v>
          </cell>
          <cell r="D9">
            <v>14000</v>
          </cell>
        </row>
        <row r="10">
          <cell r="C10" t="str">
            <v>APR FY2022</v>
          </cell>
          <cell r="D10">
            <v>-15000</v>
          </cell>
        </row>
        <row r="11">
          <cell r="C11" t="str">
            <v>MAY FY2022</v>
          </cell>
          <cell r="D11">
            <v>-5000</v>
          </cell>
        </row>
        <row r="12">
          <cell r="C12" t="str">
            <v>JUN FY2022</v>
          </cell>
          <cell r="D12">
            <v>7000</v>
          </cell>
        </row>
        <row r="13">
          <cell r="C13" t="str">
            <v>JUL FY2022</v>
          </cell>
          <cell r="D13">
            <v>8500</v>
          </cell>
        </row>
        <row r="14">
          <cell r="C14" t="str">
            <v>AUG FY2022</v>
          </cell>
          <cell r="D14">
            <v>-10000</v>
          </cell>
        </row>
        <row r="15">
          <cell r="C15" t="str">
            <v>SEP FY2022</v>
          </cell>
          <cell r="D15">
            <v>-16000</v>
          </cell>
        </row>
        <row r="16">
          <cell r="C16" t="str">
            <v>OCT FY2022</v>
          </cell>
          <cell r="D16">
            <v>10000</v>
          </cell>
        </row>
        <row r="17">
          <cell r="C17" t="str">
            <v>Current Balance</v>
          </cell>
          <cell r="D17">
            <v>78500</v>
          </cell>
        </row>
      </sheetData>
      <sheetData sheetId="4">
        <row r="6">
          <cell r="D6" t="str">
            <v>Start 
Date</v>
          </cell>
          <cell r="F6" t="str">
            <v>Work Days Planned</v>
          </cell>
        </row>
        <row r="7">
          <cell r="C7" t="str">
            <v>Main task 1</v>
          </cell>
          <cell r="D7">
            <v>40081</v>
          </cell>
          <cell r="F7">
            <v>159</v>
          </cell>
        </row>
        <row r="8">
          <cell r="C8" t="str">
            <v>Sub-task 1</v>
          </cell>
          <cell r="D8">
            <v>40081</v>
          </cell>
          <cell r="F8">
            <v>114</v>
          </cell>
        </row>
        <row r="9">
          <cell r="C9" t="str">
            <v>Sub-task 2</v>
          </cell>
          <cell r="D9">
            <v>40119</v>
          </cell>
          <cell r="F9">
            <v>88</v>
          </cell>
        </row>
        <row r="10">
          <cell r="C10" t="str">
            <v>Sub-task 3</v>
          </cell>
          <cell r="D10">
            <v>40148</v>
          </cell>
          <cell r="F10">
            <v>20</v>
          </cell>
        </row>
        <row r="11">
          <cell r="C11" t="str">
            <v>Sub-task 4</v>
          </cell>
          <cell r="D11">
            <v>40148</v>
          </cell>
          <cell r="F11">
            <v>45</v>
          </cell>
        </row>
        <row r="12">
          <cell r="C12" t="str">
            <v>Sub-task 5</v>
          </cell>
          <cell r="D12">
            <v>40168</v>
          </cell>
          <cell r="F12">
            <v>25</v>
          </cell>
        </row>
        <row r="13">
          <cell r="C13" t="str">
            <v>Sub-task 6</v>
          </cell>
          <cell r="D13">
            <v>40182</v>
          </cell>
          <cell r="F13">
            <v>25</v>
          </cell>
        </row>
        <row r="14">
          <cell r="C14" t="str">
            <v>Main task 2</v>
          </cell>
          <cell r="D14">
            <v>40182</v>
          </cell>
          <cell r="F14">
            <v>51</v>
          </cell>
        </row>
        <row r="15">
          <cell r="C15" t="str">
            <v>Sub-task 1</v>
          </cell>
          <cell r="D15">
            <v>40182</v>
          </cell>
          <cell r="F15">
            <v>7</v>
          </cell>
        </row>
        <row r="16">
          <cell r="C16" t="str">
            <v>Sub-task 2</v>
          </cell>
          <cell r="D16">
            <v>40189</v>
          </cell>
          <cell r="F16">
            <v>15</v>
          </cell>
        </row>
        <row r="17">
          <cell r="C17" t="str">
            <v>Sub-task 3</v>
          </cell>
          <cell r="D17">
            <v>40203</v>
          </cell>
          <cell r="F17">
            <v>30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lookup"/>
      <sheetName val="Master Emp sheet"/>
      <sheetName val="Source"/>
    </sheetNames>
    <sheetDataSet>
      <sheetData sheetId="0" refreshError="1"/>
      <sheetData sheetId="1" refreshError="1"/>
      <sheetData sheetId="2" refreshError="1">
        <row r="1">
          <cell r="B1" t="str">
            <v>C_Code</v>
          </cell>
          <cell r="C1" t="str">
            <v>Department</v>
          </cell>
          <cell r="D1" t="str">
            <v>Region</v>
          </cell>
          <cell r="E1" t="str">
            <v>Salary</v>
          </cell>
        </row>
        <row r="2">
          <cell r="B2">
            <v>150773</v>
          </cell>
          <cell r="C2" t="str">
            <v>Finance</v>
          </cell>
          <cell r="D2" t="str">
            <v>North</v>
          </cell>
          <cell r="E2">
            <v>85000</v>
          </cell>
        </row>
        <row r="3">
          <cell r="B3">
            <v>150777</v>
          </cell>
          <cell r="C3" t="str">
            <v>Marketing</v>
          </cell>
          <cell r="D3" t="str">
            <v>North</v>
          </cell>
          <cell r="E3">
            <v>22000</v>
          </cell>
        </row>
        <row r="4">
          <cell r="B4">
            <v>150784</v>
          </cell>
          <cell r="C4" t="str">
            <v>Digital Marketing</v>
          </cell>
          <cell r="D4" t="str">
            <v>North</v>
          </cell>
          <cell r="E4">
            <v>35000</v>
          </cell>
        </row>
        <row r="5">
          <cell r="B5">
            <v>150791</v>
          </cell>
          <cell r="C5" t="str">
            <v>Digital Marketing</v>
          </cell>
          <cell r="D5" t="str">
            <v>North</v>
          </cell>
          <cell r="E5">
            <v>67000</v>
          </cell>
        </row>
        <row r="6">
          <cell r="B6">
            <v>150798</v>
          </cell>
          <cell r="C6" t="str">
            <v>Digital Marketing</v>
          </cell>
          <cell r="D6" t="str">
            <v>North</v>
          </cell>
          <cell r="E6">
            <v>81000</v>
          </cell>
        </row>
        <row r="7">
          <cell r="B7">
            <v>150805</v>
          </cell>
          <cell r="C7" t="str">
            <v>Director</v>
          </cell>
          <cell r="D7" t="str">
            <v>North</v>
          </cell>
          <cell r="E7">
            <v>91000</v>
          </cell>
        </row>
        <row r="8">
          <cell r="B8">
            <v>150814</v>
          </cell>
          <cell r="C8" t="str">
            <v>Inside Sales</v>
          </cell>
          <cell r="D8" t="str">
            <v>North</v>
          </cell>
          <cell r="E8">
            <v>50000</v>
          </cell>
        </row>
        <row r="9">
          <cell r="B9">
            <v>150821</v>
          </cell>
          <cell r="C9" t="str">
            <v>CCD</v>
          </cell>
          <cell r="D9" t="str">
            <v>North</v>
          </cell>
          <cell r="E9">
            <v>26000</v>
          </cell>
        </row>
        <row r="10">
          <cell r="B10">
            <v>150830</v>
          </cell>
          <cell r="C10" t="str">
            <v>Sales</v>
          </cell>
          <cell r="D10" t="str">
            <v>North</v>
          </cell>
          <cell r="E10">
            <v>52000</v>
          </cell>
        </row>
        <row r="11">
          <cell r="B11">
            <v>150834</v>
          </cell>
          <cell r="C11" t="str">
            <v>FLM</v>
          </cell>
          <cell r="D11" t="str">
            <v>North</v>
          </cell>
          <cell r="E11">
            <v>48000</v>
          </cell>
        </row>
        <row r="12">
          <cell r="B12">
            <v>150840</v>
          </cell>
          <cell r="C12" t="str">
            <v>Inside Sales</v>
          </cell>
          <cell r="D12" t="str">
            <v>East</v>
          </cell>
          <cell r="E12">
            <v>20000</v>
          </cell>
        </row>
        <row r="13">
          <cell r="B13">
            <v>150850</v>
          </cell>
          <cell r="C13" t="str">
            <v>CCD</v>
          </cell>
          <cell r="D13" t="str">
            <v>East</v>
          </cell>
          <cell r="E13">
            <v>47000</v>
          </cell>
        </row>
        <row r="14">
          <cell r="B14">
            <v>150851</v>
          </cell>
          <cell r="C14" t="str">
            <v>Inside Sales</v>
          </cell>
          <cell r="D14" t="str">
            <v>East</v>
          </cell>
          <cell r="E14">
            <v>75000</v>
          </cell>
        </row>
        <row r="15">
          <cell r="B15">
            <v>150865</v>
          </cell>
          <cell r="C15" t="str">
            <v>CEO</v>
          </cell>
          <cell r="D15" t="str">
            <v>East</v>
          </cell>
          <cell r="E15">
            <v>90000</v>
          </cell>
        </row>
        <row r="16">
          <cell r="B16">
            <v>150867</v>
          </cell>
          <cell r="C16" t="str">
            <v>Finance</v>
          </cell>
          <cell r="D16" t="str">
            <v>East</v>
          </cell>
          <cell r="E16">
            <v>49000</v>
          </cell>
        </row>
        <row r="17">
          <cell r="B17">
            <v>150874</v>
          </cell>
          <cell r="C17" t="str">
            <v>Marketing</v>
          </cell>
          <cell r="D17" t="str">
            <v>East</v>
          </cell>
          <cell r="E17">
            <v>27000</v>
          </cell>
        </row>
        <row r="18">
          <cell r="B18">
            <v>150881</v>
          </cell>
          <cell r="C18" t="str">
            <v>Digital Marketing</v>
          </cell>
          <cell r="D18" t="str">
            <v>East</v>
          </cell>
          <cell r="E18">
            <v>92000</v>
          </cell>
        </row>
        <row r="19">
          <cell r="B19">
            <v>150888</v>
          </cell>
          <cell r="C19" t="str">
            <v>Learning &amp; Development</v>
          </cell>
          <cell r="D19" t="str">
            <v>East</v>
          </cell>
          <cell r="E19">
            <v>43000</v>
          </cell>
        </row>
        <row r="20">
          <cell r="B20">
            <v>150894</v>
          </cell>
          <cell r="C20" t="str">
            <v>Inside Sales</v>
          </cell>
          <cell r="D20" t="str">
            <v>South</v>
          </cell>
          <cell r="E20">
            <v>67000</v>
          </cell>
        </row>
        <row r="21">
          <cell r="B21">
            <v>150901</v>
          </cell>
          <cell r="C21" t="str">
            <v>Sales</v>
          </cell>
          <cell r="D21" t="str">
            <v>South</v>
          </cell>
          <cell r="E21">
            <v>53000</v>
          </cell>
        </row>
        <row r="22">
          <cell r="B22">
            <v>150905</v>
          </cell>
          <cell r="C22" t="str">
            <v>FLM</v>
          </cell>
          <cell r="D22" t="str">
            <v>South</v>
          </cell>
          <cell r="E22">
            <v>62000</v>
          </cell>
        </row>
        <row r="23">
          <cell r="B23">
            <v>150912</v>
          </cell>
          <cell r="C23" t="str">
            <v>Operations</v>
          </cell>
          <cell r="D23" t="str">
            <v>South</v>
          </cell>
          <cell r="E23">
            <v>81000</v>
          </cell>
        </row>
        <row r="24">
          <cell r="B24">
            <v>150921</v>
          </cell>
          <cell r="C24" t="str">
            <v>Finance</v>
          </cell>
          <cell r="D24" t="str">
            <v>South</v>
          </cell>
          <cell r="E24">
            <v>19000</v>
          </cell>
        </row>
        <row r="25">
          <cell r="B25">
            <v>150929</v>
          </cell>
          <cell r="C25" t="str">
            <v>Marketing</v>
          </cell>
          <cell r="D25" t="str">
            <v>South</v>
          </cell>
          <cell r="E25">
            <v>58000</v>
          </cell>
        </row>
        <row r="26">
          <cell r="B26">
            <v>150930</v>
          </cell>
          <cell r="C26" t="str">
            <v>Digital Marketing</v>
          </cell>
          <cell r="D26" t="str">
            <v>South</v>
          </cell>
          <cell r="E26">
            <v>82000</v>
          </cell>
        </row>
        <row r="27">
          <cell r="B27">
            <v>150937</v>
          </cell>
          <cell r="C27" t="str">
            <v>Learning &amp; Development</v>
          </cell>
          <cell r="D27" t="str">
            <v>South</v>
          </cell>
          <cell r="E27">
            <v>37000</v>
          </cell>
        </row>
        <row r="28">
          <cell r="B28">
            <v>150940</v>
          </cell>
          <cell r="C28" t="str">
            <v>Inside Sales</v>
          </cell>
          <cell r="D28" t="str">
            <v>South</v>
          </cell>
          <cell r="E28">
            <v>87000</v>
          </cell>
        </row>
        <row r="29">
          <cell r="B29">
            <v>150947</v>
          </cell>
          <cell r="C29" t="str">
            <v>CCD</v>
          </cell>
          <cell r="D29" t="str">
            <v>South</v>
          </cell>
          <cell r="E29">
            <v>85000</v>
          </cell>
        </row>
        <row r="30">
          <cell r="B30">
            <v>150962</v>
          </cell>
          <cell r="C30" t="str">
            <v>Director</v>
          </cell>
          <cell r="D30" t="str">
            <v>South</v>
          </cell>
          <cell r="E30">
            <v>87000</v>
          </cell>
        </row>
        <row r="31">
          <cell r="B31">
            <v>150968</v>
          </cell>
          <cell r="C31" t="str">
            <v>Operations</v>
          </cell>
          <cell r="D31" t="str">
            <v>South</v>
          </cell>
          <cell r="E31">
            <v>65000</v>
          </cell>
        </row>
        <row r="32">
          <cell r="B32">
            <v>150975</v>
          </cell>
          <cell r="C32" t="str">
            <v>Finance</v>
          </cell>
          <cell r="D32" t="str">
            <v>Mid West</v>
          </cell>
          <cell r="E32">
            <v>83000</v>
          </cell>
        </row>
        <row r="33">
          <cell r="B33">
            <v>150982</v>
          </cell>
          <cell r="C33" t="str">
            <v>Marketing</v>
          </cell>
          <cell r="D33" t="str">
            <v>Mid West</v>
          </cell>
          <cell r="E33">
            <v>47000</v>
          </cell>
        </row>
        <row r="34">
          <cell r="B34">
            <v>150989</v>
          </cell>
          <cell r="C34" t="str">
            <v>Digital Marketing</v>
          </cell>
          <cell r="D34" t="str">
            <v>Mid West</v>
          </cell>
          <cell r="E34">
            <v>45000</v>
          </cell>
        </row>
        <row r="35">
          <cell r="B35">
            <v>150990</v>
          </cell>
          <cell r="C35" t="str">
            <v>Learning &amp; Development</v>
          </cell>
          <cell r="D35" t="str">
            <v>Mid West</v>
          </cell>
          <cell r="E35">
            <v>77000</v>
          </cell>
        </row>
        <row r="36">
          <cell r="B36">
            <v>150995</v>
          </cell>
          <cell r="C36" t="str">
            <v>Inside Sales</v>
          </cell>
          <cell r="D36" t="str">
            <v>Mid West</v>
          </cell>
          <cell r="E36">
            <v>15000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44"/>
  <sheetViews>
    <sheetView topLeftCell="D19" workbookViewId="0">
      <selection activeCell="N20" sqref="N20"/>
    </sheetView>
  </sheetViews>
  <sheetFormatPr defaultColWidth="14.42578125" defaultRowHeight="15" x14ac:dyDescent="0.25"/>
  <cols>
    <col min="1" max="1" width="8.7109375" customWidth="1"/>
    <col min="2" max="2" width="7.42578125" bestFit="1" customWidth="1"/>
    <col min="3" max="4" width="13.28515625" bestFit="1" customWidth="1"/>
    <col min="5" max="5" width="10" bestFit="1" customWidth="1"/>
    <col min="6" max="6" width="7.28515625" bestFit="1" customWidth="1"/>
    <col min="7" max="7" width="9" bestFit="1" customWidth="1"/>
    <col min="8" max="8" width="21.5703125" bestFit="1" customWidth="1"/>
    <col min="9" max="9" width="8.7109375" bestFit="1" customWidth="1"/>
    <col min="10" max="10" width="10.7109375" bestFit="1" customWidth="1"/>
    <col min="11" max="12" width="8.7109375" customWidth="1"/>
    <col min="13" max="13" width="49.5703125" bestFit="1" customWidth="1"/>
    <col min="14" max="16" width="8.28515625" customWidth="1"/>
    <col min="17" max="17" width="9" customWidth="1"/>
    <col min="18" max="26" width="8.7109375" customWidth="1"/>
  </cols>
  <sheetData>
    <row r="2" spans="2:14" x14ac:dyDescent="0.25">
      <c r="C2" s="164" t="s">
        <v>0</v>
      </c>
      <c r="D2" s="164"/>
      <c r="E2" s="164"/>
      <c r="F2" s="164"/>
      <c r="G2" s="164"/>
      <c r="H2" s="164"/>
      <c r="I2" s="164"/>
      <c r="J2" s="164"/>
      <c r="M2" s="165" t="s">
        <v>1</v>
      </c>
      <c r="N2" s="166"/>
    </row>
    <row r="3" spans="2:14" x14ac:dyDescent="0.25">
      <c r="C3" s="164" t="s">
        <v>2</v>
      </c>
      <c r="D3" s="164"/>
      <c r="E3" s="164"/>
      <c r="F3" s="164"/>
      <c r="G3" s="164"/>
      <c r="H3" s="164"/>
      <c r="I3" s="164"/>
      <c r="J3" s="164"/>
      <c r="M3" s="1" t="s">
        <v>3</v>
      </c>
      <c r="N3" s="2">
        <f>SUM(Salary)</f>
        <v>2191000</v>
      </c>
    </row>
    <row r="4" spans="2:14" x14ac:dyDescent="0.25">
      <c r="M4" s="1" t="s">
        <v>4</v>
      </c>
      <c r="N4" s="3">
        <f>AVERAGE(Salary)</f>
        <v>57657.894736842107</v>
      </c>
    </row>
    <row r="5" spans="2:14" x14ac:dyDescent="0.25">
      <c r="M5" s="1" t="s">
        <v>5</v>
      </c>
      <c r="N5" s="2">
        <f>MEDIAN(Salary)</f>
        <v>55000</v>
      </c>
    </row>
    <row r="6" spans="2:14" x14ac:dyDescent="0.25">
      <c r="B6" s="1" t="s">
        <v>6</v>
      </c>
      <c r="C6" s="1" t="s">
        <v>7</v>
      </c>
      <c r="D6" s="1" t="s">
        <v>8</v>
      </c>
      <c r="E6" s="1" t="s">
        <v>9</v>
      </c>
      <c r="F6" s="1" t="s">
        <v>10</v>
      </c>
      <c r="G6" s="1" t="s">
        <v>11</v>
      </c>
      <c r="H6" s="1" t="s">
        <v>12</v>
      </c>
      <c r="I6" s="1" t="s">
        <v>13</v>
      </c>
      <c r="J6" s="1" t="s">
        <v>14</v>
      </c>
      <c r="M6" s="1" t="s">
        <v>15</v>
      </c>
      <c r="N6" s="2">
        <f>COUNT(B7:B44)</f>
        <v>38</v>
      </c>
    </row>
    <row r="7" spans="2:14" x14ac:dyDescent="0.25">
      <c r="B7" s="4">
        <v>150834</v>
      </c>
      <c r="C7" s="5" t="s">
        <v>16</v>
      </c>
      <c r="D7" s="5" t="s">
        <v>17</v>
      </c>
      <c r="E7" s="6">
        <v>31199</v>
      </c>
      <c r="F7" s="7" t="s">
        <v>18</v>
      </c>
      <c r="G7" s="5" t="s">
        <v>19</v>
      </c>
      <c r="H7" s="5" t="s">
        <v>20</v>
      </c>
      <c r="I7" s="5" t="s">
        <v>21</v>
      </c>
      <c r="J7" s="2">
        <v>48000</v>
      </c>
      <c r="M7" s="1" t="s">
        <v>22</v>
      </c>
      <c r="N7" s="2">
        <f>MAX(Salary)</f>
        <v>92000</v>
      </c>
    </row>
    <row r="8" spans="2:14" x14ac:dyDescent="0.25">
      <c r="B8" s="4">
        <v>150784</v>
      </c>
      <c r="C8" s="5" t="s">
        <v>23</v>
      </c>
      <c r="D8" s="5" t="s">
        <v>24</v>
      </c>
      <c r="E8" s="6">
        <v>28365</v>
      </c>
      <c r="F8" s="7" t="s">
        <v>18</v>
      </c>
      <c r="G8" s="5" t="s">
        <v>25</v>
      </c>
      <c r="H8" s="5" t="s">
        <v>26</v>
      </c>
      <c r="I8" s="5" t="s">
        <v>21</v>
      </c>
      <c r="J8" s="2">
        <v>35000</v>
      </c>
      <c r="M8" s="1" t="s">
        <v>27</v>
      </c>
      <c r="N8" s="2">
        <f>MIN(Salary)</f>
        <v>15000</v>
      </c>
    </row>
    <row r="9" spans="2:14" x14ac:dyDescent="0.25">
      <c r="B9" s="4">
        <v>150791</v>
      </c>
      <c r="C9" s="5" t="s">
        <v>28</v>
      </c>
      <c r="D9" s="5" t="s">
        <v>29</v>
      </c>
      <c r="E9" s="6">
        <v>23346</v>
      </c>
      <c r="F9" s="7" t="s">
        <v>18</v>
      </c>
      <c r="G9" s="5" t="s">
        <v>19</v>
      </c>
      <c r="H9" s="5" t="s">
        <v>26</v>
      </c>
      <c r="I9" s="5" t="s">
        <v>21</v>
      </c>
      <c r="J9" s="2">
        <v>67000</v>
      </c>
    </row>
    <row r="10" spans="2:14" x14ac:dyDescent="0.25">
      <c r="B10" s="4">
        <v>150940</v>
      </c>
      <c r="C10" s="5" t="s">
        <v>30</v>
      </c>
      <c r="D10" s="5" t="s">
        <v>31</v>
      </c>
      <c r="E10" s="6">
        <v>26906</v>
      </c>
      <c r="F10" s="7" t="s">
        <v>32</v>
      </c>
      <c r="G10" s="5" t="s">
        <v>25</v>
      </c>
      <c r="H10" s="5" t="s">
        <v>33</v>
      </c>
      <c r="I10" s="5" t="s">
        <v>34</v>
      </c>
      <c r="J10" s="2">
        <v>87000</v>
      </c>
      <c r="M10" s="165" t="s">
        <v>35</v>
      </c>
      <c r="N10" s="166"/>
    </row>
    <row r="11" spans="2:14" x14ac:dyDescent="0.25">
      <c r="B11" s="4">
        <v>150777</v>
      </c>
      <c r="C11" s="5" t="s">
        <v>36</v>
      </c>
      <c r="D11" s="5" t="s">
        <v>37</v>
      </c>
      <c r="E11" s="6">
        <v>21123</v>
      </c>
      <c r="F11" s="7" t="s">
        <v>32</v>
      </c>
      <c r="G11" s="5" t="s">
        <v>19</v>
      </c>
      <c r="H11" s="5" t="s">
        <v>38</v>
      </c>
      <c r="I11" s="5" t="s">
        <v>21</v>
      </c>
      <c r="J11" s="2">
        <v>22000</v>
      </c>
      <c r="M11" s="2" t="s">
        <v>39</v>
      </c>
      <c r="N11" s="2">
        <f>COUNTIFS(F7:F44,"Male")</f>
        <v>23</v>
      </c>
    </row>
    <row r="12" spans="2:14" x14ac:dyDescent="0.25">
      <c r="B12" s="4">
        <v>150805</v>
      </c>
      <c r="C12" s="5" t="s">
        <v>28</v>
      </c>
      <c r="D12" s="5" t="s">
        <v>40</v>
      </c>
      <c r="E12" s="6">
        <v>26172</v>
      </c>
      <c r="F12" s="7" t="s">
        <v>32</v>
      </c>
      <c r="G12" s="5" t="s">
        <v>19</v>
      </c>
      <c r="H12" s="5" t="s">
        <v>41</v>
      </c>
      <c r="I12" s="5" t="s">
        <v>21</v>
      </c>
      <c r="J12" s="2">
        <v>91000</v>
      </c>
      <c r="M12" s="2" t="s">
        <v>42</v>
      </c>
      <c r="N12" s="2">
        <f>COUNTIFS(F7:F44,"Female")</f>
        <v>15</v>
      </c>
    </row>
    <row r="13" spans="2:14" x14ac:dyDescent="0.25">
      <c r="B13" s="4">
        <v>150990</v>
      </c>
      <c r="C13" s="5" t="s">
        <v>43</v>
      </c>
      <c r="D13" s="5" t="s">
        <v>44</v>
      </c>
      <c r="E13" s="6">
        <v>36400</v>
      </c>
      <c r="F13" s="7" t="s">
        <v>32</v>
      </c>
      <c r="G13" s="5" t="s">
        <v>19</v>
      </c>
      <c r="H13" s="5" t="s">
        <v>45</v>
      </c>
      <c r="I13" s="5" t="s">
        <v>46</v>
      </c>
      <c r="J13" s="2">
        <v>77000</v>
      </c>
      <c r="M13" s="2" t="s">
        <v>47</v>
      </c>
      <c r="N13" s="8">
        <f>COUNTIFS(Reg,"North")</f>
        <v>10</v>
      </c>
    </row>
    <row r="14" spans="2:14" x14ac:dyDescent="0.25">
      <c r="B14" s="4">
        <v>150989</v>
      </c>
      <c r="C14" s="5" t="s">
        <v>48</v>
      </c>
      <c r="D14" s="5" t="s">
        <v>44</v>
      </c>
      <c r="E14" s="6">
        <v>33113</v>
      </c>
      <c r="F14" s="7" t="s">
        <v>32</v>
      </c>
      <c r="G14" s="5" t="s">
        <v>19</v>
      </c>
      <c r="H14" s="5" t="s">
        <v>26</v>
      </c>
      <c r="I14" s="5" t="s">
        <v>46</v>
      </c>
      <c r="J14" s="2">
        <v>45000</v>
      </c>
      <c r="M14" s="9" t="s">
        <v>49</v>
      </c>
      <c r="N14" s="10">
        <f>AVERAGEIFS(Salary,Depart,"Sales",Reg,"North")</f>
        <v>52000</v>
      </c>
    </row>
    <row r="15" spans="2:14" x14ac:dyDescent="0.25">
      <c r="B15" s="4">
        <v>150881</v>
      </c>
      <c r="C15" s="5" t="s">
        <v>50</v>
      </c>
      <c r="D15" s="5" t="s">
        <v>51</v>
      </c>
      <c r="E15" s="6">
        <v>30337</v>
      </c>
      <c r="F15" s="7" t="s">
        <v>32</v>
      </c>
      <c r="G15" s="5" t="s">
        <v>25</v>
      </c>
      <c r="H15" s="5" t="s">
        <v>26</v>
      </c>
      <c r="I15" s="5" t="s">
        <v>52</v>
      </c>
      <c r="J15" s="2">
        <v>92000</v>
      </c>
      <c r="M15" s="2" t="s">
        <v>53</v>
      </c>
      <c r="N15" s="11">
        <f>_xlfn.MAXIFS(Salary,Depart,"Digital Marketing")</f>
        <v>92000</v>
      </c>
    </row>
    <row r="16" spans="2:14" x14ac:dyDescent="0.25">
      <c r="B16" s="4">
        <v>150814</v>
      </c>
      <c r="C16" s="5" t="s">
        <v>54</v>
      </c>
      <c r="D16" s="5" t="s">
        <v>55</v>
      </c>
      <c r="E16" s="6">
        <v>26246</v>
      </c>
      <c r="F16" s="7" t="s">
        <v>32</v>
      </c>
      <c r="G16" s="5" t="s">
        <v>19</v>
      </c>
      <c r="H16" s="5" t="s">
        <v>33</v>
      </c>
      <c r="I16" s="5" t="s">
        <v>21</v>
      </c>
      <c r="J16" s="2">
        <v>50000</v>
      </c>
      <c r="M16" s="9" t="s">
        <v>56</v>
      </c>
      <c r="N16" s="10">
        <f>_xlfn.MINIFS(Salary,Reg,"South")</f>
        <v>19000</v>
      </c>
    </row>
    <row r="17" spans="2:17" x14ac:dyDescent="0.25">
      <c r="B17" s="4">
        <v>150937</v>
      </c>
      <c r="C17" s="5" t="s">
        <v>57</v>
      </c>
      <c r="D17" s="5" t="s">
        <v>58</v>
      </c>
      <c r="E17" s="6">
        <v>24700</v>
      </c>
      <c r="F17" s="7" t="s">
        <v>32</v>
      </c>
      <c r="G17" s="5" t="s">
        <v>19</v>
      </c>
      <c r="H17" s="5" t="s">
        <v>45</v>
      </c>
      <c r="I17" s="5" t="s">
        <v>34</v>
      </c>
      <c r="J17" s="2">
        <v>37000</v>
      </c>
    </row>
    <row r="18" spans="2:17" x14ac:dyDescent="0.25">
      <c r="B18" s="4">
        <v>150888</v>
      </c>
      <c r="C18" s="5" t="s">
        <v>59</v>
      </c>
      <c r="D18" s="5" t="s">
        <v>60</v>
      </c>
      <c r="E18" s="6">
        <v>29221</v>
      </c>
      <c r="F18" s="7" t="s">
        <v>32</v>
      </c>
      <c r="G18" s="5" t="s">
        <v>19</v>
      </c>
      <c r="H18" s="5" t="s">
        <v>45</v>
      </c>
      <c r="I18" s="5" t="s">
        <v>52</v>
      </c>
      <c r="J18" s="2">
        <v>43000</v>
      </c>
      <c r="M18" s="161" t="s">
        <v>113</v>
      </c>
      <c r="N18" s="162"/>
      <c r="O18" s="162"/>
      <c r="P18" s="162"/>
      <c r="Q18" s="163"/>
    </row>
    <row r="19" spans="2:17" x14ac:dyDescent="0.25">
      <c r="B19" s="4">
        <v>150865</v>
      </c>
      <c r="C19" s="5" t="s">
        <v>61</v>
      </c>
      <c r="D19" s="5" t="s">
        <v>60</v>
      </c>
      <c r="E19" s="6">
        <v>31279</v>
      </c>
      <c r="F19" s="7" t="s">
        <v>18</v>
      </c>
      <c r="G19" s="5" t="s">
        <v>19</v>
      </c>
      <c r="H19" s="5" t="s">
        <v>62</v>
      </c>
      <c r="I19" s="5" t="s">
        <v>52</v>
      </c>
      <c r="J19" s="2">
        <v>90000</v>
      </c>
      <c r="M19" s="12" t="s">
        <v>68</v>
      </c>
      <c r="N19" s="12" t="s">
        <v>21</v>
      </c>
      <c r="O19" s="12" t="s">
        <v>34</v>
      </c>
      <c r="P19" s="12" t="s">
        <v>52</v>
      </c>
      <c r="Q19" s="12" t="s">
        <v>46</v>
      </c>
    </row>
    <row r="20" spans="2:17" x14ac:dyDescent="0.25">
      <c r="B20" s="4">
        <v>150858</v>
      </c>
      <c r="C20" s="5" t="s">
        <v>63</v>
      </c>
      <c r="D20" s="5" t="s">
        <v>64</v>
      </c>
      <c r="E20" s="6">
        <v>34846</v>
      </c>
      <c r="F20" s="7" t="s">
        <v>32</v>
      </c>
      <c r="G20" s="5" t="s">
        <v>19</v>
      </c>
      <c r="H20" s="5" t="s">
        <v>65</v>
      </c>
      <c r="I20" s="5" t="s">
        <v>52</v>
      </c>
      <c r="J20" s="2">
        <v>34000</v>
      </c>
      <c r="M20" s="13" t="s">
        <v>20</v>
      </c>
      <c r="N20" s="14">
        <f>COUNTIFS(Reg,"North",Depart,"FLM")</f>
        <v>1</v>
      </c>
      <c r="O20" s="14">
        <f>COUNTIFS(Reg,"South",Depart,"FLM")</f>
        <v>1</v>
      </c>
      <c r="P20" s="14">
        <f>COUNTIFS(Reg,"East",Depart,"FLM")</f>
        <v>0</v>
      </c>
      <c r="Q20" s="14">
        <f>COUNTIFS(Reg,"mid West",Depart,"FLM")</f>
        <v>0</v>
      </c>
    </row>
    <row r="21" spans="2:17" ht="15" customHeight="1" x14ac:dyDescent="0.25">
      <c r="B21" s="4">
        <v>150930</v>
      </c>
      <c r="C21" s="5" t="s">
        <v>66</v>
      </c>
      <c r="D21" s="5" t="s">
        <v>67</v>
      </c>
      <c r="E21" s="6">
        <v>37027</v>
      </c>
      <c r="F21" s="7" t="s">
        <v>32</v>
      </c>
      <c r="G21" s="5" t="s">
        <v>19</v>
      </c>
      <c r="H21" s="5" t="s">
        <v>26</v>
      </c>
      <c r="I21" s="5" t="s">
        <v>34</v>
      </c>
      <c r="J21" s="2">
        <v>82000</v>
      </c>
      <c r="M21" s="13" t="s">
        <v>26</v>
      </c>
      <c r="N21" s="14">
        <f>COUNTIFS(Reg,"North",Depart,"Digital marketing")</f>
        <v>3</v>
      </c>
      <c r="O21" s="14">
        <f>COUNTIFS(Reg,"South",Depart,"Digital marketing")</f>
        <v>1</v>
      </c>
      <c r="P21" s="14">
        <f>COUNTIFS(Reg,"East",Depart,"Digital marketing")</f>
        <v>1</v>
      </c>
      <c r="Q21" s="14">
        <f>COUNTIFS(Reg,"Mid West",Depart,"Digital marketing")</f>
        <v>1</v>
      </c>
    </row>
    <row r="22" spans="2:17" x14ac:dyDescent="0.25">
      <c r="B22" s="4">
        <v>150894</v>
      </c>
      <c r="C22" s="5" t="s">
        <v>69</v>
      </c>
      <c r="D22" s="5" t="s">
        <v>70</v>
      </c>
      <c r="E22" s="6">
        <v>37124</v>
      </c>
      <c r="F22" s="7" t="s">
        <v>32</v>
      </c>
      <c r="G22" s="5" t="s">
        <v>19</v>
      </c>
      <c r="H22" s="5" t="s">
        <v>33</v>
      </c>
      <c r="I22" s="5" t="s">
        <v>34</v>
      </c>
      <c r="J22" s="2">
        <v>67000</v>
      </c>
      <c r="M22" s="13" t="s">
        <v>33</v>
      </c>
      <c r="N22" s="14">
        <f>COUNTIFS(Reg,"North",Depart,"Inside Sales")</f>
        <v>1</v>
      </c>
      <c r="O22" s="14">
        <f>COUNTIFS(Reg,"South",Depart,"Digital marketing")</f>
        <v>1</v>
      </c>
      <c r="P22" s="14">
        <f>COUNTIFS(Reg,"east",Depart,"Digital marketing")</f>
        <v>1</v>
      </c>
      <c r="Q22" s="14">
        <f>COUNTIFS(Reg,"Mid west",Depart,"Digital marketing")</f>
        <v>1</v>
      </c>
    </row>
    <row r="23" spans="2:17" x14ac:dyDescent="0.25">
      <c r="B23" s="4">
        <v>150947</v>
      </c>
      <c r="C23" s="5" t="s">
        <v>71</v>
      </c>
      <c r="D23" s="5" t="s">
        <v>72</v>
      </c>
      <c r="E23" s="6">
        <v>33449</v>
      </c>
      <c r="F23" s="7" t="s">
        <v>18</v>
      </c>
      <c r="G23" s="5" t="s">
        <v>19</v>
      </c>
      <c r="H23" s="5" t="s">
        <v>65</v>
      </c>
      <c r="I23" s="5" t="s">
        <v>34</v>
      </c>
      <c r="J23" s="2">
        <v>85000</v>
      </c>
      <c r="M23" s="13" t="s">
        <v>38</v>
      </c>
      <c r="N23" s="14">
        <f>COUNTIFS(Reg,"North",Depart,"marketing")</f>
        <v>1</v>
      </c>
      <c r="O23" s="14">
        <f>COUNTIFS(Reg,"South",Depart,"marketing")</f>
        <v>1</v>
      </c>
      <c r="P23" s="14">
        <f>COUNTIFS(Reg,"East",Depart,"marketing")</f>
        <v>1</v>
      </c>
      <c r="Q23" s="14">
        <f>COUNTIFS(Reg,"Mid West",Depart,"marketing")</f>
        <v>1</v>
      </c>
    </row>
    <row r="24" spans="2:17" x14ac:dyDescent="0.25">
      <c r="B24" s="4">
        <v>150905</v>
      </c>
      <c r="C24" s="5" t="s">
        <v>73</v>
      </c>
      <c r="D24" s="5" t="s">
        <v>74</v>
      </c>
      <c r="E24" s="6">
        <v>30819</v>
      </c>
      <c r="F24" s="7" t="s">
        <v>18</v>
      </c>
      <c r="G24" s="5" t="s">
        <v>25</v>
      </c>
      <c r="H24" s="5" t="s">
        <v>20</v>
      </c>
      <c r="I24" s="5" t="s">
        <v>34</v>
      </c>
      <c r="J24" s="2">
        <v>62000</v>
      </c>
      <c r="M24" s="13" t="s">
        <v>41</v>
      </c>
      <c r="N24" s="14">
        <f>COUNTIFS(Reg,"North",Depart,"Director")</f>
        <v>1</v>
      </c>
      <c r="O24" s="14">
        <f>COUNTIFS(Reg,"South",Depart,"Director")</f>
        <v>1</v>
      </c>
      <c r="P24" s="14">
        <f>COUNTIFS(Reg,"East",Depart,"Director")</f>
        <v>0</v>
      </c>
      <c r="Q24" s="14">
        <f>COUNTIFS(Reg,"Mid West",Depart,"Director")</f>
        <v>0</v>
      </c>
    </row>
    <row r="25" spans="2:17" x14ac:dyDescent="0.25">
      <c r="B25" s="4">
        <v>150995</v>
      </c>
      <c r="C25" s="5" t="s">
        <v>75</v>
      </c>
      <c r="D25" s="5" t="s">
        <v>76</v>
      </c>
      <c r="E25" s="6">
        <v>35330</v>
      </c>
      <c r="F25" s="7" t="s">
        <v>32</v>
      </c>
      <c r="G25" s="5" t="s">
        <v>19</v>
      </c>
      <c r="H25" s="5" t="s">
        <v>33</v>
      </c>
      <c r="I25" s="5" t="s">
        <v>46</v>
      </c>
      <c r="J25" s="2">
        <v>15000</v>
      </c>
      <c r="M25" s="13" t="s">
        <v>45</v>
      </c>
      <c r="N25" s="14">
        <f>COUNTIFS(Reg,"North",Depart,"Learning &amp; Development")</f>
        <v>0</v>
      </c>
      <c r="O25" s="14">
        <f>COUNTIFS(Reg,"South",Depart,"Learning &amp; Development")</f>
        <v>1</v>
      </c>
      <c r="P25" s="14">
        <f>COUNTIFS(Reg,"East",Depart,"Learning &amp; Development")</f>
        <v>1</v>
      </c>
      <c r="Q25" s="14">
        <f>COUNTIFS(Reg,"Mid west",Depart,"Learning &amp; Development")</f>
        <v>1</v>
      </c>
    </row>
    <row r="26" spans="2:17" x14ac:dyDescent="0.25">
      <c r="B26" s="4">
        <v>150912</v>
      </c>
      <c r="C26" s="5" t="s">
        <v>77</v>
      </c>
      <c r="D26" s="5" t="s">
        <v>78</v>
      </c>
      <c r="E26" s="6">
        <v>37629</v>
      </c>
      <c r="F26" s="7" t="s">
        <v>18</v>
      </c>
      <c r="G26" s="5" t="s">
        <v>19</v>
      </c>
      <c r="H26" s="5" t="s">
        <v>79</v>
      </c>
      <c r="I26" s="5" t="s">
        <v>34</v>
      </c>
      <c r="J26" s="2">
        <v>81000</v>
      </c>
      <c r="M26" s="13" t="s">
        <v>62</v>
      </c>
      <c r="N26" s="14">
        <f>COUNTIFS(Reg,"North",Depart,"CEO")</f>
        <v>0</v>
      </c>
      <c r="O26" s="14">
        <f>COUNTIFS(Reg,"South",Depart,"CEO")</f>
        <v>0</v>
      </c>
      <c r="P26" s="14">
        <f>COUNTIFS(Reg,"East",Depart,"CEO")</f>
        <v>1</v>
      </c>
      <c r="Q26" s="14">
        <f>COUNTIFS(Reg,"Mid West",Depart,"CEO")</f>
        <v>0</v>
      </c>
    </row>
    <row r="27" spans="2:17" x14ac:dyDescent="0.25">
      <c r="B27" s="4">
        <v>150921</v>
      </c>
      <c r="C27" s="5" t="s">
        <v>80</v>
      </c>
      <c r="D27" s="5" t="s">
        <v>81</v>
      </c>
      <c r="E27" s="6">
        <v>38092</v>
      </c>
      <c r="F27" s="7" t="s">
        <v>32</v>
      </c>
      <c r="G27" s="5" t="s">
        <v>19</v>
      </c>
      <c r="H27" s="5" t="s">
        <v>82</v>
      </c>
      <c r="I27" s="5" t="s">
        <v>34</v>
      </c>
      <c r="J27" s="2">
        <v>19000</v>
      </c>
      <c r="M27" s="13" t="s">
        <v>65</v>
      </c>
      <c r="N27" s="14">
        <f>COUNTIFS(Reg,"North",Depart,"CCD")</f>
        <v>1</v>
      </c>
      <c r="O27" s="14">
        <f>COUNTIFS(Reg,"south",Depart,"CCD")</f>
        <v>2</v>
      </c>
      <c r="P27" s="14">
        <f>COUNTIFS(Reg,"East",Depart,"CCD")</f>
        <v>2</v>
      </c>
      <c r="Q27" s="14">
        <f>COUNTIFS(Reg,"Mid West",Depart,"CCD")</f>
        <v>0</v>
      </c>
    </row>
    <row r="28" spans="2:17" x14ac:dyDescent="0.25">
      <c r="B28" s="4">
        <v>150851</v>
      </c>
      <c r="C28" s="5" t="s">
        <v>83</v>
      </c>
      <c r="D28" s="5" t="s">
        <v>84</v>
      </c>
      <c r="E28" s="6">
        <v>29368</v>
      </c>
      <c r="F28" s="7" t="s">
        <v>32</v>
      </c>
      <c r="G28" s="5" t="s">
        <v>25</v>
      </c>
      <c r="H28" s="5" t="s">
        <v>33</v>
      </c>
      <c r="I28" s="5" t="s">
        <v>52</v>
      </c>
      <c r="J28" s="2">
        <v>75000</v>
      </c>
      <c r="M28" s="13" t="s">
        <v>79</v>
      </c>
      <c r="N28" s="14">
        <f>COUNTIFS(Reg,"North",Depart,"operations")</f>
        <v>0</v>
      </c>
      <c r="O28" s="14">
        <f>COUNTIFS(Reg,"South",Depart,"operations")</f>
        <v>2</v>
      </c>
      <c r="P28" s="14">
        <f>COUNTIFS(Reg,"East",Depart,"operations")</f>
        <v>0</v>
      </c>
      <c r="Q28" s="14">
        <f>COUNTIFS(Reg,"Mid West",Depart,"operations")</f>
        <v>0</v>
      </c>
    </row>
    <row r="29" spans="2:17" x14ac:dyDescent="0.25">
      <c r="B29" s="4">
        <v>150867</v>
      </c>
      <c r="C29" s="5" t="s">
        <v>85</v>
      </c>
      <c r="D29" s="5" t="s">
        <v>86</v>
      </c>
      <c r="E29" s="6">
        <v>29028</v>
      </c>
      <c r="F29" s="7" t="s">
        <v>18</v>
      </c>
      <c r="G29" s="5" t="s">
        <v>25</v>
      </c>
      <c r="H29" s="5" t="s">
        <v>82</v>
      </c>
      <c r="I29" s="5" t="s">
        <v>52</v>
      </c>
      <c r="J29" s="2">
        <v>49000</v>
      </c>
      <c r="M29" s="13" t="s">
        <v>82</v>
      </c>
      <c r="N29" s="14">
        <f>COUNTIFS(Reg,"North",Depart,"Finance")</f>
        <v>1</v>
      </c>
      <c r="O29" s="14">
        <f>COUNTIFS(Reg,"south",Depart,"Finance")</f>
        <v>1</v>
      </c>
      <c r="P29" s="14">
        <f>COUNTIFS(Reg,"east",Depart,"Finance")</f>
        <v>1</v>
      </c>
      <c r="Q29" s="14">
        <f>COUNTIFS(Reg,"Mid West",Depart,"Finance")</f>
        <v>1</v>
      </c>
    </row>
    <row r="30" spans="2:17" x14ac:dyDescent="0.25">
      <c r="B30" s="4">
        <v>150899</v>
      </c>
      <c r="C30" s="5" t="s">
        <v>87</v>
      </c>
      <c r="D30" s="5" t="s">
        <v>88</v>
      </c>
      <c r="E30" s="6">
        <v>37400</v>
      </c>
      <c r="F30" s="7" t="s">
        <v>32</v>
      </c>
      <c r="G30" s="5" t="s">
        <v>19</v>
      </c>
      <c r="H30" s="5" t="s">
        <v>65</v>
      </c>
      <c r="I30" s="5" t="s">
        <v>34</v>
      </c>
      <c r="J30" s="2">
        <v>50000</v>
      </c>
      <c r="M30" s="13" t="s">
        <v>93</v>
      </c>
      <c r="N30" s="14">
        <f>COUNTIFS(Reg,"North",Depart,"sales")</f>
        <v>1</v>
      </c>
      <c r="O30" s="14">
        <f>COUNTIFS(Reg,"south",Depart,"sales")</f>
        <v>2</v>
      </c>
      <c r="P30" s="14">
        <f>COUNTIFS(Reg,"East",Depart,"sales")</f>
        <v>0</v>
      </c>
      <c r="Q30" s="14">
        <f>COUNTIFS(Reg,"Mid West",Depart,"sales")</f>
        <v>0</v>
      </c>
    </row>
    <row r="31" spans="2:17" x14ac:dyDescent="0.25">
      <c r="B31" s="4">
        <v>150975</v>
      </c>
      <c r="C31" s="5" t="s">
        <v>89</v>
      </c>
      <c r="D31" s="5" t="s">
        <v>90</v>
      </c>
      <c r="E31" s="6">
        <v>31478</v>
      </c>
      <c r="F31" s="7" t="s">
        <v>32</v>
      </c>
      <c r="G31" s="5" t="s">
        <v>19</v>
      </c>
      <c r="H31" s="5" t="s">
        <v>82</v>
      </c>
      <c r="I31" s="5" t="s">
        <v>46</v>
      </c>
      <c r="J31" s="2">
        <v>83000</v>
      </c>
    </row>
    <row r="32" spans="2:17" x14ac:dyDescent="0.25">
      <c r="B32" s="4">
        <v>150901</v>
      </c>
      <c r="C32" s="5" t="s">
        <v>91</v>
      </c>
      <c r="D32" s="5" t="s">
        <v>92</v>
      </c>
      <c r="E32" s="6">
        <v>32946</v>
      </c>
      <c r="F32" s="7" t="s">
        <v>18</v>
      </c>
      <c r="G32" s="5" t="s">
        <v>19</v>
      </c>
      <c r="H32" s="5" t="s">
        <v>93</v>
      </c>
      <c r="I32" s="5" t="s">
        <v>34</v>
      </c>
      <c r="J32" s="2">
        <v>53000</v>
      </c>
      <c r="M32" s="161" t="s">
        <v>114</v>
      </c>
      <c r="N32" s="162"/>
      <c r="O32" s="162"/>
      <c r="P32" s="162"/>
      <c r="Q32" s="163"/>
    </row>
    <row r="33" spans="2:17" x14ac:dyDescent="0.25">
      <c r="B33" s="4">
        <v>150968</v>
      </c>
      <c r="C33" s="5" t="s">
        <v>94</v>
      </c>
      <c r="D33" s="5" t="s">
        <v>95</v>
      </c>
      <c r="E33" s="6">
        <v>37208</v>
      </c>
      <c r="F33" s="7" t="s">
        <v>32</v>
      </c>
      <c r="G33" s="5" t="s">
        <v>19</v>
      </c>
      <c r="H33" s="5" t="s">
        <v>79</v>
      </c>
      <c r="I33" s="5" t="s">
        <v>34</v>
      </c>
      <c r="J33" s="2">
        <v>65000</v>
      </c>
      <c r="M33" s="12" t="s">
        <v>68</v>
      </c>
      <c r="N33" s="12" t="s">
        <v>21</v>
      </c>
      <c r="O33" s="12" t="s">
        <v>34</v>
      </c>
      <c r="P33" s="12" t="s">
        <v>52</v>
      </c>
      <c r="Q33" s="12" t="s">
        <v>46</v>
      </c>
    </row>
    <row r="34" spans="2:17" x14ac:dyDescent="0.25">
      <c r="B34" s="4">
        <v>150773</v>
      </c>
      <c r="C34" s="5" t="s">
        <v>96</v>
      </c>
      <c r="D34" s="5" t="s">
        <v>97</v>
      </c>
      <c r="E34" s="6">
        <v>26860</v>
      </c>
      <c r="F34" s="7" t="s">
        <v>32</v>
      </c>
      <c r="G34" s="5" t="s">
        <v>19</v>
      </c>
      <c r="H34" s="5" t="s">
        <v>82</v>
      </c>
      <c r="I34" s="5" t="s">
        <v>21</v>
      </c>
      <c r="J34" s="2">
        <v>85000</v>
      </c>
      <c r="M34" s="13" t="s">
        <v>20</v>
      </c>
      <c r="N34" s="14">
        <f>AVERAGEIFS(Salary,Depart,"FLM",Reg,"North")</f>
        <v>48000</v>
      </c>
      <c r="O34" s="14">
        <f>AVERAGEIFS(Salary,Depart,"FLM",Reg,"SOUth")</f>
        <v>62000</v>
      </c>
      <c r="P34" s="14" t="str">
        <f>IF(COUNTIFS(Depart, "FLM", Reg, "East") &gt; 0, AVERAGEIFS(Salary, Depart, "FLM", Reg, "East"), "")</f>
        <v/>
      </c>
      <c r="Q34" s="14" t="str">
        <f>IF(COUNTIFS(Depart, "FLM", Reg, "Mid East") &gt; 0, AVERAGEIFS(Salary, Depart, "FLM", Reg, "Mid East"), "")</f>
        <v/>
      </c>
    </row>
    <row r="35" spans="2:17" x14ac:dyDescent="0.25">
      <c r="B35" s="4">
        <v>150840</v>
      </c>
      <c r="C35" s="5" t="s">
        <v>66</v>
      </c>
      <c r="D35" s="5" t="s">
        <v>98</v>
      </c>
      <c r="E35" s="6">
        <v>23136</v>
      </c>
      <c r="F35" s="7" t="s">
        <v>18</v>
      </c>
      <c r="G35" s="5" t="s">
        <v>19</v>
      </c>
      <c r="H35" s="5" t="s">
        <v>33</v>
      </c>
      <c r="I35" s="5" t="s">
        <v>52</v>
      </c>
      <c r="J35" s="2">
        <v>20000</v>
      </c>
      <c r="M35" s="13" t="s">
        <v>26</v>
      </c>
      <c r="N35" s="14">
        <f>IF(COUNTIFS(Depart, "Digital Marketing", Reg, "North") &gt; 0, AVERAGEIFS(Salary, Depart, "digital Marketing", Reg, "North"), "")</f>
        <v>61000</v>
      </c>
      <c r="O35" s="14">
        <f>IF(COUNTIFS(Depart, "Digital Marketing", Reg, "South") &gt; 0, AVERAGEIFS(Salary, Depart, "digital Marketing", Reg, "South"), "")</f>
        <v>82000</v>
      </c>
      <c r="P35" s="14">
        <f>IF(COUNTIFS(Depart, "Digital Marketing", Reg, "East") &gt; 0, AVERAGEIFS(Salary, Depart, "digital Marketing", Reg, "East"), "")</f>
        <v>92000</v>
      </c>
      <c r="Q35" s="14">
        <f>IF(COUNTIFS(Depart, "Digital Marketing", Reg, "Mid West") &gt; 0, AVERAGEIFS(Salary, Depart, "digital Marketing", Reg, "Mid West"), "")</f>
        <v>45000</v>
      </c>
    </row>
    <row r="36" spans="2:17" x14ac:dyDescent="0.25">
      <c r="B36" s="4">
        <v>150850</v>
      </c>
      <c r="C36" s="5" t="s">
        <v>57</v>
      </c>
      <c r="D36" s="5" t="s">
        <v>99</v>
      </c>
      <c r="E36" s="6">
        <v>32027</v>
      </c>
      <c r="F36" s="7" t="s">
        <v>32</v>
      </c>
      <c r="G36" s="5" t="s">
        <v>19</v>
      </c>
      <c r="H36" s="5" t="s">
        <v>65</v>
      </c>
      <c r="I36" s="5" t="s">
        <v>52</v>
      </c>
      <c r="J36" s="2">
        <v>47000</v>
      </c>
      <c r="M36" s="13" t="s">
        <v>33</v>
      </c>
      <c r="N36" s="14">
        <f>IF(COUNTIFS(Depart, "Digital Marketing", Reg, "North") &gt; 0, AVERAGEIFS(Salary, Depart, "digital Marketing", Reg, "North"), "")</f>
        <v>61000</v>
      </c>
      <c r="O36" s="14">
        <f>IF(COUNTIFS(Depart, "Inside Sales", Reg, "South") &gt; 0, AVERAGEIFS(Salary, Depart, "Inside sales", Reg, "South"), "")</f>
        <v>77000</v>
      </c>
      <c r="P36" s="14">
        <f>IF(COUNTIFS(Depart, "Inside Sales", Reg, "East") &gt; 0, AVERAGEIFS(Salary, Depart, "Inside sales", Reg, "East"), "")</f>
        <v>47500</v>
      </c>
      <c r="Q36" s="14">
        <f>IF(COUNTIFS(Depart, "Inside Sales", Reg, "Mid West") &gt; 0, AVERAGEIFS(Salary, Depart, "Inside sales", Reg, "Mid west"), "")</f>
        <v>15000</v>
      </c>
    </row>
    <row r="37" spans="2:17" x14ac:dyDescent="0.25">
      <c r="B37" s="4">
        <v>150962</v>
      </c>
      <c r="C37" s="5" t="s">
        <v>100</v>
      </c>
      <c r="D37" s="5" t="s">
        <v>101</v>
      </c>
      <c r="E37" s="6">
        <v>37773</v>
      </c>
      <c r="F37" s="7" t="s">
        <v>18</v>
      </c>
      <c r="G37" s="5" t="s">
        <v>19</v>
      </c>
      <c r="H37" s="5" t="s">
        <v>41</v>
      </c>
      <c r="I37" s="5" t="s">
        <v>34</v>
      </c>
      <c r="J37" s="2">
        <v>87000</v>
      </c>
      <c r="M37" s="13" t="s">
        <v>38</v>
      </c>
      <c r="N37" s="14">
        <f>IF(COUNTIFS(Depart, "Marketing", Reg, "North") &gt; 0, AVERAGEIFS(Salary, Depart, "Marketing", Reg, "North"), "")</f>
        <v>22000</v>
      </c>
      <c r="O37" s="14">
        <f>IF(COUNTIFS(Depart, "Marketing", Reg, "south") &gt; 0, AVERAGEIFS(Salary, Depart, "Marketing", Reg, "South"), "")</f>
        <v>58000</v>
      </c>
      <c r="P37" s="14">
        <f>IF(COUNTIFS(Depart, "Marketing", Reg, "East") &gt; 0, AVERAGEIFS(Salary, Depart, "Marketing", Reg, "East"), "")</f>
        <v>27000</v>
      </c>
      <c r="Q37" s="14">
        <f>IF(COUNTIFS(Depart, "Marketing", Reg, "Mid West") &gt; 0, AVERAGEIFS(Salary, Depart, "Marketing", Reg, "Mid West"), "")</f>
        <v>47000</v>
      </c>
    </row>
    <row r="38" spans="2:17" x14ac:dyDescent="0.25">
      <c r="B38" s="4">
        <v>150954</v>
      </c>
      <c r="C38" s="5" t="s">
        <v>102</v>
      </c>
      <c r="D38" s="5" t="s">
        <v>101</v>
      </c>
      <c r="E38" s="6">
        <v>35495</v>
      </c>
      <c r="F38" s="7" t="s">
        <v>18</v>
      </c>
      <c r="G38" s="5" t="s">
        <v>19</v>
      </c>
      <c r="H38" s="5" t="s">
        <v>93</v>
      </c>
      <c r="I38" s="5" t="s">
        <v>34</v>
      </c>
      <c r="J38" s="2">
        <v>57000</v>
      </c>
      <c r="M38" s="13" t="s">
        <v>41</v>
      </c>
      <c r="N38" s="14">
        <f>IF(COUNTIFS(Depart, "Director", Reg, "North") &gt; 0, AVERAGEIFS(Salary, Depart, "Director", Reg, "North"), "")</f>
        <v>91000</v>
      </c>
      <c r="O38" s="14">
        <f>IF(COUNTIFS(Depart, "Director", Reg, "South") &gt; 0, AVERAGEIFS(Salary, Depart, "Director", Reg, "South"), "")</f>
        <v>87000</v>
      </c>
      <c r="P38" s="14" t="str">
        <f>IF(COUNTIFS(Depart, "Director", Reg, "East") &gt; 0, AVERAGEIFS(Salary, Depart, "Director", Reg, "East"), "")</f>
        <v/>
      </c>
      <c r="Q38" s="14" t="str">
        <f>IF(COUNTIFS(Depart, "Director", Reg, "Mid West") &gt; 0, AVERAGEIFS(Salary, Depart, "Mid West", Reg, "North"), "")</f>
        <v/>
      </c>
    </row>
    <row r="39" spans="2:17" x14ac:dyDescent="0.25">
      <c r="B39" s="4">
        <v>150874</v>
      </c>
      <c r="C39" s="5" t="s">
        <v>103</v>
      </c>
      <c r="D39" s="5" t="s">
        <v>101</v>
      </c>
      <c r="E39" s="6">
        <v>37890</v>
      </c>
      <c r="F39" s="7" t="s">
        <v>18</v>
      </c>
      <c r="G39" s="5" t="s">
        <v>19</v>
      </c>
      <c r="H39" s="5" t="s">
        <v>38</v>
      </c>
      <c r="I39" s="5" t="s">
        <v>52</v>
      </c>
      <c r="J39" s="2">
        <v>27000</v>
      </c>
      <c r="M39" s="13" t="s">
        <v>45</v>
      </c>
      <c r="N39" s="14" t="str">
        <f>IF(COUNTIFS(Depart, "Learning &amp; Development", Reg, "North") &gt; 0, AVERAGEIFS(Salary, Depart, "Learning &amp; Development", Reg, "North"), "")</f>
        <v/>
      </c>
      <c r="O39" s="14">
        <f>IF(COUNTIFS(Depart, "Learning &amp; Development", Reg, "South") &gt; 0, AVERAGEIFS(Salary, Depart, "Learning &amp; Development", Reg, "South"), "")</f>
        <v>37000</v>
      </c>
      <c r="P39" s="14">
        <f>IF(COUNTIFS(Depart, "Learning &amp; Development", Reg, "East") &gt; 0, AVERAGEIFS(Salary, Depart, "Learning &amp; Development", Reg, "East"), "")</f>
        <v>43000</v>
      </c>
      <c r="Q39" s="14">
        <f>IF(COUNTIFS(Depart, "Learning &amp; Development", Reg, "Mid West") &gt; 0, AVERAGEIFS(Salary, Depart, "Learning &amp; Development", Reg, "Mid West"), "")</f>
        <v>77000</v>
      </c>
    </row>
    <row r="40" spans="2:17" x14ac:dyDescent="0.25">
      <c r="B40" s="4">
        <v>150798</v>
      </c>
      <c r="C40" s="5" t="s">
        <v>104</v>
      </c>
      <c r="D40" s="5" t="s">
        <v>101</v>
      </c>
      <c r="E40" s="6">
        <v>28276</v>
      </c>
      <c r="F40" s="7" t="s">
        <v>18</v>
      </c>
      <c r="G40" s="5" t="s">
        <v>19</v>
      </c>
      <c r="H40" s="5" t="s">
        <v>26</v>
      </c>
      <c r="I40" s="5" t="s">
        <v>21</v>
      </c>
      <c r="J40" s="2">
        <v>81000</v>
      </c>
      <c r="M40" s="13" t="s">
        <v>62</v>
      </c>
      <c r="N40" s="14" t="str">
        <f>IF(COUNTIFS(Depart, "CEO", Reg, "North") &gt; 0, AVERAGEIFS(Salary, Depart, "CEO", Reg, "North"), "")</f>
        <v/>
      </c>
      <c r="O40" s="14" t="str">
        <f>IF(COUNTIFS(Depart, "CEO", Reg, "South") &gt; 0, AVERAGEIFS(Salary, Depart, "CEO", Reg, "South"), "")</f>
        <v/>
      </c>
      <c r="P40" s="14">
        <f>IF(COUNTIFS(Depart, "CEO", Reg, "East") &gt; 0, AVERAGEIFS(Salary, Depart, "CEO", Reg, "East"), "")</f>
        <v>90000</v>
      </c>
      <c r="Q40" s="14" t="str">
        <f>IF(COUNTIFS(Depart, "CEO", Reg, "Mid West") &gt; 0, AVERAGEIFS(Salary, Depart, "CEO", Reg, "Mid West"), "")</f>
        <v/>
      </c>
    </row>
    <row r="41" spans="2:17" x14ac:dyDescent="0.25">
      <c r="B41" s="4">
        <v>150830</v>
      </c>
      <c r="C41" s="5" t="s">
        <v>105</v>
      </c>
      <c r="D41" s="5" t="s">
        <v>106</v>
      </c>
      <c r="E41" s="6">
        <v>29037</v>
      </c>
      <c r="F41" s="7" t="s">
        <v>18</v>
      </c>
      <c r="G41" s="5" t="s">
        <v>19</v>
      </c>
      <c r="H41" s="5" t="s">
        <v>93</v>
      </c>
      <c r="I41" s="5" t="s">
        <v>21</v>
      </c>
      <c r="J41" s="2">
        <v>52000</v>
      </c>
      <c r="M41" s="13" t="s">
        <v>65</v>
      </c>
      <c r="N41" s="14">
        <f>IF(COUNTIFS(Depart, "CCD", Reg, "North") &gt; 0, AVERAGEIFS(Salary, Depart, "CCD", Reg, "North"), "")</f>
        <v>26000</v>
      </c>
      <c r="O41" s="14">
        <f>IF(COUNTIFS(Depart, "CCD", Reg, "SOUTH") &gt; 0, AVERAGEIFS(Salary, Depart, "CCD", Reg, "SOUTH"), "")</f>
        <v>67500</v>
      </c>
      <c r="P41" s="14">
        <f>IF(COUNTIFS(Depart, "CCD", Reg, "East") &gt; 0, AVERAGEIFS(Salary, Depart, "CCD", Reg, "East"), "")</f>
        <v>40500</v>
      </c>
      <c r="Q41" s="14" t="str">
        <f>IF(COUNTIFS(Depart, "CCD", Reg, "Mid west") &gt; 0, AVERAGEIFS(Salary, Depart, "CCD", Reg, "Mid West"), "")</f>
        <v/>
      </c>
    </row>
    <row r="42" spans="2:17" x14ac:dyDescent="0.25">
      <c r="B42" s="4">
        <v>150929</v>
      </c>
      <c r="C42" s="5" t="s">
        <v>107</v>
      </c>
      <c r="D42" s="5" t="s">
        <v>108</v>
      </c>
      <c r="E42" s="6">
        <v>26739</v>
      </c>
      <c r="F42" s="7" t="s">
        <v>32</v>
      </c>
      <c r="G42" s="5" t="s">
        <v>19</v>
      </c>
      <c r="H42" s="5" t="s">
        <v>38</v>
      </c>
      <c r="I42" s="5" t="s">
        <v>34</v>
      </c>
      <c r="J42" s="2">
        <v>58000</v>
      </c>
      <c r="M42" s="13" t="s">
        <v>79</v>
      </c>
      <c r="N42" s="14" t="str">
        <f>IF(COUNTIFS(Depart, "Operations", Reg, "North") &gt; 0, AVERAGEIFS(Salary, Depart, "Operations", Reg, "North"), "")</f>
        <v/>
      </c>
      <c r="O42" s="14">
        <f>IF(COUNTIFS(Depart, "Operations", Reg, "South") &gt; 0, AVERAGEIFS(Salary, Depart, "Operations", Reg, "South"), "")</f>
        <v>73000</v>
      </c>
      <c r="P42" s="14" t="str">
        <f>IF(COUNTIFS(Depart, "Operations", Reg, "East") &gt; 0, AVERAGEIFS(Salary, Depart, "Operations", Reg, "East"), "")</f>
        <v/>
      </c>
      <c r="Q42" s="14" t="str">
        <f>IF(COUNTIFS(Depart, "Operations", Reg, "Mid West") &gt; 0, AVERAGEIFS(Salary, Depart, "Operations", Reg, "Mid West"), "")</f>
        <v/>
      </c>
    </row>
    <row r="43" spans="2:17" x14ac:dyDescent="0.25">
      <c r="B43" s="4">
        <v>150982</v>
      </c>
      <c r="C43" s="5" t="s">
        <v>109</v>
      </c>
      <c r="D43" s="5" t="s">
        <v>110</v>
      </c>
      <c r="E43" s="6">
        <v>35574</v>
      </c>
      <c r="F43" s="7" t="s">
        <v>32</v>
      </c>
      <c r="G43" s="5" t="s">
        <v>19</v>
      </c>
      <c r="H43" s="5" t="s">
        <v>38</v>
      </c>
      <c r="I43" s="5" t="s">
        <v>46</v>
      </c>
      <c r="J43" s="2">
        <v>47000</v>
      </c>
      <c r="M43" s="13" t="s">
        <v>82</v>
      </c>
      <c r="N43" s="14">
        <f>IF(COUNTIFS(Depart, "Finance", Reg, "North") &gt; 0, AVERAGEIFS(Salary, Depart, "Finance", Reg, "North"), "")</f>
        <v>85000</v>
      </c>
      <c r="O43" s="14">
        <f>IF(COUNTIFS(Depart, "Finance", Reg, "South") &gt; 0, AVERAGEIFS(Salary, Depart, "Finance", Reg, "south"), "")</f>
        <v>19000</v>
      </c>
      <c r="P43" s="14">
        <f>IF(COUNTIFS(Depart, "Finance", Reg, "East") &gt; 0, AVERAGEIFS(Salary, Depart, "Finance", Reg, "East"), "")</f>
        <v>49000</v>
      </c>
      <c r="Q43" s="14">
        <f>IF(COUNTIFS(Depart, "Finance", Reg, "Mid west") &gt; 0, AVERAGEIFS(Salary, Depart, "Finance", Reg, "Mid west"), "")</f>
        <v>83000</v>
      </c>
    </row>
    <row r="44" spans="2:17" x14ac:dyDescent="0.25">
      <c r="B44" s="4">
        <v>150821</v>
      </c>
      <c r="C44" s="5" t="s">
        <v>111</v>
      </c>
      <c r="D44" s="5" t="s">
        <v>112</v>
      </c>
      <c r="E44" s="6">
        <v>29966</v>
      </c>
      <c r="F44" s="7" t="s">
        <v>32</v>
      </c>
      <c r="G44" s="5" t="s">
        <v>25</v>
      </c>
      <c r="H44" s="5" t="s">
        <v>65</v>
      </c>
      <c r="I44" s="5" t="s">
        <v>21</v>
      </c>
      <c r="J44" s="2">
        <v>26000</v>
      </c>
      <c r="M44" s="13" t="s">
        <v>93</v>
      </c>
      <c r="N44" s="14">
        <f>IF(COUNTIFS(Depart, "Sales", Reg, "North") &gt; 0, AVERAGEIFS(Salary, Depart, "Sales", Reg, "North"), "")</f>
        <v>52000</v>
      </c>
      <c r="O44" s="14">
        <f>IF(COUNTIFS(Depart, "Sales", Reg, "south") &gt; 0, AVERAGEIFS(Salary, Depart, "Sales", Reg, "South"), "")</f>
        <v>55000</v>
      </c>
      <c r="P44" s="14" t="str">
        <f>IF(COUNTIFS(Depart, "Sales", Reg, "East") &gt; 0, AVERAGEIFS(Salary, Depart, "Sales", Reg, "East"), "")</f>
        <v/>
      </c>
      <c r="Q44" s="14" t="str">
        <f>IF(COUNTIFS(Depart, "Sales", Reg, "Mid west") &gt; 0, AVERAGEIFS(Salary, Depart, "Sales", Reg, "Mid west"), "")</f>
        <v/>
      </c>
    </row>
  </sheetData>
  <mergeCells count="6">
    <mergeCell ref="M32:Q32"/>
    <mergeCell ref="M18:Q18"/>
    <mergeCell ref="C2:J2"/>
    <mergeCell ref="M2:N2"/>
    <mergeCell ref="C3:J3"/>
    <mergeCell ref="M10:N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3BDA-381D-45B3-9E4E-05F9CD6F2B4D}">
  <dimension ref="B2:O46"/>
  <sheetViews>
    <sheetView workbookViewId="0">
      <selection activeCell="L9" sqref="L9"/>
    </sheetView>
  </sheetViews>
  <sheetFormatPr defaultRowHeight="15" x14ac:dyDescent="0.25"/>
  <cols>
    <col min="5" max="5" width="9.85546875" bestFit="1" customWidth="1"/>
    <col min="10" max="10" width="10.7109375" bestFit="1" customWidth="1"/>
  </cols>
  <sheetData>
    <row r="2" spans="2:15" x14ac:dyDescent="0.25">
      <c r="B2" s="15">
        <v>1</v>
      </c>
      <c r="C2" s="167" t="s">
        <v>115</v>
      </c>
      <c r="D2" s="167"/>
      <c r="E2" s="167"/>
      <c r="F2" s="167"/>
      <c r="G2" s="167"/>
      <c r="H2" s="167"/>
    </row>
    <row r="3" spans="2:15" x14ac:dyDescent="0.25">
      <c r="B3" s="15">
        <v>2</v>
      </c>
      <c r="C3" s="167" t="s">
        <v>116</v>
      </c>
      <c r="D3" s="167"/>
      <c r="E3" s="167"/>
      <c r="F3" s="167"/>
      <c r="G3" s="167"/>
      <c r="H3" s="167"/>
    </row>
    <row r="4" spans="2:15" x14ac:dyDescent="0.25">
      <c r="B4" s="15">
        <v>3</v>
      </c>
      <c r="C4" s="167" t="s">
        <v>117</v>
      </c>
      <c r="D4" s="167"/>
      <c r="E4" s="167"/>
      <c r="F4" s="167"/>
      <c r="G4" s="167"/>
      <c r="H4" s="167"/>
    </row>
    <row r="5" spans="2:15" x14ac:dyDescent="0.25">
      <c r="B5" s="15">
        <v>4</v>
      </c>
      <c r="C5" s="167" t="s">
        <v>118</v>
      </c>
      <c r="D5" s="167"/>
      <c r="E5" s="167"/>
      <c r="F5" s="167"/>
      <c r="G5" s="167"/>
      <c r="H5" s="167"/>
    </row>
    <row r="6" spans="2:15" x14ac:dyDescent="0.25">
      <c r="B6" s="15">
        <v>5</v>
      </c>
      <c r="C6" s="167" t="s">
        <v>119</v>
      </c>
      <c r="D6" s="167"/>
      <c r="E6" s="167"/>
      <c r="F6" s="167"/>
      <c r="G6" s="167"/>
      <c r="H6" s="167"/>
    </row>
    <row r="8" spans="2:15" x14ac:dyDescent="0.25">
      <c r="B8" s="16" t="s">
        <v>6</v>
      </c>
      <c r="C8" s="16" t="s">
        <v>7</v>
      </c>
      <c r="D8" s="16" t="s">
        <v>8</v>
      </c>
      <c r="E8" s="16" t="s">
        <v>9</v>
      </c>
      <c r="F8" s="16" t="s">
        <v>10</v>
      </c>
      <c r="G8" s="16" t="s">
        <v>11</v>
      </c>
      <c r="H8" s="16" t="s">
        <v>12</v>
      </c>
      <c r="I8" s="16" t="s">
        <v>13</v>
      </c>
      <c r="J8" s="16" t="s">
        <v>14</v>
      </c>
      <c r="K8" s="17">
        <v>1</v>
      </c>
      <c r="L8" s="17">
        <v>2</v>
      </c>
      <c r="M8" s="17">
        <v>3</v>
      </c>
      <c r="N8" s="17">
        <v>4</v>
      </c>
      <c r="O8" s="17">
        <v>5</v>
      </c>
    </row>
    <row r="9" spans="2:15" x14ac:dyDescent="0.25">
      <c r="B9" s="18">
        <v>150834</v>
      </c>
      <c r="C9" s="19" t="s">
        <v>16</v>
      </c>
      <c r="D9" s="19" t="s">
        <v>17</v>
      </c>
      <c r="E9" s="20">
        <v>31199</v>
      </c>
      <c r="F9" s="18" t="s">
        <v>18</v>
      </c>
      <c r="G9" s="19" t="s">
        <v>19</v>
      </c>
      <c r="H9" s="19" t="s">
        <v>20</v>
      </c>
      <c r="I9" s="19" t="s">
        <v>21</v>
      </c>
      <c r="J9" s="10">
        <v>48000</v>
      </c>
      <c r="K9" s="10">
        <f>J9*45%</f>
        <v>21600</v>
      </c>
      <c r="L9" s="10">
        <f>J9*5%+1000</f>
        <v>3400</v>
      </c>
      <c r="M9" s="10">
        <f>J9+K9</f>
        <v>69600</v>
      </c>
      <c r="N9" s="10">
        <f>M9*5%</f>
        <v>3480</v>
      </c>
      <c r="O9" s="10">
        <f>M9-N9</f>
        <v>66120</v>
      </c>
    </row>
    <row r="10" spans="2:15" x14ac:dyDescent="0.25">
      <c r="B10" s="18">
        <v>150784</v>
      </c>
      <c r="C10" s="19" t="s">
        <v>23</v>
      </c>
      <c r="D10" s="19" t="s">
        <v>24</v>
      </c>
      <c r="E10" s="20">
        <v>28365</v>
      </c>
      <c r="F10" s="18" t="s">
        <v>18</v>
      </c>
      <c r="G10" s="19" t="s">
        <v>25</v>
      </c>
      <c r="H10" s="19" t="s">
        <v>26</v>
      </c>
      <c r="I10" s="19" t="s">
        <v>21</v>
      </c>
      <c r="J10" s="10">
        <v>35000</v>
      </c>
      <c r="K10" s="10">
        <f t="shared" ref="K10:K46" si="0">J10*45%</f>
        <v>15750</v>
      </c>
      <c r="L10" s="10">
        <f t="shared" ref="L10:L46" si="1">J10*5%+1000</f>
        <v>2750</v>
      </c>
      <c r="M10" s="10">
        <f t="shared" ref="M10:M46" si="2">J10+K10</f>
        <v>50750</v>
      </c>
      <c r="N10" s="10">
        <f t="shared" ref="N10:N46" si="3">M10*5%</f>
        <v>2537.5</v>
      </c>
      <c r="O10" s="10">
        <f t="shared" ref="O10:O46" si="4">M10-N10</f>
        <v>48212.5</v>
      </c>
    </row>
    <row r="11" spans="2:15" x14ac:dyDescent="0.25">
      <c r="B11" s="18">
        <v>150791</v>
      </c>
      <c r="C11" s="19" t="s">
        <v>28</v>
      </c>
      <c r="D11" s="19" t="s">
        <v>29</v>
      </c>
      <c r="E11" s="20">
        <v>23346</v>
      </c>
      <c r="F11" s="18" t="s">
        <v>18</v>
      </c>
      <c r="G11" s="19" t="s">
        <v>19</v>
      </c>
      <c r="H11" s="19" t="s">
        <v>26</v>
      </c>
      <c r="I11" s="19" t="s">
        <v>21</v>
      </c>
      <c r="J11" s="10">
        <v>67000</v>
      </c>
      <c r="K11" s="10">
        <f t="shared" si="0"/>
        <v>30150</v>
      </c>
      <c r="L11" s="10">
        <f t="shared" si="1"/>
        <v>4350</v>
      </c>
      <c r="M11" s="10">
        <f t="shared" si="2"/>
        <v>97150</v>
      </c>
      <c r="N11" s="10">
        <f t="shared" si="3"/>
        <v>4857.5</v>
      </c>
      <c r="O11" s="10">
        <f t="shared" si="4"/>
        <v>92292.5</v>
      </c>
    </row>
    <row r="12" spans="2:15" x14ac:dyDescent="0.25">
      <c r="B12" s="18">
        <v>150940</v>
      </c>
      <c r="C12" s="19" t="s">
        <v>30</v>
      </c>
      <c r="D12" s="19" t="s">
        <v>31</v>
      </c>
      <c r="E12" s="20">
        <v>26906</v>
      </c>
      <c r="F12" s="18" t="s">
        <v>32</v>
      </c>
      <c r="G12" s="19" t="s">
        <v>25</v>
      </c>
      <c r="H12" s="19" t="s">
        <v>33</v>
      </c>
      <c r="I12" s="19" t="s">
        <v>34</v>
      </c>
      <c r="J12" s="10">
        <v>87000</v>
      </c>
      <c r="K12" s="10">
        <f t="shared" si="0"/>
        <v>39150</v>
      </c>
      <c r="L12" s="10">
        <f t="shared" si="1"/>
        <v>5350</v>
      </c>
      <c r="M12" s="10">
        <f t="shared" si="2"/>
        <v>126150</v>
      </c>
      <c r="N12" s="10">
        <f t="shared" si="3"/>
        <v>6307.5</v>
      </c>
      <c r="O12" s="10">
        <f t="shared" si="4"/>
        <v>119842.5</v>
      </c>
    </row>
    <row r="13" spans="2:15" x14ac:dyDescent="0.25">
      <c r="B13" s="18">
        <v>150777</v>
      </c>
      <c r="C13" s="19" t="s">
        <v>36</v>
      </c>
      <c r="D13" s="19" t="s">
        <v>37</v>
      </c>
      <c r="E13" s="20">
        <v>21123</v>
      </c>
      <c r="F13" s="18" t="s">
        <v>32</v>
      </c>
      <c r="G13" s="19" t="s">
        <v>19</v>
      </c>
      <c r="H13" s="19" t="s">
        <v>38</v>
      </c>
      <c r="I13" s="19" t="s">
        <v>21</v>
      </c>
      <c r="J13" s="10">
        <v>22000</v>
      </c>
      <c r="K13" s="10">
        <f t="shared" si="0"/>
        <v>9900</v>
      </c>
      <c r="L13" s="10">
        <f t="shared" si="1"/>
        <v>2100</v>
      </c>
      <c r="M13" s="10">
        <f t="shared" si="2"/>
        <v>31900</v>
      </c>
      <c r="N13" s="10">
        <f t="shared" si="3"/>
        <v>1595</v>
      </c>
      <c r="O13" s="10">
        <f t="shared" si="4"/>
        <v>30305</v>
      </c>
    </row>
    <row r="14" spans="2:15" x14ac:dyDescent="0.25">
      <c r="B14" s="18">
        <v>150805</v>
      </c>
      <c r="C14" s="19" t="s">
        <v>28</v>
      </c>
      <c r="D14" s="19" t="s">
        <v>40</v>
      </c>
      <c r="E14" s="20">
        <v>26172</v>
      </c>
      <c r="F14" s="18" t="s">
        <v>32</v>
      </c>
      <c r="G14" s="19" t="s">
        <v>19</v>
      </c>
      <c r="H14" s="19" t="s">
        <v>41</v>
      </c>
      <c r="I14" s="19" t="s">
        <v>21</v>
      </c>
      <c r="J14" s="10">
        <v>91000</v>
      </c>
      <c r="K14" s="10">
        <f t="shared" si="0"/>
        <v>40950</v>
      </c>
      <c r="L14" s="10">
        <f t="shared" si="1"/>
        <v>5550</v>
      </c>
      <c r="M14" s="10">
        <f t="shared" si="2"/>
        <v>131950</v>
      </c>
      <c r="N14" s="10">
        <f t="shared" si="3"/>
        <v>6597.5</v>
      </c>
      <c r="O14" s="10">
        <f t="shared" si="4"/>
        <v>125352.5</v>
      </c>
    </row>
    <row r="15" spans="2:15" x14ac:dyDescent="0.25">
      <c r="B15" s="18">
        <v>150990</v>
      </c>
      <c r="C15" s="19" t="s">
        <v>43</v>
      </c>
      <c r="D15" s="19" t="s">
        <v>44</v>
      </c>
      <c r="E15" s="20">
        <v>36400</v>
      </c>
      <c r="F15" s="18" t="s">
        <v>32</v>
      </c>
      <c r="G15" s="19" t="s">
        <v>19</v>
      </c>
      <c r="H15" s="19" t="s">
        <v>45</v>
      </c>
      <c r="I15" s="19" t="s">
        <v>46</v>
      </c>
      <c r="J15" s="10">
        <v>77000</v>
      </c>
      <c r="K15" s="10">
        <f t="shared" si="0"/>
        <v>34650</v>
      </c>
      <c r="L15" s="10">
        <f t="shared" si="1"/>
        <v>4850</v>
      </c>
      <c r="M15" s="10">
        <f t="shared" si="2"/>
        <v>111650</v>
      </c>
      <c r="N15" s="10">
        <f t="shared" si="3"/>
        <v>5582.5</v>
      </c>
      <c r="O15" s="10">
        <f t="shared" si="4"/>
        <v>106067.5</v>
      </c>
    </row>
    <row r="16" spans="2:15" x14ac:dyDescent="0.25">
      <c r="B16" s="18">
        <v>150989</v>
      </c>
      <c r="C16" s="19" t="s">
        <v>48</v>
      </c>
      <c r="D16" s="19" t="s">
        <v>44</v>
      </c>
      <c r="E16" s="20">
        <v>33113</v>
      </c>
      <c r="F16" s="18" t="s">
        <v>32</v>
      </c>
      <c r="G16" s="19" t="s">
        <v>19</v>
      </c>
      <c r="H16" s="19" t="s">
        <v>26</v>
      </c>
      <c r="I16" s="19" t="s">
        <v>46</v>
      </c>
      <c r="J16" s="10">
        <v>45000</v>
      </c>
      <c r="K16" s="10">
        <f t="shared" si="0"/>
        <v>20250</v>
      </c>
      <c r="L16" s="10">
        <f t="shared" si="1"/>
        <v>3250</v>
      </c>
      <c r="M16" s="10">
        <f t="shared" si="2"/>
        <v>65250</v>
      </c>
      <c r="N16" s="10">
        <f t="shared" si="3"/>
        <v>3262.5</v>
      </c>
      <c r="O16" s="10">
        <f t="shared" si="4"/>
        <v>61987.5</v>
      </c>
    </row>
    <row r="17" spans="2:15" x14ac:dyDescent="0.25">
      <c r="B17" s="18">
        <v>150881</v>
      </c>
      <c r="C17" s="19" t="s">
        <v>50</v>
      </c>
      <c r="D17" s="19" t="s">
        <v>51</v>
      </c>
      <c r="E17" s="20">
        <v>30337</v>
      </c>
      <c r="F17" s="18" t="s">
        <v>32</v>
      </c>
      <c r="G17" s="19" t="s">
        <v>25</v>
      </c>
      <c r="H17" s="19" t="s">
        <v>26</v>
      </c>
      <c r="I17" s="19" t="s">
        <v>52</v>
      </c>
      <c r="J17" s="10">
        <v>92000</v>
      </c>
      <c r="K17" s="10">
        <f t="shared" si="0"/>
        <v>41400</v>
      </c>
      <c r="L17" s="10">
        <f t="shared" si="1"/>
        <v>5600</v>
      </c>
      <c r="M17" s="10">
        <f t="shared" si="2"/>
        <v>133400</v>
      </c>
      <c r="N17" s="10">
        <f t="shared" si="3"/>
        <v>6670</v>
      </c>
      <c r="O17" s="10">
        <f t="shared" si="4"/>
        <v>126730</v>
      </c>
    </row>
    <row r="18" spans="2:15" x14ac:dyDescent="0.25">
      <c r="B18" s="18">
        <v>150814</v>
      </c>
      <c r="C18" s="19" t="s">
        <v>54</v>
      </c>
      <c r="D18" s="19" t="s">
        <v>55</v>
      </c>
      <c r="E18" s="20">
        <v>26246</v>
      </c>
      <c r="F18" s="18" t="s">
        <v>32</v>
      </c>
      <c r="G18" s="19" t="s">
        <v>19</v>
      </c>
      <c r="H18" s="19" t="s">
        <v>33</v>
      </c>
      <c r="I18" s="19" t="s">
        <v>21</v>
      </c>
      <c r="J18" s="10">
        <v>50000</v>
      </c>
      <c r="K18" s="10">
        <f t="shared" si="0"/>
        <v>22500</v>
      </c>
      <c r="L18" s="10">
        <f t="shared" si="1"/>
        <v>3500</v>
      </c>
      <c r="M18" s="10">
        <f t="shared" si="2"/>
        <v>72500</v>
      </c>
      <c r="N18" s="10">
        <f t="shared" si="3"/>
        <v>3625</v>
      </c>
      <c r="O18" s="10">
        <f t="shared" si="4"/>
        <v>68875</v>
      </c>
    </row>
    <row r="19" spans="2:15" x14ac:dyDescent="0.25">
      <c r="B19" s="18">
        <v>150937</v>
      </c>
      <c r="C19" s="19" t="s">
        <v>57</v>
      </c>
      <c r="D19" s="19" t="s">
        <v>58</v>
      </c>
      <c r="E19" s="20">
        <v>24700</v>
      </c>
      <c r="F19" s="18" t="s">
        <v>32</v>
      </c>
      <c r="G19" s="19" t="s">
        <v>19</v>
      </c>
      <c r="H19" s="19" t="s">
        <v>45</v>
      </c>
      <c r="I19" s="19" t="s">
        <v>34</v>
      </c>
      <c r="J19" s="10">
        <v>37000</v>
      </c>
      <c r="K19" s="10">
        <f t="shared" si="0"/>
        <v>16650</v>
      </c>
      <c r="L19" s="10">
        <f t="shared" si="1"/>
        <v>2850</v>
      </c>
      <c r="M19" s="10">
        <f t="shared" si="2"/>
        <v>53650</v>
      </c>
      <c r="N19" s="10">
        <f t="shared" si="3"/>
        <v>2682.5</v>
      </c>
      <c r="O19" s="10">
        <f t="shared" si="4"/>
        <v>50967.5</v>
      </c>
    </row>
    <row r="20" spans="2:15" x14ac:dyDescent="0.25">
      <c r="B20" s="18">
        <v>150888</v>
      </c>
      <c r="C20" s="19" t="s">
        <v>59</v>
      </c>
      <c r="D20" s="19" t="s">
        <v>60</v>
      </c>
      <c r="E20" s="20">
        <v>29221</v>
      </c>
      <c r="F20" s="18" t="s">
        <v>32</v>
      </c>
      <c r="G20" s="19" t="s">
        <v>19</v>
      </c>
      <c r="H20" s="19" t="s">
        <v>45</v>
      </c>
      <c r="I20" s="19" t="s">
        <v>52</v>
      </c>
      <c r="J20" s="10">
        <v>43000</v>
      </c>
      <c r="K20" s="10">
        <f t="shared" si="0"/>
        <v>19350</v>
      </c>
      <c r="L20" s="10">
        <f t="shared" si="1"/>
        <v>3150</v>
      </c>
      <c r="M20" s="10">
        <f t="shared" si="2"/>
        <v>62350</v>
      </c>
      <c r="N20" s="10">
        <f t="shared" si="3"/>
        <v>3117.5</v>
      </c>
      <c r="O20" s="10">
        <f t="shared" si="4"/>
        <v>59232.5</v>
      </c>
    </row>
    <row r="21" spans="2:15" x14ac:dyDescent="0.25">
      <c r="B21" s="18">
        <v>150865</v>
      </c>
      <c r="C21" s="19" t="s">
        <v>61</v>
      </c>
      <c r="D21" s="19" t="s">
        <v>60</v>
      </c>
      <c r="E21" s="20">
        <v>31279</v>
      </c>
      <c r="F21" s="18" t="s">
        <v>18</v>
      </c>
      <c r="G21" s="19" t="s">
        <v>19</v>
      </c>
      <c r="H21" s="19" t="s">
        <v>62</v>
      </c>
      <c r="I21" s="19" t="s">
        <v>52</v>
      </c>
      <c r="J21" s="10">
        <v>90000</v>
      </c>
      <c r="K21" s="10">
        <f t="shared" si="0"/>
        <v>40500</v>
      </c>
      <c r="L21" s="10">
        <f t="shared" si="1"/>
        <v>5500</v>
      </c>
      <c r="M21" s="10">
        <f t="shared" si="2"/>
        <v>130500</v>
      </c>
      <c r="N21" s="10">
        <f t="shared" si="3"/>
        <v>6525</v>
      </c>
      <c r="O21" s="10">
        <f t="shared" si="4"/>
        <v>123975</v>
      </c>
    </row>
    <row r="22" spans="2:15" x14ac:dyDescent="0.25">
      <c r="B22" s="18">
        <v>150858</v>
      </c>
      <c r="C22" s="19" t="s">
        <v>63</v>
      </c>
      <c r="D22" s="19" t="s">
        <v>64</v>
      </c>
      <c r="E22" s="20">
        <v>34846</v>
      </c>
      <c r="F22" s="18" t="s">
        <v>32</v>
      </c>
      <c r="G22" s="19" t="s">
        <v>19</v>
      </c>
      <c r="H22" s="19" t="s">
        <v>65</v>
      </c>
      <c r="I22" s="19" t="s">
        <v>52</v>
      </c>
      <c r="J22" s="10">
        <v>34000</v>
      </c>
      <c r="K22" s="10">
        <f t="shared" si="0"/>
        <v>15300</v>
      </c>
      <c r="L22" s="10">
        <f t="shared" si="1"/>
        <v>2700</v>
      </c>
      <c r="M22" s="10">
        <f t="shared" si="2"/>
        <v>49300</v>
      </c>
      <c r="N22" s="10">
        <f t="shared" si="3"/>
        <v>2465</v>
      </c>
      <c r="O22" s="10">
        <f t="shared" si="4"/>
        <v>46835</v>
      </c>
    </row>
    <row r="23" spans="2:15" x14ac:dyDescent="0.25">
      <c r="B23" s="18">
        <v>150930</v>
      </c>
      <c r="C23" s="19" t="s">
        <v>66</v>
      </c>
      <c r="D23" s="19" t="s">
        <v>67</v>
      </c>
      <c r="E23" s="20">
        <v>37027</v>
      </c>
      <c r="F23" s="18" t="s">
        <v>32</v>
      </c>
      <c r="G23" s="19" t="s">
        <v>19</v>
      </c>
      <c r="H23" s="19" t="s">
        <v>26</v>
      </c>
      <c r="I23" s="19" t="s">
        <v>34</v>
      </c>
      <c r="J23" s="10">
        <v>82000</v>
      </c>
      <c r="K23" s="10">
        <f t="shared" si="0"/>
        <v>36900</v>
      </c>
      <c r="L23" s="10">
        <f t="shared" si="1"/>
        <v>5100</v>
      </c>
      <c r="M23" s="10">
        <f t="shared" si="2"/>
        <v>118900</v>
      </c>
      <c r="N23" s="10">
        <f t="shared" si="3"/>
        <v>5945</v>
      </c>
      <c r="O23" s="10">
        <f t="shared" si="4"/>
        <v>112955</v>
      </c>
    </row>
    <row r="24" spans="2:15" x14ac:dyDescent="0.25">
      <c r="B24" s="18">
        <v>150894</v>
      </c>
      <c r="C24" s="19" t="s">
        <v>69</v>
      </c>
      <c r="D24" s="19" t="s">
        <v>70</v>
      </c>
      <c r="E24" s="20">
        <v>37124</v>
      </c>
      <c r="F24" s="18" t="s">
        <v>32</v>
      </c>
      <c r="G24" s="19" t="s">
        <v>19</v>
      </c>
      <c r="H24" s="19" t="s">
        <v>33</v>
      </c>
      <c r="I24" s="19" t="s">
        <v>34</v>
      </c>
      <c r="J24" s="10">
        <v>67000</v>
      </c>
      <c r="K24" s="10">
        <f t="shared" si="0"/>
        <v>30150</v>
      </c>
      <c r="L24" s="10">
        <f t="shared" si="1"/>
        <v>4350</v>
      </c>
      <c r="M24" s="10">
        <f t="shared" si="2"/>
        <v>97150</v>
      </c>
      <c r="N24" s="10">
        <f t="shared" si="3"/>
        <v>4857.5</v>
      </c>
      <c r="O24" s="10">
        <f t="shared" si="4"/>
        <v>92292.5</v>
      </c>
    </row>
    <row r="25" spans="2:15" x14ac:dyDescent="0.25">
      <c r="B25" s="18">
        <v>150947</v>
      </c>
      <c r="C25" s="19" t="s">
        <v>71</v>
      </c>
      <c r="D25" s="19" t="s">
        <v>72</v>
      </c>
      <c r="E25" s="20">
        <v>33449</v>
      </c>
      <c r="F25" s="18" t="s">
        <v>18</v>
      </c>
      <c r="G25" s="19" t="s">
        <v>19</v>
      </c>
      <c r="H25" s="19" t="s">
        <v>65</v>
      </c>
      <c r="I25" s="19" t="s">
        <v>34</v>
      </c>
      <c r="J25" s="10">
        <v>85000</v>
      </c>
      <c r="K25" s="10">
        <f t="shared" si="0"/>
        <v>38250</v>
      </c>
      <c r="L25" s="10">
        <f t="shared" si="1"/>
        <v>5250</v>
      </c>
      <c r="M25" s="10">
        <f t="shared" si="2"/>
        <v>123250</v>
      </c>
      <c r="N25" s="10">
        <f t="shared" si="3"/>
        <v>6162.5</v>
      </c>
      <c r="O25" s="10">
        <f t="shared" si="4"/>
        <v>117087.5</v>
      </c>
    </row>
    <row r="26" spans="2:15" x14ac:dyDescent="0.25">
      <c r="B26" s="18">
        <v>150905</v>
      </c>
      <c r="C26" s="19" t="s">
        <v>73</v>
      </c>
      <c r="D26" s="19" t="s">
        <v>74</v>
      </c>
      <c r="E26" s="20">
        <v>30819</v>
      </c>
      <c r="F26" s="18" t="s">
        <v>18</v>
      </c>
      <c r="G26" s="19" t="s">
        <v>25</v>
      </c>
      <c r="H26" s="19" t="s">
        <v>20</v>
      </c>
      <c r="I26" s="19" t="s">
        <v>34</v>
      </c>
      <c r="J26" s="10">
        <v>62000</v>
      </c>
      <c r="K26" s="10">
        <f t="shared" si="0"/>
        <v>27900</v>
      </c>
      <c r="L26" s="10">
        <f t="shared" si="1"/>
        <v>4100</v>
      </c>
      <c r="M26" s="10">
        <f t="shared" si="2"/>
        <v>89900</v>
      </c>
      <c r="N26" s="10">
        <f t="shared" si="3"/>
        <v>4495</v>
      </c>
      <c r="O26" s="10">
        <f t="shared" si="4"/>
        <v>85405</v>
      </c>
    </row>
    <row r="27" spans="2:15" x14ac:dyDescent="0.25">
      <c r="B27" s="18">
        <v>150995</v>
      </c>
      <c r="C27" s="19" t="s">
        <v>75</v>
      </c>
      <c r="D27" s="19" t="s">
        <v>76</v>
      </c>
      <c r="E27" s="20">
        <v>35330</v>
      </c>
      <c r="F27" s="18" t="s">
        <v>32</v>
      </c>
      <c r="G27" s="19" t="s">
        <v>19</v>
      </c>
      <c r="H27" s="19" t="s">
        <v>33</v>
      </c>
      <c r="I27" s="19" t="s">
        <v>46</v>
      </c>
      <c r="J27" s="10">
        <v>15000</v>
      </c>
      <c r="K27" s="10">
        <f t="shared" si="0"/>
        <v>6750</v>
      </c>
      <c r="L27" s="10">
        <f t="shared" si="1"/>
        <v>1750</v>
      </c>
      <c r="M27" s="10">
        <f t="shared" si="2"/>
        <v>21750</v>
      </c>
      <c r="N27" s="10">
        <f t="shared" si="3"/>
        <v>1087.5</v>
      </c>
      <c r="O27" s="10">
        <f t="shared" si="4"/>
        <v>20662.5</v>
      </c>
    </row>
    <row r="28" spans="2:15" x14ac:dyDescent="0.25">
      <c r="B28" s="18">
        <v>150912</v>
      </c>
      <c r="C28" s="19" t="s">
        <v>77</v>
      </c>
      <c r="D28" s="19" t="s">
        <v>78</v>
      </c>
      <c r="E28" s="20">
        <v>37629</v>
      </c>
      <c r="F28" s="18" t="s">
        <v>18</v>
      </c>
      <c r="G28" s="19" t="s">
        <v>19</v>
      </c>
      <c r="H28" s="19" t="s">
        <v>79</v>
      </c>
      <c r="I28" s="19" t="s">
        <v>34</v>
      </c>
      <c r="J28" s="10">
        <v>81000</v>
      </c>
      <c r="K28" s="10">
        <f t="shared" si="0"/>
        <v>36450</v>
      </c>
      <c r="L28" s="10">
        <f t="shared" si="1"/>
        <v>5050</v>
      </c>
      <c r="M28" s="10">
        <f t="shared" si="2"/>
        <v>117450</v>
      </c>
      <c r="N28" s="10">
        <f t="shared" si="3"/>
        <v>5872.5</v>
      </c>
      <c r="O28" s="10">
        <f t="shared" si="4"/>
        <v>111577.5</v>
      </c>
    </row>
    <row r="29" spans="2:15" x14ac:dyDescent="0.25">
      <c r="B29" s="18">
        <v>150921</v>
      </c>
      <c r="C29" s="19" t="s">
        <v>80</v>
      </c>
      <c r="D29" s="19" t="s">
        <v>81</v>
      </c>
      <c r="E29" s="20">
        <v>38092</v>
      </c>
      <c r="F29" s="18" t="s">
        <v>32</v>
      </c>
      <c r="G29" s="19" t="s">
        <v>19</v>
      </c>
      <c r="H29" s="19" t="s">
        <v>82</v>
      </c>
      <c r="I29" s="19" t="s">
        <v>34</v>
      </c>
      <c r="J29" s="10">
        <v>19000</v>
      </c>
      <c r="K29" s="10">
        <f t="shared" si="0"/>
        <v>8550</v>
      </c>
      <c r="L29" s="10">
        <f t="shared" si="1"/>
        <v>1950</v>
      </c>
      <c r="M29" s="10">
        <f t="shared" si="2"/>
        <v>27550</v>
      </c>
      <c r="N29" s="10">
        <f t="shared" si="3"/>
        <v>1377.5</v>
      </c>
      <c r="O29" s="10">
        <f t="shared" si="4"/>
        <v>26172.5</v>
      </c>
    </row>
    <row r="30" spans="2:15" x14ac:dyDescent="0.25">
      <c r="B30" s="18">
        <v>150851</v>
      </c>
      <c r="C30" s="19" t="s">
        <v>83</v>
      </c>
      <c r="D30" s="19" t="s">
        <v>84</v>
      </c>
      <c r="E30" s="20">
        <v>29368</v>
      </c>
      <c r="F30" s="18" t="s">
        <v>32</v>
      </c>
      <c r="G30" s="19" t="s">
        <v>25</v>
      </c>
      <c r="H30" s="19" t="s">
        <v>33</v>
      </c>
      <c r="I30" s="19" t="s">
        <v>52</v>
      </c>
      <c r="J30" s="10">
        <v>75000</v>
      </c>
      <c r="K30" s="10">
        <f t="shared" si="0"/>
        <v>33750</v>
      </c>
      <c r="L30" s="10">
        <f t="shared" si="1"/>
        <v>4750</v>
      </c>
      <c r="M30" s="10">
        <f t="shared" si="2"/>
        <v>108750</v>
      </c>
      <c r="N30" s="10">
        <f t="shared" si="3"/>
        <v>5437.5</v>
      </c>
      <c r="O30" s="10">
        <f t="shared" si="4"/>
        <v>103312.5</v>
      </c>
    </row>
    <row r="31" spans="2:15" x14ac:dyDescent="0.25">
      <c r="B31" s="18">
        <v>150867</v>
      </c>
      <c r="C31" s="19" t="s">
        <v>85</v>
      </c>
      <c r="D31" s="19" t="s">
        <v>86</v>
      </c>
      <c r="E31" s="20">
        <v>29028</v>
      </c>
      <c r="F31" s="18" t="s">
        <v>18</v>
      </c>
      <c r="G31" s="19" t="s">
        <v>25</v>
      </c>
      <c r="H31" s="19" t="s">
        <v>82</v>
      </c>
      <c r="I31" s="19" t="s">
        <v>52</v>
      </c>
      <c r="J31" s="10">
        <v>49000</v>
      </c>
      <c r="K31" s="10">
        <f t="shared" si="0"/>
        <v>22050</v>
      </c>
      <c r="L31" s="10">
        <f t="shared" si="1"/>
        <v>3450</v>
      </c>
      <c r="M31" s="10">
        <f t="shared" si="2"/>
        <v>71050</v>
      </c>
      <c r="N31" s="10">
        <f t="shared" si="3"/>
        <v>3552.5</v>
      </c>
      <c r="O31" s="10">
        <f t="shared" si="4"/>
        <v>67497.5</v>
      </c>
    </row>
    <row r="32" spans="2:15" x14ac:dyDescent="0.25">
      <c r="B32" s="18">
        <v>150899</v>
      </c>
      <c r="C32" s="19" t="s">
        <v>87</v>
      </c>
      <c r="D32" s="19" t="s">
        <v>88</v>
      </c>
      <c r="E32" s="20">
        <v>37400</v>
      </c>
      <c r="F32" s="18" t="s">
        <v>32</v>
      </c>
      <c r="G32" s="19" t="s">
        <v>19</v>
      </c>
      <c r="H32" s="19" t="s">
        <v>65</v>
      </c>
      <c r="I32" s="19" t="s">
        <v>34</v>
      </c>
      <c r="J32" s="10">
        <v>50000</v>
      </c>
      <c r="K32" s="10">
        <f t="shared" si="0"/>
        <v>22500</v>
      </c>
      <c r="L32" s="10">
        <f t="shared" si="1"/>
        <v>3500</v>
      </c>
      <c r="M32" s="10">
        <f t="shared" si="2"/>
        <v>72500</v>
      </c>
      <c r="N32" s="10">
        <f t="shared" si="3"/>
        <v>3625</v>
      </c>
      <c r="O32" s="10">
        <f t="shared" si="4"/>
        <v>68875</v>
      </c>
    </row>
    <row r="33" spans="2:15" x14ac:dyDescent="0.25">
      <c r="B33" s="18">
        <v>150975</v>
      </c>
      <c r="C33" s="19" t="s">
        <v>89</v>
      </c>
      <c r="D33" s="19" t="s">
        <v>90</v>
      </c>
      <c r="E33" s="20">
        <v>31478</v>
      </c>
      <c r="F33" s="18" t="s">
        <v>32</v>
      </c>
      <c r="G33" s="19" t="s">
        <v>19</v>
      </c>
      <c r="H33" s="19" t="s">
        <v>82</v>
      </c>
      <c r="I33" s="19" t="s">
        <v>46</v>
      </c>
      <c r="J33" s="10">
        <v>83000</v>
      </c>
      <c r="K33" s="10">
        <f t="shared" si="0"/>
        <v>37350</v>
      </c>
      <c r="L33" s="10">
        <f t="shared" si="1"/>
        <v>5150</v>
      </c>
      <c r="M33" s="10">
        <f t="shared" si="2"/>
        <v>120350</v>
      </c>
      <c r="N33" s="10">
        <f t="shared" si="3"/>
        <v>6017.5</v>
      </c>
      <c r="O33" s="10">
        <f t="shared" si="4"/>
        <v>114332.5</v>
      </c>
    </row>
    <row r="34" spans="2:15" x14ac:dyDescent="0.25">
      <c r="B34" s="18">
        <v>150901</v>
      </c>
      <c r="C34" s="19" t="s">
        <v>91</v>
      </c>
      <c r="D34" s="19" t="s">
        <v>92</v>
      </c>
      <c r="E34" s="20">
        <v>32946</v>
      </c>
      <c r="F34" s="18" t="s">
        <v>18</v>
      </c>
      <c r="G34" s="19" t="s">
        <v>19</v>
      </c>
      <c r="H34" s="19" t="s">
        <v>93</v>
      </c>
      <c r="I34" s="19" t="s">
        <v>34</v>
      </c>
      <c r="J34" s="10">
        <v>53000</v>
      </c>
      <c r="K34" s="10">
        <f t="shared" si="0"/>
        <v>23850</v>
      </c>
      <c r="L34" s="10">
        <f t="shared" si="1"/>
        <v>3650</v>
      </c>
      <c r="M34" s="10">
        <f t="shared" si="2"/>
        <v>76850</v>
      </c>
      <c r="N34" s="10">
        <f t="shared" si="3"/>
        <v>3842.5</v>
      </c>
      <c r="O34" s="10">
        <f t="shared" si="4"/>
        <v>73007.5</v>
      </c>
    </row>
    <row r="35" spans="2:15" x14ac:dyDescent="0.25">
      <c r="B35" s="18">
        <v>150968</v>
      </c>
      <c r="C35" s="19" t="s">
        <v>94</v>
      </c>
      <c r="D35" s="19" t="s">
        <v>95</v>
      </c>
      <c r="E35" s="20">
        <v>37208</v>
      </c>
      <c r="F35" s="18" t="s">
        <v>32</v>
      </c>
      <c r="G35" s="19" t="s">
        <v>19</v>
      </c>
      <c r="H35" s="19" t="s">
        <v>79</v>
      </c>
      <c r="I35" s="19" t="s">
        <v>34</v>
      </c>
      <c r="J35" s="10">
        <v>65000</v>
      </c>
      <c r="K35" s="10">
        <f t="shared" si="0"/>
        <v>29250</v>
      </c>
      <c r="L35" s="10">
        <f t="shared" si="1"/>
        <v>4250</v>
      </c>
      <c r="M35" s="10">
        <f t="shared" si="2"/>
        <v>94250</v>
      </c>
      <c r="N35" s="10">
        <f t="shared" si="3"/>
        <v>4712.5</v>
      </c>
      <c r="O35" s="10">
        <f t="shared" si="4"/>
        <v>89537.5</v>
      </c>
    </row>
    <row r="36" spans="2:15" x14ac:dyDescent="0.25">
      <c r="B36" s="18">
        <v>150773</v>
      </c>
      <c r="C36" s="19" t="s">
        <v>96</v>
      </c>
      <c r="D36" s="19" t="s">
        <v>97</v>
      </c>
      <c r="E36" s="20">
        <v>26860</v>
      </c>
      <c r="F36" s="18" t="s">
        <v>32</v>
      </c>
      <c r="G36" s="19" t="s">
        <v>19</v>
      </c>
      <c r="H36" s="19" t="s">
        <v>82</v>
      </c>
      <c r="I36" s="19" t="s">
        <v>21</v>
      </c>
      <c r="J36" s="10">
        <v>85000</v>
      </c>
      <c r="K36" s="10">
        <f t="shared" si="0"/>
        <v>38250</v>
      </c>
      <c r="L36" s="10">
        <f t="shared" si="1"/>
        <v>5250</v>
      </c>
      <c r="M36" s="10">
        <f t="shared" si="2"/>
        <v>123250</v>
      </c>
      <c r="N36" s="10">
        <f t="shared" si="3"/>
        <v>6162.5</v>
      </c>
      <c r="O36" s="10">
        <f t="shared" si="4"/>
        <v>117087.5</v>
      </c>
    </row>
    <row r="37" spans="2:15" x14ac:dyDescent="0.25">
      <c r="B37" s="18">
        <v>150840</v>
      </c>
      <c r="C37" s="19" t="s">
        <v>66</v>
      </c>
      <c r="D37" s="19" t="s">
        <v>98</v>
      </c>
      <c r="E37" s="20">
        <v>23136</v>
      </c>
      <c r="F37" s="18" t="s">
        <v>18</v>
      </c>
      <c r="G37" s="19" t="s">
        <v>19</v>
      </c>
      <c r="H37" s="19" t="s">
        <v>33</v>
      </c>
      <c r="I37" s="19" t="s">
        <v>52</v>
      </c>
      <c r="J37" s="10">
        <v>20000</v>
      </c>
      <c r="K37" s="10">
        <f t="shared" si="0"/>
        <v>9000</v>
      </c>
      <c r="L37" s="10">
        <f t="shared" si="1"/>
        <v>2000</v>
      </c>
      <c r="M37" s="10">
        <f t="shared" si="2"/>
        <v>29000</v>
      </c>
      <c r="N37" s="10">
        <f t="shared" si="3"/>
        <v>1450</v>
      </c>
      <c r="O37" s="10">
        <f t="shared" si="4"/>
        <v>27550</v>
      </c>
    </row>
    <row r="38" spans="2:15" x14ac:dyDescent="0.25">
      <c r="B38" s="18">
        <v>150850</v>
      </c>
      <c r="C38" s="19" t="s">
        <v>57</v>
      </c>
      <c r="D38" s="19" t="s">
        <v>99</v>
      </c>
      <c r="E38" s="20">
        <v>32027</v>
      </c>
      <c r="F38" s="18" t="s">
        <v>32</v>
      </c>
      <c r="G38" s="19" t="s">
        <v>19</v>
      </c>
      <c r="H38" s="19" t="s">
        <v>65</v>
      </c>
      <c r="I38" s="19" t="s">
        <v>52</v>
      </c>
      <c r="J38" s="10">
        <v>47000</v>
      </c>
      <c r="K38" s="10">
        <f t="shared" si="0"/>
        <v>21150</v>
      </c>
      <c r="L38" s="10">
        <f t="shared" si="1"/>
        <v>3350</v>
      </c>
      <c r="M38" s="10">
        <f t="shared" si="2"/>
        <v>68150</v>
      </c>
      <c r="N38" s="10">
        <f t="shared" si="3"/>
        <v>3407.5</v>
      </c>
      <c r="O38" s="10">
        <f t="shared" si="4"/>
        <v>64742.5</v>
      </c>
    </row>
    <row r="39" spans="2:15" x14ac:dyDescent="0.25">
      <c r="B39" s="18">
        <v>150962</v>
      </c>
      <c r="C39" s="19" t="s">
        <v>100</v>
      </c>
      <c r="D39" s="19" t="s">
        <v>101</v>
      </c>
      <c r="E39" s="20">
        <v>37773</v>
      </c>
      <c r="F39" s="18" t="s">
        <v>18</v>
      </c>
      <c r="G39" s="19" t="s">
        <v>19</v>
      </c>
      <c r="H39" s="19" t="s">
        <v>41</v>
      </c>
      <c r="I39" s="19" t="s">
        <v>34</v>
      </c>
      <c r="J39" s="10">
        <v>87000</v>
      </c>
      <c r="K39" s="10">
        <f t="shared" si="0"/>
        <v>39150</v>
      </c>
      <c r="L39" s="10">
        <f t="shared" si="1"/>
        <v>5350</v>
      </c>
      <c r="M39" s="10">
        <f t="shared" si="2"/>
        <v>126150</v>
      </c>
      <c r="N39" s="10">
        <f t="shared" si="3"/>
        <v>6307.5</v>
      </c>
      <c r="O39" s="10">
        <f t="shared" si="4"/>
        <v>119842.5</v>
      </c>
    </row>
    <row r="40" spans="2:15" x14ac:dyDescent="0.25">
      <c r="B40" s="18">
        <v>150954</v>
      </c>
      <c r="C40" s="19" t="s">
        <v>102</v>
      </c>
      <c r="D40" s="19" t="s">
        <v>101</v>
      </c>
      <c r="E40" s="20">
        <v>35495</v>
      </c>
      <c r="F40" s="18" t="s">
        <v>18</v>
      </c>
      <c r="G40" s="19" t="s">
        <v>19</v>
      </c>
      <c r="H40" s="19" t="s">
        <v>93</v>
      </c>
      <c r="I40" s="19" t="s">
        <v>34</v>
      </c>
      <c r="J40" s="10">
        <v>57000</v>
      </c>
      <c r="K40" s="10">
        <f t="shared" si="0"/>
        <v>25650</v>
      </c>
      <c r="L40" s="10">
        <f t="shared" si="1"/>
        <v>3850</v>
      </c>
      <c r="M40" s="10">
        <f t="shared" si="2"/>
        <v>82650</v>
      </c>
      <c r="N40" s="10">
        <f t="shared" si="3"/>
        <v>4132.5</v>
      </c>
      <c r="O40" s="10">
        <f t="shared" si="4"/>
        <v>78517.5</v>
      </c>
    </row>
    <row r="41" spans="2:15" x14ac:dyDescent="0.25">
      <c r="B41" s="18">
        <v>150874</v>
      </c>
      <c r="C41" s="19" t="s">
        <v>103</v>
      </c>
      <c r="D41" s="19" t="s">
        <v>101</v>
      </c>
      <c r="E41" s="20">
        <v>37890</v>
      </c>
      <c r="F41" s="18" t="s">
        <v>18</v>
      </c>
      <c r="G41" s="19" t="s">
        <v>19</v>
      </c>
      <c r="H41" s="19" t="s">
        <v>38</v>
      </c>
      <c r="I41" s="19" t="s">
        <v>52</v>
      </c>
      <c r="J41" s="10">
        <v>27000</v>
      </c>
      <c r="K41" s="10">
        <f t="shared" si="0"/>
        <v>12150</v>
      </c>
      <c r="L41" s="10">
        <f t="shared" si="1"/>
        <v>2350</v>
      </c>
      <c r="M41" s="10">
        <f t="shared" si="2"/>
        <v>39150</v>
      </c>
      <c r="N41" s="10">
        <f t="shared" si="3"/>
        <v>1957.5</v>
      </c>
      <c r="O41" s="10">
        <f t="shared" si="4"/>
        <v>37192.5</v>
      </c>
    </row>
    <row r="42" spans="2:15" x14ac:dyDescent="0.25">
      <c r="B42" s="18">
        <v>150798</v>
      </c>
      <c r="C42" s="19" t="s">
        <v>104</v>
      </c>
      <c r="D42" s="19" t="s">
        <v>101</v>
      </c>
      <c r="E42" s="20">
        <v>28276</v>
      </c>
      <c r="F42" s="18" t="s">
        <v>18</v>
      </c>
      <c r="G42" s="19" t="s">
        <v>19</v>
      </c>
      <c r="H42" s="19" t="s">
        <v>26</v>
      </c>
      <c r="I42" s="19" t="s">
        <v>21</v>
      </c>
      <c r="J42" s="10">
        <v>81000</v>
      </c>
      <c r="K42" s="10">
        <f t="shared" si="0"/>
        <v>36450</v>
      </c>
      <c r="L42" s="10">
        <f t="shared" si="1"/>
        <v>5050</v>
      </c>
      <c r="M42" s="10">
        <f t="shared" si="2"/>
        <v>117450</v>
      </c>
      <c r="N42" s="10">
        <f t="shared" si="3"/>
        <v>5872.5</v>
      </c>
      <c r="O42" s="10">
        <f t="shared" si="4"/>
        <v>111577.5</v>
      </c>
    </row>
    <row r="43" spans="2:15" x14ac:dyDescent="0.25">
      <c r="B43" s="18">
        <v>150830</v>
      </c>
      <c r="C43" s="19" t="s">
        <v>105</v>
      </c>
      <c r="D43" s="19" t="s">
        <v>106</v>
      </c>
      <c r="E43" s="20">
        <v>29037</v>
      </c>
      <c r="F43" s="18" t="s">
        <v>18</v>
      </c>
      <c r="G43" s="19" t="s">
        <v>19</v>
      </c>
      <c r="H43" s="19" t="s">
        <v>93</v>
      </c>
      <c r="I43" s="19" t="s">
        <v>21</v>
      </c>
      <c r="J43" s="10">
        <v>52000</v>
      </c>
      <c r="K43" s="10">
        <f t="shared" si="0"/>
        <v>23400</v>
      </c>
      <c r="L43" s="10">
        <f t="shared" si="1"/>
        <v>3600</v>
      </c>
      <c r="M43" s="10">
        <f t="shared" si="2"/>
        <v>75400</v>
      </c>
      <c r="N43" s="10">
        <f t="shared" si="3"/>
        <v>3770</v>
      </c>
      <c r="O43" s="10">
        <f t="shared" si="4"/>
        <v>71630</v>
      </c>
    </row>
    <row r="44" spans="2:15" x14ac:dyDescent="0.25">
      <c r="B44" s="18">
        <v>150929</v>
      </c>
      <c r="C44" s="19" t="s">
        <v>107</v>
      </c>
      <c r="D44" s="19" t="s">
        <v>108</v>
      </c>
      <c r="E44" s="20">
        <v>26739</v>
      </c>
      <c r="F44" s="18" t="s">
        <v>32</v>
      </c>
      <c r="G44" s="19" t="s">
        <v>19</v>
      </c>
      <c r="H44" s="19" t="s">
        <v>38</v>
      </c>
      <c r="I44" s="19" t="s">
        <v>34</v>
      </c>
      <c r="J44" s="10">
        <v>58000</v>
      </c>
      <c r="K44" s="10">
        <f t="shared" si="0"/>
        <v>26100</v>
      </c>
      <c r="L44" s="10">
        <f t="shared" si="1"/>
        <v>3900</v>
      </c>
      <c r="M44" s="10">
        <f t="shared" si="2"/>
        <v>84100</v>
      </c>
      <c r="N44" s="10">
        <f t="shared" si="3"/>
        <v>4205</v>
      </c>
      <c r="O44" s="10">
        <f t="shared" si="4"/>
        <v>79895</v>
      </c>
    </row>
    <row r="45" spans="2:15" x14ac:dyDescent="0.25">
      <c r="B45" s="18">
        <v>150982</v>
      </c>
      <c r="C45" s="19" t="s">
        <v>109</v>
      </c>
      <c r="D45" s="19" t="s">
        <v>110</v>
      </c>
      <c r="E45" s="20">
        <v>35574</v>
      </c>
      <c r="F45" s="18" t="s">
        <v>32</v>
      </c>
      <c r="G45" s="19" t="s">
        <v>19</v>
      </c>
      <c r="H45" s="19" t="s">
        <v>38</v>
      </c>
      <c r="I45" s="19" t="s">
        <v>46</v>
      </c>
      <c r="J45" s="10">
        <v>47000</v>
      </c>
      <c r="K45" s="10">
        <f t="shared" si="0"/>
        <v>21150</v>
      </c>
      <c r="L45" s="10">
        <f t="shared" si="1"/>
        <v>3350</v>
      </c>
      <c r="M45" s="10">
        <f t="shared" si="2"/>
        <v>68150</v>
      </c>
      <c r="N45" s="10">
        <f t="shared" si="3"/>
        <v>3407.5</v>
      </c>
      <c r="O45" s="10">
        <f t="shared" si="4"/>
        <v>64742.5</v>
      </c>
    </row>
    <row r="46" spans="2:15" x14ac:dyDescent="0.25">
      <c r="B46" s="18">
        <v>150821</v>
      </c>
      <c r="C46" s="19" t="s">
        <v>111</v>
      </c>
      <c r="D46" s="19" t="s">
        <v>112</v>
      </c>
      <c r="E46" s="20">
        <v>29966</v>
      </c>
      <c r="F46" s="18" t="s">
        <v>32</v>
      </c>
      <c r="G46" s="19" t="s">
        <v>25</v>
      </c>
      <c r="H46" s="19" t="s">
        <v>65</v>
      </c>
      <c r="I46" s="19" t="s">
        <v>21</v>
      </c>
      <c r="J46" s="10">
        <v>26000</v>
      </c>
      <c r="K46" s="10">
        <f t="shared" si="0"/>
        <v>11700</v>
      </c>
      <c r="L46" s="10">
        <f t="shared" si="1"/>
        <v>2300</v>
      </c>
      <c r="M46" s="10">
        <f t="shared" si="2"/>
        <v>37700</v>
      </c>
      <c r="N46" s="10">
        <f t="shared" si="3"/>
        <v>1885</v>
      </c>
      <c r="O46" s="10">
        <f t="shared" si="4"/>
        <v>35815</v>
      </c>
    </row>
  </sheetData>
  <mergeCells count="5">
    <mergeCell ref="C2:H2"/>
    <mergeCell ref="C3:H3"/>
    <mergeCell ref="C4:H4"/>
    <mergeCell ref="C5:H5"/>
    <mergeCell ref="C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33B9-D06C-4F69-A50E-66821A6C130F}">
  <dimension ref="B1:I26"/>
  <sheetViews>
    <sheetView workbookViewId="0">
      <selection activeCell="H15" sqref="H15"/>
    </sheetView>
  </sheetViews>
  <sheetFormatPr defaultRowHeight="15" x14ac:dyDescent="0.25"/>
  <cols>
    <col min="1" max="1" width="8.5703125" customWidth="1"/>
    <col min="2" max="2" width="15.7109375" customWidth="1"/>
    <col min="5" max="5" width="15.7109375" customWidth="1"/>
  </cols>
  <sheetData>
    <row r="1" spans="2:9" x14ac:dyDescent="0.25">
      <c r="C1" s="164" t="s">
        <v>125</v>
      </c>
      <c r="D1" s="164"/>
      <c r="E1" s="164"/>
      <c r="F1" s="164"/>
      <c r="G1" s="164"/>
      <c r="H1" s="164"/>
      <c r="I1" s="164"/>
    </row>
    <row r="2" spans="2:9" x14ac:dyDescent="0.25">
      <c r="C2" s="168" t="s">
        <v>126</v>
      </c>
      <c r="D2" s="168"/>
      <c r="E2" s="168"/>
      <c r="F2" s="168"/>
      <c r="G2" s="168"/>
      <c r="H2" s="168"/>
      <c r="I2" s="168"/>
    </row>
    <row r="5" spans="2:9" x14ac:dyDescent="0.25">
      <c r="E5" s="25" t="s">
        <v>120</v>
      </c>
      <c r="F5" s="25" t="s">
        <v>124</v>
      </c>
    </row>
    <row r="6" spans="2:9" x14ac:dyDescent="0.25">
      <c r="E6" s="26" t="s">
        <v>121</v>
      </c>
      <c r="F6" s="27">
        <v>0.96589557673564153</v>
      </c>
    </row>
    <row r="7" spans="2:9" x14ac:dyDescent="0.25">
      <c r="E7" s="26" t="s">
        <v>121</v>
      </c>
      <c r="F7" s="27">
        <v>0.94392708385781399</v>
      </c>
    </row>
    <row r="8" spans="2:9" x14ac:dyDescent="0.25">
      <c r="B8" s="21" t="s">
        <v>120</v>
      </c>
      <c r="C8" s="10"/>
      <c r="E8" s="26" t="s">
        <v>121</v>
      </c>
      <c r="F8" s="27">
        <v>0.92309264525721524</v>
      </c>
    </row>
    <row r="9" spans="2:9" x14ac:dyDescent="0.25">
      <c r="B9" s="22" t="s">
        <v>121</v>
      </c>
      <c r="C9" s="23">
        <f>AVERAGEIF(Mname,B9,Score)</f>
        <v>0.91886115604430774</v>
      </c>
      <c r="E9" s="26" t="s">
        <v>121</v>
      </c>
      <c r="F9" s="27">
        <v>0.91184511983622285</v>
      </c>
    </row>
    <row r="10" spans="2:9" x14ac:dyDescent="0.25">
      <c r="B10" s="22" t="s">
        <v>122</v>
      </c>
      <c r="C10" s="24">
        <f>AVERAGEIF(Mname,B10,Score)</f>
        <v>1.0222065508139568</v>
      </c>
      <c r="E10" s="26" t="s">
        <v>121</v>
      </c>
      <c r="F10" s="27">
        <v>0.9118255099358572</v>
      </c>
    </row>
    <row r="11" spans="2:9" x14ac:dyDescent="0.25">
      <c r="B11" s="22" t="s">
        <v>123</v>
      </c>
      <c r="C11" s="24">
        <f>AVERAGEIF(Mname,B11,Score)</f>
        <v>1.0157355036666562</v>
      </c>
      <c r="E11" s="26" t="s">
        <v>121</v>
      </c>
      <c r="F11" s="27">
        <v>0.90810515968284966</v>
      </c>
    </row>
    <row r="12" spans="2:9" x14ac:dyDescent="0.25">
      <c r="E12" s="26" t="s">
        <v>121</v>
      </c>
      <c r="F12" s="27">
        <v>0.89440647514660199</v>
      </c>
    </row>
    <row r="13" spans="2:9" x14ac:dyDescent="0.25">
      <c r="E13" s="26" t="s">
        <v>121</v>
      </c>
      <c r="F13" s="27">
        <v>0.89179167790225944</v>
      </c>
    </row>
    <row r="14" spans="2:9" x14ac:dyDescent="0.25">
      <c r="E14" s="26" t="s">
        <v>122</v>
      </c>
      <c r="F14" s="27">
        <v>1.036565959732173</v>
      </c>
    </row>
    <row r="15" spans="2:9" x14ac:dyDescent="0.25">
      <c r="E15" s="26" t="s">
        <v>122</v>
      </c>
      <c r="F15" s="27">
        <v>1.0337164992501291</v>
      </c>
    </row>
    <row r="16" spans="2:9" x14ac:dyDescent="0.25">
      <c r="E16" s="26" t="s">
        <v>122</v>
      </c>
      <c r="F16" s="27">
        <v>1.0278529134819105</v>
      </c>
    </row>
    <row r="17" spans="5:6" x14ac:dyDescent="0.25">
      <c r="E17" s="26" t="s">
        <v>123</v>
      </c>
      <c r="F17" s="27">
        <v>1.0225254867552653</v>
      </c>
    </row>
    <row r="18" spans="5:6" x14ac:dyDescent="0.25">
      <c r="E18" s="26" t="s">
        <v>122</v>
      </c>
      <c r="F18" s="27">
        <v>1.0205521205568453</v>
      </c>
    </row>
    <row r="19" spans="5:6" x14ac:dyDescent="0.25">
      <c r="E19" s="26" t="s">
        <v>122</v>
      </c>
      <c r="F19" s="27">
        <v>1.0161556517969272</v>
      </c>
    </row>
    <row r="20" spans="5:6" x14ac:dyDescent="0.25">
      <c r="E20" s="26" t="s">
        <v>123</v>
      </c>
      <c r="F20" s="27">
        <v>1.0146878982904652</v>
      </c>
    </row>
    <row r="21" spans="5:6" x14ac:dyDescent="0.25">
      <c r="E21" s="26" t="s">
        <v>123</v>
      </c>
      <c r="F21" s="27">
        <v>1.0146878982904652</v>
      </c>
    </row>
    <row r="22" spans="5:6" x14ac:dyDescent="0.25">
      <c r="E22" s="26" t="s">
        <v>123</v>
      </c>
      <c r="F22" s="27">
        <v>1.0146878982904652</v>
      </c>
    </row>
    <row r="23" spans="5:6" x14ac:dyDescent="0.25">
      <c r="E23" s="26" t="s">
        <v>123</v>
      </c>
      <c r="F23" s="27">
        <v>1.0140790017282357</v>
      </c>
    </row>
    <row r="24" spans="5:6" x14ac:dyDescent="0.25">
      <c r="E24" s="26" t="s">
        <v>123</v>
      </c>
      <c r="F24" s="27">
        <v>1.0137448386450401</v>
      </c>
    </row>
    <row r="25" spans="5:6" x14ac:dyDescent="0.25">
      <c r="E25" s="26" t="s">
        <v>122</v>
      </c>
      <c r="F25" s="27">
        <v>1.0103129611817092</v>
      </c>
    </row>
    <row r="26" spans="5:6" x14ac:dyDescent="0.25">
      <c r="E26" s="26" t="s">
        <v>122</v>
      </c>
      <c r="F26" s="27">
        <v>1.010289749698003</v>
      </c>
    </row>
  </sheetData>
  <mergeCells count="2">
    <mergeCell ref="C1:I1"/>
    <mergeCell ref="C2:I2"/>
  </mergeCells>
  <conditionalFormatting sqref="F6:F26">
    <cfRule type="cellIs" dxfId="10"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063A-C646-4B8F-870A-A474C0B6872B}">
  <dimension ref="B1:L54"/>
  <sheetViews>
    <sheetView workbookViewId="0">
      <selection activeCell="L19" sqref="L19"/>
    </sheetView>
  </sheetViews>
  <sheetFormatPr defaultRowHeight="15" x14ac:dyDescent="0.25"/>
  <sheetData>
    <row r="1" spans="2:12" x14ac:dyDescent="0.25">
      <c r="D1" s="164" t="s">
        <v>125</v>
      </c>
      <c r="E1" s="164"/>
      <c r="F1" s="164"/>
      <c r="G1" s="164"/>
      <c r="H1" s="164"/>
      <c r="I1" s="164"/>
      <c r="J1" s="164"/>
      <c r="K1" s="164"/>
      <c r="L1" s="164"/>
    </row>
    <row r="2" spans="2:12" x14ac:dyDescent="0.25">
      <c r="D2" s="169" t="s">
        <v>184</v>
      </c>
      <c r="E2" s="169"/>
      <c r="F2" s="169"/>
      <c r="G2" s="169"/>
      <c r="H2" s="169"/>
      <c r="I2" s="169"/>
      <c r="J2" s="169"/>
      <c r="K2" s="169"/>
      <c r="L2" s="169"/>
    </row>
    <row r="4" spans="2:12" x14ac:dyDescent="0.25">
      <c r="B4" s="28" t="s">
        <v>127</v>
      </c>
      <c r="C4" s="28" t="s">
        <v>124</v>
      </c>
      <c r="D4" s="29" t="s">
        <v>128</v>
      </c>
    </row>
    <row r="5" spans="2:12" x14ac:dyDescent="0.25">
      <c r="B5" s="4" t="s">
        <v>129</v>
      </c>
      <c r="C5" s="4">
        <v>62</v>
      </c>
      <c r="D5" s="30" t="str">
        <f t="shared" ref="D5:D54" si="0">IF(AND(C5&lt;=100,C5&gt;=90),$I$7,IF(AND(C5&lt;90,C5&gt;=80),$I$8,IF(AND(C5&lt;80,C5&gt;=51),$I$9,IF(AND(C5&lt;=500,C5&gt;=41),$I$10,IF(C5&lt;=40,$I$11)))))</f>
        <v>C</v>
      </c>
    </row>
    <row r="6" spans="2:12" x14ac:dyDescent="0.25">
      <c r="B6" s="4" t="s">
        <v>130</v>
      </c>
      <c r="C6" s="4">
        <v>92</v>
      </c>
      <c r="D6" s="30" t="str">
        <f t="shared" si="0"/>
        <v>A</v>
      </c>
      <c r="G6" s="28" t="s">
        <v>179</v>
      </c>
      <c r="H6" s="28" t="s">
        <v>180</v>
      </c>
      <c r="I6" s="28" t="s">
        <v>128</v>
      </c>
    </row>
    <row r="7" spans="2:12" x14ac:dyDescent="0.25">
      <c r="B7" s="4" t="s">
        <v>131</v>
      </c>
      <c r="C7" s="4">
        <v>52</v>
      </c>
      <c r="D7" s="30" t="str">
        <f t="shared" si="0"/>
        <v>C</v>
      </c>
      <c r="G7" s="31">
        <f>_xlfn.MINIFS(Score1,Grade,"A")</f>
        <v>90</v>
      </c>
      <c r="H7" s="31">
        <f>_xlfn.MAXIFS(Score1,Grade,"A")</f>
        <v>100</v>
      </c>
      <c r="I7" s="32" t="s">
        <v>181</v>
      </c>
    </row>
    <row r="8" spans="2:12" x14ac:dyDescent="0.25">
      <c r="B8" s="4" t="s">
        <v>132</v>
      </c>
      <c r="C8" s="4">
        <v>60</v>
      </c>
      <c r="D8" s="30" t="str">
        <f t="shared" si="0"/>
        <v>C</v>
      </c>
      <c r="G8" s="31">
        <f>_xlfn.MINIFS(Score1,Grade,"B")</f>
        <v>81</v>
      </c>
      <c r="H8" s="31">
        <f>_xlfn.MAXIFS(Score1,Grade,"B")</f>
        <v>89</v>
      </c>
      <c r="I8" s="32" t="s">
        <v>182</v>
      </c>
    </row>
    <row r="9" spans="2:12" x14ac:dyDescent="0.25">
      <c r="B9" s="4" t="s">
        <v>133</v>
      </c>
      <c r="C9" s="4">
        <v>81</v>
      </c>
      <c r="D9" s="30" t="str">
        <f t="shared" si="0"/>
        <v>B</v>
      </c>
      <c r="G9" s="31">
        <f>_xlfn.MINIFS(Score1,Grade,"C")</f>
        <v>51</v>
      </c>
      <c r="H9" s="31">
        <f>_xlfn.MAXIFS(Score1,Grade,"C")</f>
        <v>76</v>
      </c>
      <c r="I9" s="32" t="s">
        <v>31</v>
      </c>
    </row>
    <row r="10" spans="2:12" x14ac:dyDescent="0.25">
      <c r="B10" s="4" t="s">
        <v>134</v>
      </c>
      <c r="C10" s="4">
        <v>66</v>
      </c>
      <c r="D10" s="30" t="str">
        <f t="shared" si="0"/>
        <v>C</v>
      </c>
      <c r="G10" s="31">
        <f>_xlfn.MINIFS(Score1,Grade,"D")</f>
        <v>44</v>
      </c>
      <c r="H10" s="31">
        <f>_xlfn.MAXIFS(Score1,Grade,"D")</f>
        <v>46</v>
      </c>
      <c r="I10" s="32" t="s">
        <v>69</v>
      </c>
    </row>
    <row r="11" spans="2:12" x14ac:dyDescent="0.25">
      <c r="B11" s="4" t="s">
        <v>135</v>
      </c>
      <c r="C11" s="4">
        <v>63</v>
      </c>
      <c r="D11" s="30" t="str">
        <f t="shared" si="0"/>
        <v>C</v>
      </c>
      <c r="G11" s="31">
        <f>_xlfn.MINIFS(Score1,Grade,"F")</f>
        <v>31</v>
      </c>
      <c r="H11" s="31">
        <f>_xlfn.MAXIFS(Score1,Grade,"F")</f>
        <v>40</v>
      </c>
      <c r="I11" s="32" t="s">
        <v>183</v>
      </c>
    </row>
    <row r="12" spans="2:12" x14ac:dyDescent="0.25">
      <c r="B12" s="4" t="s">
        <v>136</v>
      </c>
      <c r="C12" s="4">
        <v>100</v>
      </c>
      <c r="D12" s="30" t="str">
        <f t="shared" si="0"/>
        <v>A</v>
      </c>
    </row>
    <row r="13" spans="2:12" x14ac:dyDescent="0.25">
      <c r="B13" s="4" t="s">
        <v>137</v>
      </c>
      <c r="C13" s="4">
        <v>46</v>
      </c>
      <c r="D13" s="30" t="str">
        <f t="shared" si="0"/>
        <v>D</v>
      </c>
    </row>
    <row r="14" spans="2:12" x14ac:dyDescent="0.25">
      <c r="B14" s="4" t="s">
        <v>138</v>
      </c>
      <c r="C14" s="4">
        <v>87</v>
      </c>
      <c r="D14" s="30" t="str">
        <f t="shared" si="0"/>
        <v>B</v>
      </c>
    </row>
    <row r="15" spans="2:12" x14ac:dyDescent="0.25">
      <c r="B15" s="4" t="s">
        <v>139</v>
      </c>
      <c r="C15" s="4">
        <v>93</v>
      </c>
      <c r="D15" s="30" t="str">
        <f t="shared" si="0"/>
        <v>A</v>
      </c>
    </row>
    <row r="16" spans="2:12" x14ac:dyDescent="0.25">
      <c r="B16" s="4" t="s">
        <v>140</v>
      </c>
      <c r="C16" s="4">
        <v>84</v>
      </c>
      <c r="D16" s="30" t="str">
        <f t="shared" si="0"/>
        <v>B</v>
      </c>
    </row>
    <row r="17" spans="2:4" x14ac:dyDescent="0.25">
      <c r="B17" s="4" t="s">
        <v>141</v>
      </c>
      <c r="C17" s="4">
        <v>44</v>
      </c>
      <c r="D17" s="30" t="str">
        <f t="shared" si="0"/>
        <v>D</v>
      </c>
    </row>
    <row r="18" spans="2:4" x14ac:dyDescent="0.25">
      <c r="B18" s="4" t="s">
        <v>142</v>
      </c>
      <c r="C18" s="4">
        <v>71</v>
      </c>
      <c r="D18" s="30" t="str">
        <f t="shared" si="0"/>
        <v>C</v>
      </c>
    </row>
    <row r="19" spans="2:4" x14ac:dyDescent="0.25">
      <c r="B19" s="4" t="s">
        <v>143</v>
      </c>
      <c r="C19" s="4">
        <v>100</v>
      </c>
      <c r="D19" s="30" t="str">
        <f t="shared" si="0"/>
        <v>A</v>
      </c>
    </row>
    <row r="20" spans="2:4" x14ac:dyDescent="0.25">
      <c r="B20" s="4" t="s">
        <v>144</v>
      </c>
      <c r="C20" s="4">
        <v>40</v>
      </c>
      <c r="D20" s="30" t="str">
        <f t="shared" si="0"/>
        <v>F</v>
      </c>
    </row>
    <row r="21" spans="2:4" x14ac:dyDescent="0.25">
      <c r="B21" s="4" t="s">
        <v>145</v>
      </c>
      <c r="C21" s="4">
        <v>35</v>
      </c>
      <c r="D21" s="30" t="str">
        <f t="shared" si="0"/>
        <v>F</v>
      </c>
    </row>
    <row r="22" spans="2:4" x14ac:dyDescent="0.25">
      <c r="B22" s="4" t="s">
        <v>146</v>
      </c>
      <c r="C22" s="4">
        <v>73</v>
      </c>
      <c r="D22" s="30" t="str">
        <f t="shared" si="0"/>
        <v>C</v>
      </c>
    </row>
    <row r="23" spans="2:4" x14ac:dyDescent="0.25">
      <c r="B23" s="4" t="s">
        <v>147</v>
      </c>
      <c r="C23" s="4">
        <v>99</v>
      </c>
      <c r="D23" s="30" t="str">
        <f t="shared" si="0"/>
        <v>A</v>
      </c>
    </row>
    <row r="24" spans="2:4" x14ac:dyDescent="0.25">
      <c r="B24" s="4" t="s">
        <v>148</v>
      </c>
      <c r="C24" s="4">
        <v>88</v>
      </c>
      <c r="D24" s="30" t="str">
        <f t="shared" si="0"/>
        <v>B</v>
      </c>
    </row>
    <row r="25" spans="2:4" x14ac:dyDescent="0.25">
      <c r="B25" s="4" t="s">
        <v>149</v>
      </c>
      <c r="C25" s="4">
        <v>90</v>
      </c>
      <c r="D25" s="30" t="str">
        <f t="shared" si="0"/>
        <v>A</v>
      </c>
    </row>
    <row r="26" spans="2:4" x14ac:dyDescent="0.25">
      <c r="B26" s="4" t="s">
        <v>150</v>
      </c>
      <c r="C26" s="4">
        <v>90</v>
      </c>
      <c r="D26" s="30" t="str">
        <f t="shared" si="0"/>
        <v>A</v>
      </c>
    </row>
    <row r="27" spans="2:4" x14ac:dyDescent="0.25">
      <c r="B27" s="4" t="s">
        <v>151</v>
      </c>
      <c r="C27" s="4">
        <v>44</v>
      </c>
      <c r="D27" s="30" t="str">
        <f t="shared" si="0"/>
        <v>D</v>
      </c>
    </row>
    <row r="28" spans="2:4" x14ac:dyDescent="0.25">
      <c r="B28" s="4" t="s">
        <v>152</v>
      </c>
      <c r="C28" s="4">
        <v>74</v>
      </c>
      <c r="D28" s="30" t="str">
        <f t="shared" si="0"/>
        <v>C</v>
      </c>
    </row>
    <row r="29" spans="2:4" x14ac:dyDescent="0.25">
      <c r="B29" s="4" t="s">
        <v>153</v>
      </c>
      <c r="C29" s="4">
        <v>46</v>
      </c>
      <c r="D29" s="30" t="str">
        <f t="shared" si="0"/>
        <v>D</v>
      </c>
    </row>
    <row r="30" spans="2:4" x14ac:dyDescent="0.25">
      <c r="B30" s="4" t="s">
        <v>154</v>
      </c>
      <c r="C30" s="4">
        <v>74</v>
      </c>
      <c r="D30" s="30" t="str">
        <f t="shared" si="0"/>
        <v>C</v>
      </c>
    </row>
    <row r="31" spans="2:4" x14ac:dyDescent="0.25">
      <c r="B31" s="4" t="s">
        <v>155</v>
      </c>
      <c r="C31" s="4">
        <v>92</v>
      </c>
      <c r="D31" s="30" t="str">
        <f t="shared" si="0"/>
        <v>A</v>
      </c>
    </row>
    <row r="32" spans="2:4" x14ac:dyDescent="0.25">
      <c r="B32" s="4" t="s">
        <v>156</v>
      </c>
      <c r="C32" s="4">
        <v>31</v>
      </c>
      <c r="D32" s="30" t="str">
        <f t="shared" si="0"/>
        <v>F</v>
      </c>
    </row>
    <row r="33" spans="2:4" x14ac:dyDescent="0.25">
      <c r="B33" s="4" t="s">
        <v>157</v>
      </c>
      <c r="C33" s="4">
        <v>51</v>
      </c>
      <c r="D33" s="30" t="str">
        <f t="shared" si="0"/>
        <v>C</v>
      </c>
    </row>
    <row r="34" spans="2:4" x14ac:dyDescent="0.25">
      <c r="B34" s="4" t="s">
        <v>158</v>
      </c>
      <c r="C34" s="4">
        <v>59</v>
      </c>
      <c r="D34" s="30" t="str">
        <f t="shared" si="0"/>
        <v>C</v>
      </c>
    </row>
    <row r="35" spans="2:4" x14ac:dyDescent="0.25">
      <c r="B35" s="4" t="s">
        <v>159</v>
      </c>
      <c r="C35" s="4">
        <v>85</v>
      </c>
      <c r="D35" s="30" t="str">
        <f t="shared" si="0"/>
        <v>B</v>
      </c>
    </row>
    <row r="36" spans="2:4" x14ac:dyDescent="0.25">
      <c r="B36" s="4" t="s">
        <v>160</v>
      </c>
      <c r="C36" s="4">
        <v>63</v>
      </c>
      <c r="D36" s="30" t="str">
        <f t="shared" si="0"/>
        <v>C</v>
      </c>
    </row>
    <row r="37" spans="2:4" x14ac:dyDescent="0.25">
      <c r="B37" s="4" t="s">
        <v>161</v>
      </c>
      <c r="C37" s="4">
        <v>60</v>
      </c>
      <c r="D37" s="30" t="str">
        <f t="shared" si="0"/>
        <v>C</v>
      </c>
    </row>
    <row r="38" spans="2:4" x14ac:dyDescent="0.25">
      <c r="B38" s="4" t="s">
        <v>162</v>
      </c>
      <c r="C38" s="4">
        <v>83</v>
      </c>
      <c r="D38" s="30" t="str">
        <f t="shared" si="0"/>
        <v>B</v>
      </c>
    </row>
    <row r="39" spans="2:4" x14ac:dyDescent="0.25">
      <c r="B39" s="4" t="s">
        <v>163</v>
      </c>
      <c r="C39" s="4">
        <v>72</v>
      </c>
      <c r="D39" s="30" t="str">
        <f t="shared" si="0"/>
        <v>C</v>
      </c>
    </row>
    <row r="40" spans="2:4" x14ac:dyDescent="0.25">
      <c r="B40" s="4" t="s">
        <v>164</v>
      </c>
      <c r="C40" s="4">
        <v>94</v>
      </c>
      <c r="D40" s="30" t="str">
        <f t="shared" si="0"/>
        <v>A</v>
      </c>
    </row>
    <row r="41" spans="2:4" x14ac:dyDescent="0.25">
      <c r="B41" s="4" t="s">
        <v>165</v>
      </c>
      <c r="C41" s="4">
        <v>92</v>
      </c>
      <c r="D41" s="30" t="str">
        <f t="shared" si="0"/>
        <v>A</v>
      </c>
    </row>
    <row r="42" spans="2:4" x14ac:dyDescent="0.25">
      <c r="B42" s="4" t="s">
        <v>166</v>
      </c>
      <c r="C42" s="4">
        <v>92</v>
      </c>
      <c r="D42" s="30" t="str">
        <f t="shared" si="0"/>
        <v>A</v>
      </c>
    </row>
    <row r="43" spans="2:4" x14ac:dyDescent="0.25">
      <c r="B43" s="4" t="s">
        <v>167</v>
      </c>
      <c r="C43" s="4">
        <v>59</v>
      </c>
      <c r="D43" s="30" t="str">
        <f t="shared" si="0"/>
        <v>C</v>
      </c>
    </row>
    <row r="44" spans="2:4" x14ac:dyDescent="0.25">
      <c r="B44" s="4" t="s">
        <v>168</v>
      </c>
      <c r="C44" s="4">
        <v>51</v>
      </c>
      <c r="D44" s="30" t="str">
        <f t="shared" si="0"/>
        <v>C</v>
      </c>
    </row>
    <row r="45" spans="2:4" x14ac:dyDescent="0.25">
      <c r="B45" s="4" t="s">
        <v>169</v>
      </c>
      <c r="C45" s="4">
        <v>45</v>
      </c>
      <c r="D45" s="30" t="str">
        <f t="shared" si="0"/>
        <v>D</v>
      </c>
    </row>
    <row r="46" spans="2:4" x14ac:dyDescent="0.25">
      <c r="B46" s="4" t="s">
        <v>170</v>
      </c>
      <c r="C46" s="4">
        <v>89</v>
      </c>
      <c r="D46" s="30" t="str">
        <f t="shared" si="0"/>
        <v>B</v>
      </c>
    </row>
    <row r="47" spans="2:4" x14ac:dyDescent="0.25">
      <c r="B47" s="4" t="s">
        <v>171</v>
      </c>
      <c r="C47" s="4">
        <v>51</v>
      </c>
      <c r="D47" s="30" t="str">
        <f t="shared" si="0"/>
        <v>C</v>
      </c>
    </row>
    <row r="48" spans="2:4" x14ac:dyDescent="0.25">
      <c r="B48" s="4" t="s">
        <v>172</v>
      </c>
      <c r="C48" s="4">
        <v>84</v>
      </c>
      <c r="D48" s="30" t="str">
        <f t="shared" si="0"/>
        <v>B</v>
      </c>
    </row>
    <row r="49" spans="2:4" x14ac:dyDescent="0.25">
      <c r="B49" s="4" t="s">
        <v>173</v>
      </c>
      <c r="C49" s="4">
        <v>32</v>
      </c>
      <c r="D49" s="30" t="str">
        <f t="shared" si="0"/>
        <v>F</v>
      </c>
    </row>
    <row r="50" spans="2:4" x14ac:dyDescent="0.25">
      <c r="B50" s="4" t="s">
        <v>174</v>
      </c>
      <c r="C50" s="4">
        <v>73</v>
      </c>
      <c r="D50" s="30" t="str">
        <f t="shared" si="0"/>
        <v>C</v>
      </c>
    </row>
    <row r="51" spans="2:4" x14ac:dyDescent="0.25">
      <c r="B51" s="4" t="s">
        <v>175</v>
      </c>
      <c r="C51" s="4">
        <v>44</v>
      </c>
      <c r="D51" s="30" t="str">
        <f t="shared" si="0"/>
        <v>D</v>
      </c>
    </row>
    <row r="52" spans="2:4" x14ac:dyDescent="0.25">
      <c r="B52" s="4" t="s">
        <v>176</v>
      </c>
      <c r="C52" s="4">
        <v>81</v>
      </c>
      <c r="D52" s="30" t="str">
        <f t="shared" si="0"/>
        <v>B</v>
      </c>
    </row>
    <row r="53" spans="2:4" x14ac:dyDescent="0.25">
      <c r="B53" s="4" t="s">
        <v>177</v>
      </c>
      <c r="C53" s="4">
        <v>76</v>
      </c>
      <c r="D53" s="30" t="str">
        <f t="shared" si="0"/>
        <v>C</v>
      </c>
    </row>
    <row r="54" spans="2:4" x14ac:dyDescent="0.25">
      <c r="B54" s="4" t="s">
        <v>178</v>
      </c>
      <c r="C54" s="4">
        <v>89</v>
      </c>
      <c r="D54" s="30" t="str">
        <f t="shared" si="0"/>
        <v>B</v>
      </c>
    </row>
  </sheetData>
  <mergeCells count="2">
    <mergeCell ref="D1:L1"/>
    <mergeCell ref="D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1A145-4CAF-4169-8B8F-C4176762238C}">
  <dimension ref="B2:F14"/>
  <sheetViews>
    <sheetView workbookViewId="0">
      <selection activeCell="I21" sqref="I21"/>
    </sheetView>
  </sheetViews>
  <sheetFormatPr defaultRowHeight="15" x14ac:dyDescent="0.25"/>
  <sheetData>
    <row r="2" spans="2:6" x14ac:dyDescent="0.25">
      <c r="B2" t="s">
        <v>197</v>
      </c>
    </row>
    <row r="6" spans="2:6" x14ac:dyDescent="0.25">
      <c r="B6" s="33"/>
      <c r="C6" s="34" t="s">
        <v>185</v>
      </c>
      <c r="D6" s="34" t="s">
        <v>186</v>
      </c>
      <c r="E6" s="34" t="s">
        <v>187</v>
      </c>
      <c r="F6" s="34" t="s">
        <v>188</v>
      </c>
    </row>
    <row r="7" spans="2:6" x14ac:dyDescent="0.25">
      <c r="B7" s="35" t="s">
        <v>189</v>
      </c>
      <c r="C7" s="36">
        <v>10256</v>
      </c>
      <c r="D7" s="36">
        <v>12879</v>
      </c>
      <c r="E7" s="36">
        <v>14598</v>
      </c>
      <c r="F7" s="36">
        <v>16919.666666666701</v>
      </c>
    </row>
    <row r="8" spans="2:6" x14ac:dyDescent="0.25">
      <c r="B8" s="35" t="s">
        <v>190</v>
      </c>
      <c r="C8" s="36">
        <v>11348</v>
      </c>
      <c r="D8" s="36">
        <v>21487</v>
      </c>
      <c r="E8" s="36">
        <v>25645</v>
      </c>
      <c r="F8" s="36">
        <v>33790.333333333299</v>
      </c>
    </row>
    <row r="9" spans="2:6" x14ac:dyDescent="0.25">
      <c r="B9" s="35" t="s">
        <v>191</v>
      </c>
      <c r="C9" s="36">
        <v>10987</v>
      </c>
      <c r="D9" s="36">
        <v>11987</v>
      </c>
      <c r="E9" s="36">
        <v>9587</v>
      </c>
      <c r="F9" s="36">
        <v>9453.6666666666697</v>
      </c>
    </row>
    <row r="10" spans="2:6" x14ac:dyDescent="0.25">
      <c r="B10" s="35" t="s">
        <v>192</v>
      </c>
      <c r="C10" s="36">
        <v>25649</v>
      </c>
      <c r="D10" s="36">
        <v>21564</v>
      </c>
      <c r="E10" s="36">
        <v>19546</v>
      </c>
      <c r="F10" s="36">
        <v>16150</v>
      </c>
    </row>
    <row r="11" spans="2:6" x14ac:dyDescent="0.25">
      <c r="B11" s="35" t="s">
        <v>193</v>
      </c>
      <c r="C11" s="36">
        <v>20154</v>
      </c>
      <c r="D11" s="36">
        <v>22321</v>
      </c>
      <c r="E11" s="36">
        <v>18945</v>
      </c>
      <c r="F11" s="36">
        <v>19264.333333333299</v>
      </c>
    </row>
    <row r="12" spans="2:6" x14ac:dyDescent="0.25">
      <c r="B12" s="35" t="s">
        <v>194</v>
      </c>
      <c r="C12" s="36">
        <v>10254</v>
      </c>
      <c r="D12" s="36">
        <v>9987</v>
      </c>
      <c r="E12" s="36">
        <v>8974</v>
      </c>
      <c r="F12" s="36">
        <v>8458.3333333333303</v>
      </c>
    </row>
    <row r="13" spans="2:6" x14ac:dyDescent="0.25">
      <c r="B13" s="35" t="s">
        <v>195</v>
      </c>
      <c r="C13" s="36">
        <v>32457</v>
      </c>
      <c r="D13" s="36">
        <v>18214</v>
      </c>
      <c r="E13" s="36">
        <v>24973</v>
      </c>
      <c r="F13" s="36">
        <v>17730.666666666701</v>
      </c>
    </row>
    <row r="14" spans="2:6" x14ac:dyDescent="0.25">
      <c r="B14" s="35" t="s">
        <v>196</v>
      </c>
      <c r="C14" s="36">
        <v>18345</v>
      </c>
      <c r="D14" s="36">
        <v>10254</v>
      </c>
      <c r="E14" s="36">
        <v>9987</v>
      </c>
      <c r="F14" s="36">
        <v>4504</v>
      </c>
    </row>
  </sheetData>
  <conditionalFormatting sqref="C7:F14">
    <cfRule type="expression" dxfId="9" priority="1">
      <formula>C7&lt;=AVERAGE(C7:C14)</formula>
    </cfRule>
    <cfRule type="expression" dxfId="8" priority="2">
      <formula>C7&gt;AVERAGE(C7:C14)</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F961-15CA-4022-978E-899400367FFE}">
  <dimension ref="B2:P18"/>
  <sheetViews>
    <sheetView workbookViewId="0">
      <selection activeCell="Q17" sqref="Q17"/>
    </sheetView>
  </sheetViews>
  <sheetFormatPr defaultRowHeight="15" x14ac:dyDescent="0.25"/>
  <cols>
    <col min="3" max="3" width="11.85546875" customWidth="1"/>
  </cols>
  <sheetData>
    <row r="2" spans="2:16" x14ac:dyDescent="0.25">
      <c r="B2" t="s">
        <v>198</v>
      </c>
      <c r="N2" t="s">
        <v>204</v>
      </c>
    </row>
    <row r="3" spans="2:16" x14ac:dyDescent="0.25">
      <c r="B3" t="s">
        <v>199</v>
      </c>
    </row>
    <row r="4" spans="2:16" x14ac:dyDescent="0.25">
      <c r="B4" s="10" t="s">
        <v>200</v>
      </c>
      <c r="C4" s="10" t="s">
        <v>201</v>
      </c>
      <c r="D4" s="10" t="s">
        <v>202</v>
      </c>
      <c r="E4" s="10"/>
      <c r="N4" s="10" t="s">
        <v>205</v>
      </c>
      <c r="O4" s="10" t="s">
        <v>206</v>
      </c>
    </row>
    <row r="5" spans="2:16" x14ac:dyDescent="0.25">
      <c r="B5" s="10" t="s">
        <v>203</v>
      </c>
      <c r="C5" s="37">
        <v>44408</v>
      </c>
      <c r="D5" s="10">
        <v>10.02</v>
      </c>
      <c r="E5" s="38"/>
      <c r="N5" s="10" t="s">
        <v>207</v>
      </c>
      <c r="O5" s="39">
        <v>33236.340000000011</v>
      </c>
      <c r="P5" s="39">
        <v>33236.340000000011</v>
      </c>
    </row>
    <row r="6" spans="2:16" x14ac:dyDescent="0.25">
      <c r="B6" s="10" t="s">
        <v>203</v>
      </c>
      <c r="C6" s="37">
        <v>44410</v>
      </c>
      <c r="D6" s="10">
        <v>9.98</v>
      </c>
      <c r="E6" s="38">
        <v>9.98</v>
      </c>
      <c r="N6" s="10" t="s">
        <v>208</v>
      </c>
      <c r="O6" s="39">
        <v>77318.25</v>
      </c>
      <c r="P6" s="39">
        <v>77318.25</v>
      </c>
    </row>
    <row r="7" spans="2:16" x14ac:dyDescent="0.25">
      <c r="B7" s="10" t="s">
        <v>203</v>
      </c>
      <c r="C7" s="37">
        <v>44411</v>
      </c>
      <c r="D7" s="10">
        <v>10.01</v>
      </c>
      <c r="E7" s="38">
        <v>10.01</v>
      </c>
      <c r="N7" s="10" t="s">
        <v>209</v>
      </c>
      <c r="O7" s="39">
        <v>149591.78000000276</v>
      </c>
      <c r="P7" s="39">
        <v>149591.78000000276</v>
      </c>
    </row>
    <row r="8" spans="2:16" x14ac:dyDescent="0.25">
      <c r="B8" s="10" t="s">
        <v>203</v>
      </c>
      <c r="C8" s="37">
        <v>44412</v>
      </c>
      <c r="D8" s="10">
        <v>9.9</v>
      </c>
      <c r="E8" s="38">
        <v>9.9</v>
      </c>
      <c r="N8" s="10" t="s">
        <v>210</v>
      </c>
      <c r="O8" s="39">
        <v>212952.30000000005</v>
      </c>
      <c r="P8" s="39">
        <v>212952.30000000005</v>
      </c>
    </row>
    <row r="9" spans="2:16" x14ac:dyDescent="0.25">
      <c r="B9" s="10" t="s">
        <v>203</v>
      </c>
      <c r="C9" s="37">
        <v>44413</v>
      </c>
      <c r="D9" s="10">
        <v>9.93</v>
      </c>
      <c r="E9" s="38">
        <v>9.93</v>
      </c>
      <c r="N9" s="10" t="s">
        <v>211</v>
      </c>
      <c r="O9" s="39">
        <v>148702.35000000271</v>
      </c>
      <c r="P9" s="39">
        <v>148702.35000000271</v>
      </c>
    </row>
    <row r="10" spans="2:16" x14ac:dyDescent="0.25">
      <c r="B10" s="10" t="s">
        <v>203</v>
      </c>
      <c r="C10" s="37">
        <v>44414</v>
      </c>
      <c r="D10" s="10">
        <v>9.94</v>
      </c>
      <c r="E10" s="38">
        <v>9.94</v>
      </c>
      <c r="N10" s="10" t="s">
        <v>212</v>
      </c>
      <c r="O10" s="39">
        <v>172382.85000000425</v>
      </c>
      <c r="P10" s="39">
        <v>172382.85000000425</v>
      </c>
    </row>
    <row r="11" spans="2:16" x14ac:dyDescent="0.25">
      <c r="B11" s="10" t="s">
        <v>203</v>
      </c>
      <c r="C11" s="37">
        <v>44417</v>
      </c>
      <c r="D11" s="10">
        <v>10.02</v>
      </c>
      <c r="E11" s="38">
        <v>10.02</v>
      </c>
      <c r="N11" s="10" t="s">
        <v>213</v>
      </c>
      <c r="O11" s="39">
        <v>17463.150000000001</v>
      </c>
      <c r="P11" s="39">
        <v>17463.150000000001</v>
      </c>
    </row>
    <row r="12" spans="2:16" x14ac:dyDescent="0.25">
      <c r="B12" s="10" t="s">
        <v>203</v>
      </c>
      <c r="C12" s="37">
        <v>44418</v>
      </c>
      <c r="D12" s="10">
        <v>9.91</v>
      </c>
      <c r="E12" s="38">
        <v>9.91</v>
      </c>
      <c r="N12" s="10" t="s">
        <v>214</v>
      </c>
      <c r="O12" s="39">
        <v>69550.099999999991</v>
      </c>
      <c r="P12" s="39">
        <v>69550.099999999991</v>
      </c>
    </row>
    <row r="13" spans="2:16" x14ac:dyDescent="0.25">
      <c r="B13" s="10" t="s">
        <v>203</v>
      </c>
      <c r="C13" s="37">
        <v>44419</v>
      </c>
      <c r="D13" s="10">
        <v>9.91</v>
      </c>
      <c r="E13" s="38">
        <v>9.91</v>
      </c>
    </row>
    <row r="14" spans="2:16" x14ac:dyDescent="0.25">
      <c r="B14" s="10" t="s">
        <v>203</v>
      </c>
      <c r="C14" s="37">
        <v>44420</v>
      </c>
      <c r="D14" s="10">
        <v>9.92</v>
      </c>
      <c r="E14" s="38">
        <v>9.92</v>
      </c>
    </row>
    <row r="15" spans="2:16" x14ac:dyDescent="0.25">
      <c r="B15" s="10" t="s">
        <v>203</v>
      </c>
      <c r="C15" s="37">
        <v>44421</v>
      </c>
      <c r="D15" s="10">
        <v>9.86</v>
      </c>
      <c r="E15" s="38">
        <v>9.86</v>
      </c>
    </row>
    <row r="16" spans="2:16" x14ac:dyDescent="0.25">
      <c r="B16" s="10" t="s">
        <v>203</v>
      </c>
      <c r="C16" s="37">
        <v>44424</v>
      </c>
      <c r="D16" s="10">
        <v>9.7799999999999994</v>
      </c>
      <c r="E16" s="38">
        <v>9.7799999999999994</v>
      </c>
    </row>
    <row r="17" spans="2:5" x14ac:dyDescent="0.25">
      <c r="B17" s="10" t="s">
        <v>203</v>
      </c>
      <c r="C17" s="37">
        <v>44425</v>
      </c>
      <c r="D17" s="10">
        <v>9.7200000000000006</v>
      </c>
      <c r="E17" s="38">
        <v>9.7200000000000006</v>
      </c>
    </row>
    <row r="18" spans="2:5" x14ac:dyDescent="0.25">
      <c r="B18" s="10" t="s">
        <v>203</v>
      </c>
      <c r="C18" s="37">
        <v>44426</v>
      </c>
      <c r="D18" s="10">
        <v>9.77</v>
      </c>
      <c r="E18" s="38">
        <v>9.77</v>
      </c>
    </row>
  </sheetData>
  <conditionalFormatting sqref="E5:E18">
    <cfRule type="iconSet" priority="3">
      <iconSet iconSet="3Arrows" showValue="0">
        <cfvo type="percent" val="0"/>
        <cfvo type="percent" val="33"/>
        <cfvo type="percent" val="67"/>
      </iconSet>
    </cfRule>
    <cfRule type="iconSet" priority="4">
      <iconSet iconSet="3Arrows">
        <cfvo type="percent" val="0"/>
        <cfvo type="percent" val="33"/>
        <cfvo type="percent" val="67"/>
      </iconSet>
    </cfRule>
  </conditionalFormatting>
  <conditionalFormatting sqref="P5:P12">
    <cfRule type="dataBar" priority="1">
      <dataBar showValue="0">
        <cfvo type="min"/>
        <cfvo type="max"/>
        <color rgb="FF638EC6"/>
      </dataBar>
      <extLst>
        <ext xmlns:x14="http://schemas.microsoft.com/office/spreadsheetml/2009/9/main" uri="{B025F937-C7B1-47D3-B67F-A62EFF666E3E}">
          <x14:id>{BBEEE17A-B750-4A0A-AA14-B54EEEF2760D}</x14:id>
        </ext>
      </extLst>
    </cfRule>
    <cfRule type="dataBar" priority="2">
      <dataBar>
        <cfvo type="min"/>
        <cfvo type="max"/>
        <color rgb="FF638EC6"/>
      </dataBar>
      <extLst>
        <ext xmlns:x14="http://schemas.microsoft.com/office/spreadsheetml/2009/9/main" uri="{B025F937-C7B1-47D3-B67F-A62EFF666E3E}">
          <x14:id>{E17B5CBF-989D-485C-B869-2102C507A509}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EEE17A-B750-4A0A-AA14-B54EEEF2760D}">
            <x14:dataBar minLength="0" maxLength="100" gradient="0">
              <x14:cfvo type="autoMin"/>
              <x14:cfvo type="autoMax"/>
              <x14:negativeFillColor rgb="FFFF0000"/>
              <x14:axisColor rgb="FF000000"/>
            </x14:dataBar>
          </x14:cfRule>
          <x14:cfRule type="dataBar" id="{E17B5CBF-989D-485C-B869-2102C507A509}">
            <x14:dataBar minLength="0" maxLength="100" gradient="0">
              <x14:cfvo type="autoMin"/>
              <x14:cfvo type="autoMax"/>
              <x14:negativeFillColor rgb="FFFF0000"/>
              <x14:axisColor rgb="FF000000"/>
            </x14:dataBar>
          </x14:cfRule>
          <xm:sqref>P5:P12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5DB35-5A9C-4174-B1BE-0B0B52C69BDD}">
  <dimension ref="C1:H25"/>
  <sheetViews>
    <sheetView workbookViewId="0">
      <selection activeCell="J9" sqref="J9"/>
    </sheetView>
  </sheetViews>
  <sheetFormatPr defaultRowHeight="15" x14ac:dyDescent="0.25"/>
  <cols>
    <col min="6" max="6" width="27.5703125" customWidth="1"/>
    <col min="7" max="7" width="20.28515625" customWidth="1"/>
  </cols>
  <sheetData>
    <row r="1" spans="3:8" ht="19.5" thickBot="1" x14ac:dyDescent="0.35">
      <c r="C1" s="170" t="s">
        <v>215</v>
      </c>
      <c r="D1" s="171"/>
      <c r="E1" s="171"/>
      <c r="F1" s="172"/>
    </row>
    <row r="4" spans="3:8" ht="30" x14ac:dyDescent="0.25">
      <c r="C4" s="40" t="s">
        <v>216</v>
      </c>
      <c r="D4" s="40" t="s">
        <v>217</v>
      </c>
      <c r="E4" s="40" t="s">
        <v>218</v>
      </c>
      <c r="F4" s="40" t="s">
        <v>219</v>
      </c>
      <c r="G4" s="40" t="s">
        <v>220</v>
      </c>
      <c r="H4" s="40" t="s">
        <v>221</v>
      </c>
    </row>
    <row r="5" spans="3:8" ht="15.75" x14ac:dyDescent="0.25">
      <c r="C5" s="41">
        <v>1</v>
      </c>
      <c r="D5" s="41" t="s">
        <v>222</v>
      </c>
      <c r="E5" s="38">
        <v>21</v>
      </c>
      <c r="F5" s="42" t="s">
        <v>223</v>
      </c>
      <c r="G5" s="43">
        <f ca="1">TODAY()</f>
        <v>45585</v>
      </c>
      <c r="H5" s="44" t="s">
        <v>181</v>
      </c>
    </row>
    <row r="6" spans="3:8" ht="15.75" x14ac:dyDescent="0.25">
      <c r="C6" s="41">
        <v>2</v>
      </c>
      <c r="D6" s="41" t="s">
        <v>224</v>
      </c>
      <c r="E6" s="38">
        <v>25</v>
      </c>
      <c r="F6" s="38" t="s">
        <v>223</v>
      </c>
      <c r="G6" s="43">
        <v>44754</v>
      </c>
      <c r="H6" s="44" t="s">
        <v>182</v>
      </c>
    </row>
    <row r="7" spans="3:8" ht="15.75" x14ac:dyDescent="0.25">
      <c r="C7" s="41">
        <v>3</v>
      </c>
      <c r="D7" s="41" t="s">
        <v>224</v>
      </c>
      <c r="E7" s="38">
        <v>24</v>
      </c>
      <c r="F7" s="38" t="s">
        <v>223</v>
      </c>
      <c r="G7" s="43">
        <v>44755</v>
      </c>
      <c r="H7" s="44" t="s">
        <v>181</v>
      </c>
    </row>
    <row r="8" spans="3:8" ht="15.75" x14ac:dyDescent="0.25">
      <c r="C8" s="41">
        <v>4</v>
      </c>
      <c r="D8" s="45" t="s">
        <v>224</v>
      </c>
      <c r="E8" s="42">
        <v>26</v>
      </c>
      <c r="F8" s="42" t="s">
        <v>223</v>
      </c>
      <c r="G8" s="46">
        <v>44755</v>
      </c>
      <c r="H8" s="44" t="s">
        <v>182</v>
      </c>
    </row>
    <row r="9" spans="3:8" ht="15.75" x14ac:dyDescent="0.25">
      <c r="C9" s="41">
        <v>5</v>
      </c>
      <c r="D9" s="41" t="s">
        <v>224</v>
      </c>
      <c r="E9" s="38">
        <v>25</v>
      </c>
      <c r="F9" s="38" t="s">
        <v>223</v>
      </c>
      <c r="G9" s="43">
        <v>44756</v>
      </c>
      <c r="H9" s="44" t="s">
        <v>181</v>
      </c>
    </row>
    <row r="10" spans="3:8" ht="15.75" x14ac:dyDescent="0.25">
      <c r="C10" s="41">
        <v>6</v>
      </c>
      <c r="D10" s="41" t="s">
        <v>224</v>
      </c>
      <c r="E10" s="38">
        <v>25</v>
      </c>
      <c r="F10" s="38" t="s">
        <v>223</v>
      </c>
      <c r="G10" s="43">
        <f ca="1">TODAY()</f>
        <v>45585</v>
      </c>
      <c r="H10" s="44" t="s">
        <v>182</v>
      </c>
    </row>
    <row r="11" spans="3:8" ht="15.75" x14ac:dyDescent="0.25">
      <c r="C11" s="41">
        <v>7</v>
      </c>
      <c r="D11" s="41" t="s">
        <v>224</v>
      </c>
      <c r="E11" s="38">
        <v>25</v>
      </c>
      <c r="F11" s="38" t="s">
        <v>223</v>
      </c>
      <c r="G11" s="43">
        <v>44757</v>
      </c>
      <c r="H11" s="44" t="s">
        <v>181</v>
      </c>
    </row>
    <row r="12" spans="3:8" ht="15.75" x14ac:dyDescent="0.25">
      <c r="C12" s="41">
        <v>8</v>
      </c>
      <c r="D12" s="41" t="s">
        <v>224</v>
      </c>
      <c r="E12" s="38">
        <v>25</v>
      </c>
      <c r="F12" s="38" t="s">
        <v>223</v>
      </c>
      <c r="G12" s="43">
        <v>44757</v>
      </c>
      <c r="H12" s="44" t="s">
        <v>182</v>
      </c>
    </row>
    <row r="13" spans="3:8" ht="15.75" x14ac:dyDescent="0.25">
      <c r="C13" s="41">
        <v>9</v>
      </c>
      <c r="D13" s="41" t="s">
        <v>224</v>
      </c>
      <c r="E13" s="38">
        <v>25</v>
      </c>
      <c r="F13" s="38" t="s">
        <v>223</v>
      </c>
      <c r="G13" s="43">
        <f ca="1">TODAY()</f>
        <v>45585</v>
      </c>
      <c r="H13" s="44" t="s">
        <v>181</v>
      </c>
    </row>
    <row r="14" spans="3:8" ht="15.75" x14ac:dyDescent="0.25">
      <c r="C14" s="41">
        <v>10</v>
      </c>
      <c r="D14" s="41" t="s">
        <v>224</v>
      </c>
      <c r="E14" s="38">
        <v>24</v>
      </c>
      <c r="F14" s="38" t="s">
        <v>223</v>
      </c>
      <c r="G14" s="43">
        <v>44761</v>
      </c>
      <c r="H14" s="44" t="s">
        <v>182</v>
      </c>
    </row>
    <row r="15" spans="3:8" ht="15.75" x14ac:dyDescent="0.25">
      <c r="C15" s="41">
        <v>11</v>
      </c>
      <c r="D15" s="41" t="s">
        <v>224</v>
      </c>
      <c r="E15" s="38">
        <v>20</v>
      </c>
      <c r="F15" s="38" t="s">
        <v>223</v>
      </c>
      <c r="G15" s="43">
        <v>44762</v>
      </c>
      <c r="H15" s="44" t="s">
        <v>181</v>
      </c>
    </row>
    <row r="16" spans="3:8" ht="15.75" x14ac:dyDescent="0.25">
      <c r="C16" s="41">
        <v>12</v>
      </c>
      <c r="D16" s="41" t="s">
        <v>224</v>
      </c>
      <c r="E16" s="38">
        <v>20</v>
      </c>
      <c r="F16" s="38" t="s">
        <v>223</v>
      </c>
      <c r="G16" s="43">
        <v>44762</v>
      </c>
      <c r="H16" s="44" t="s">
        <v>182</v>
      </c>
    </row>
    <row r="17" spans="3:8" ht="15.75" x14ac:dyDescent="0.25">
      <c r="C17" s="41">
        <v>13</v>
      </c>
      <c r="D17" s="41" t="s">
        <v>222</v>
      </c>
      <c r="E17" s="38">
        <v>25</v>
      </c>
      <c r="F17" s="38" t="s">
        <v>223</v>
      </c>
      <c r="G17" s="43">
        <f ca="1">TODAY()</f>
        <v>45585</v>
      </c>
      <c r="H17" s="44" t="s">
        <v>181</v>
      </c>
    </row>
    <row r="18" spans="3:8" ht="15.75" x14ac:dyDescent="0.25">
      <c r="C18" s="41">
        <v>14</v>
      </c>
      <c r="D18" s="41" t="s">
        <v>225</v>
      </c>
      <c r="E18" s="38">
        <v>27</v>
      </c>
      <c r="F18" s="38" t="s">
        <v>226</v>
      </c>
      <c r="G18" s="43">
        <v>44763</v>
      </c>
      <c r="H18" s="44" t="s">
        <v>182</v>
      </c>
    </row>
    <row r="19" spans="3:8" ht="15.75" x14ac:dyDescent="0.25">
      <c r="C19" s="41">
        <v>15</v>
      </c>
      <c r="D19" s="41" t="s">
        <v>225</v>
      </c>
      <c r="E19" s="38">
        <v>26</v>
      </c>
      <c r="F19" s="38" t="s">
        <v>226</v>
      </c>
      <c r="G19" s="43">
        <v>44764</v>
      </c>
      <c r="H19" s="44" t="s">
        <v>181</v>
      </c>
    </row>
    <row r="20" spans="3:8" ht="15.75" x14ac:dyDescent="0.25">
      <c r="C20" s="41">
        <v>16</v>
      </c>
      <c r="D20" s="41" t="s">
        <v>225</v>
      </c>
      <c r="E20" s="38">
        <v>14</v>
      </c>
      <c r="F20" s="38" t="s">
        <v>223</v>
      </c>
      <c r="G20" s="43">
        <v>44764</v>
      </c>
      <c r="H20" s="44" t="s">
        <v>182</v>
      </c>
    </row>
    <row r="21" spans="3:8" ht="15.75" x14ac:dyDescent="0.25">
      <c r="C21" s="41">
        <v>17</v>
      </c>
      <c r="D21" s="41" t="s">
        <v>224</v>
      </c>
      <c r="E21" s="44">
        <v>27</v>
      </c>
      <c r="F21" s="42" t="s">
        <v>223</v>
      </c>
      <c r="G21" s="43">
        <v>44768</v>
      </c>
      <c r="H21" s="44" t="s">
        <v>181</v>
      </c>
    </row>
    <row r="22" spans="3:8" ht="15.75" x14ac:dyDescent="0.25">
      <c r="C22" s="41">
        <v>18</v>
      </c>
      <c r="D22" s="41" t="s">
        <v>222</v>
      </c>
      <c r="E22" s="38">
        <v>24</v>
      </c>
      <c r="F22" s="38" t="s">
        <v>223</v>
      </c>
      <c r="G22" s="43">
        <v>44768</v>
      </c>
      <c r="H22" s="44" t="s">
        <v>182</v>
      </c>
    </row>
    <row r="23" spans="3:8" ht="15.75" x14ac:dyDescent="0.25">
      <c r="C23" s="41">
        <v>19</v>
      </c>
      <c r="D23" s="41" t="s">
        <v>225</v>
      </c>
      <c r="E23" s="38">
        <v>27</v>
      </c>
      <c r="F23" s="38" t="s">
        <v>226</v>
      </c>
      <c r="G23" s="43">
        <v>44769</v>
      </c>
      <c r="H23" s="44" t="s">
        <v>181</v>
      </c>
    </row>
    <row r="24" spans="3:8" ht="15.75" x14ac:dyDescent="0.25">
      <c r="C24" s="41">
        <v>20</v>
      </c>
      <c r="D24" s="41" t="s">
        <v>224</v>
      </c>
      <c r="E24" s="44">
        <v>27</v>
      </c>
      <c r="F24" s="42" t="s">
        <v>223</v>
      </c>
      <c r="G24" s="43">
        <f ca="1">TODAY()</f>
        <v>45585</v>
      </c>
      <c r="H24" s="44" t="s">
        <v>182</v>
      </c>
    </row>
    <row r="25" spans="3:8" ht="15.75" x14ac:dyDescent="0.25">
      <c r="C25" s="41">
        <v>21</v>
      </c>
      <c r="D25" s="41" t="s">
        <v>224</v>
      </c>
      <c r="E25" s="44">
        <v>28</v>
      </c>
      <c r="F25" s="42" t="s">
        <v>223</v>
      </c>
      <c r="G25" s="43">
        <v>44771</v>
      </c>
      <c r="H25" s="44" t="s">
        <v>181</v>
      </c>
    </row>
  </sheetData>
  <mergeCells count="1">
    <mergeCell ref="C1:F1"/>
  </mergeCells>
  <conditionalFormatting sqref="C5:H25">
    <cfRule type="expression" dxfId="7" priority="1">
      <formula>$G5=TODAY()</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D310-5421-4D95-810E-FA183F946358}">
  <dimension ref="B1:G18"/>
  <sheetViews>
    <sheetView workbookViewId="0">
      <selection activeCell="C5" sqref="C5"/>
    </sheetView>
  </sheetViews>
  <sheetFormatPr defaultRowHeight="15" x14ac:dyDescent="0.25"/>
  <sheetData>
    <row r="1" spans="2:7" x14ac:dyDescent="0.25">
      <c r="B1" t="s">
        <v>227</v>
      </c>
    </row>
    <row r="4" spans="2:7" ht="15.75" thickBot="1" x14ac:dyDescent="0.3"/>
    <row r="5" spans="2:7" ht="15.75" thickBot="1" x14ac:dyDescent="0.3">
      <c r="B5" s="47" t="s">
        <v>228</v>
      </c>
      <c r="C5" s="48" t="s">
        <v>231</v>
      </c>
    </row>
    <row r="7" spans="2:7" x14ac:dyDescent="0.25">
      <c r="B7" s="16" t="s">
        <v>230</v>
      </c>
      <c r="C7" s="16" t="s">
        <v>231</v>
      </c>
      <c r="D7" s="16" t="s">
        <v>229</v>
      </c>
      <c r="E7" s="16" t="s">
        <v>232</v>
      </c>
      <c r="F7" s="16" t="s">
        <v>233</v>
      </c>
      <c r="G7" s="16" t="s">
        <v>234</v>
      </c>
    </row>
    <row r="8" spans="2:7" x14ac:dyDescent="0.25">
      <c r="B8" s="10">
        <v>244</v>
      </c>
      <c r="C8" s="10">
        <v>605</v>
      </c>
      <c r="D8" s="10">
        <v>596</v>
      </c>
      <c r="E8" s="10">
        <v>116</v>
      </c>
      <c r="F8" s="10">
        <v>970</v>
      </c>
      <c r="G8" s="10">
        <v>170</v>
      </c>
    </row>
    <row r="9" spans="2:7" x14ac:dyDescent="0.25">
      <c r="B9" s="10">
        <v>589</v>
      </c>
      <c r="C9" s="10">
        <v>385</v>
      </c>
      <c r="D9" s="10">
        <v>959</v>
      </c>
      <c r="E9" s="10">
        <v>778</v>
      </c>
      <c r="F9" s="10">
        <v>1067</v>
      </c>
      <c r="G9" s="10">
        <v>419</v>
      </c>
    </row>
    <row r="10" spans="2:7" x14ac:dyDescent="0.25">
      <c r="B10" s="10">
        <v>565</v>
      </c>
      <c r="C10" s="10">
        <v>929</v>
      </c>
      <c r="D10" s="10">
        <v>685</v>
      </c>
      <c r="E10" s="10">
        <v>606</v>
      </c>
      <c r="F10" s="10">
        <v>497</v>
      </c>
      <c r="G10" s="10">
        <v>591</v>
      </c>
    </row>
    <row r="11" spans="2:7" x14ac:dyDescent="0.25">
      <c r="B11" s="10">
        <v>704</v>
      </c>
      <c r="C11" s="10">
        <v>355</v>
      </c>
      <c r="D11" s="10">
        <v>1114</v>
      </c>
      <c r="E11" s="10">
        <v>686</v>
      </c>
      <c r="F11" s="10">
        <v>678</v>
      </c>
      <c r="G11" s="10">
        <v>1121</v>
      </c>
    </row>
    <row r="12" spans="2:7" x14ac:dyDescent="0.25">
      <c r="B12" s="10">
        <v>1118</v>
      </c>
      <c r="C12" s="10">
        <v>1023</v>
      </c>
      <c r="D12" s="10">
        <v>733</v>
      </c>
      <c r="E12" s="10">
        <v>998</v>
      </c>
      <c r="F12" s="10">
        <v>174</v>
      </c>
      <c r="G12" s="10">
        <v>123</v>
      </c>
    </row>
    <row r="13" spans="2:7" x14ac:dyDescent="0.25">
      <c r="B13" s="10">
        <v>1045</v>
      </c>
      <c r="C13" s="10">
        <v>1162</v>
      </c>
      <c r="D13" s="10">
        <v>819</v>
      </c>
      <c r="E13" s="10">
        <v>877</v>
      </c>
      <c r="F13" s="10">
        <v>945</v>
      </c>
      <c r="G13" s="10">
        <v>1106</v>
      </c>
    </row>
    <row r="14" spans="2:7" x14ac:dyDescent="0.25">
      <c r="B14" s="10">
        <v>681</v>
      </c>
      <c r="C14" s="10">
        <v>121</v>
      </c>
      <c r="D14" s="10">
        <v>652</v>
      </c>
      <c r="E14" s="10">
        <v>993</v>
      </c>
      <c r="F14" s="10">
        <v>214</v>
      </c>
      <c r="G14" s="10">
        <v>448</v>
      </c>
    </row>
    <row r="15" spans="2:7" x14ac:dyDescent="0.25">
      <c r="B15" s="10">
        <v>666</v>
      </c>
      <c r="C15" s="10">
        <v>627</v>
      </c>
      <c r="D15" s="10">
        <v>1188</v>
      </c>
      <c r="E15" s="10">
        <v>817</v>
      </c>
      <c r="F15" s="10">
        <v>530</v>
      </c>
      <c r="G15" s="10">
        <v>344</v>
      </c>
    </row>
    <row r="16" spans="2:7" x14ac:dyDescent="0.25">
      <c r="B16" s="10">
        <v>1030</v>
      </c>
      <c r="C16" s="10">
        <v>121</v>
      </c>
      <c r="D16" s="10">
        <v>384</v>
      </c>
      <c r="E16" s="10">
        <v>965</v>
      </c>
      <c r="F16" s="10">
        <v>734</v>
      </c>
      <c r="G16" s="10">
        <v>1188</v>
      </c>
    </row>
    <row r="17" spans="2:7" x14ac:dyDescent="0.25">
      <c r="B17" s="10">
        <v>645</v>
      </c>
      <c r="C17" s="10">
        <v>773</v>
      </c>
      <c r="D17" s="10">
        <v>115</v>
      </c>
      <c r="E17" s="10">
        <v>362</v>
      </c>
      <c r="F17" s="10">
        <v>804</v>
      </c>
      <c r="G17" s="10">
        <v>730</v>
      </c>
    </row>
    <row r="18" spans="2:7" x14ac:dyDescent="0.25">
      <c r="B18" s="10">
        <v>697</v>
      </c>
      <c r="C18" s="10">
        <v>300</v>
      </c>
      <c r="D18" s="10">
        <v>866</v>
      </c>
      <c r="E18" s="10">
        <v>377</v>
      </c>
      <c r="F18" s="10">
        <v>1184</v>
      </c>
      <c r="G18" s="10">
        <v>789</v>
      </c>
    </row>
  </sheetData>
  <conditionalFormatting sqref="B7:B18">
    <cfRule type="expression" dxfId="6" priority="6">
      <formula>$C$5="Jan"</formula>
    </cfRule>
  </conditionalFormatting>
  <conditionalFormatting sqref="C7:C18">
    <cfRule type="expression" dxfId="5" priority="5">
      <formula>$C$5="Feb"</formula>
    </cfRule>
  </conditionalFormatting>
  <conditionalFormatting sqref="D7:D18">
    <cfRule type="expression" dxfId="4" priority="4">
      <formula>$C$5="Mar"</formula>
    </cfRule>
  </conditionalFormatting>
  <conditionalFormatting sqref="E7:E18">
    <cfRule type="expression" dxfId="3" priority="3">
      <formula>$C$5="Apr"</formula>
    </cfRule>
  </conditionalFormatting>
  <conditionalFormatting sqref="F7:F18">
    <cfRule type="expression" dxfId="2" priority="2">
      <formula>$C$5="May"</formula>
    </cfRule>
  </conditionalFormatting>
  <conditionalFormatting sqref="G7:G18">
    <cfRule type="expression" dxfId="1" priority="1">
      <formula>$C$5="Jun"</formula>
    </cfRule>
  </conditionalFormatting>
  <dataValidations count="1">
    <dataValidation type="list" allowBlank="1" showInputMessage="1" showErrorMessage="1" sqref="C5" xr:uid="{27A87EC6-3DD9-4024-BA8B-E3F7CEB3F146}">
      <formula1>$B$7:$G$7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9C94-6E8E-4378-BA49-9A8342B5D327}">
  <dimension ref="B1:C14"/>
  <sheetViews>
    <sheetView workbookViewId="0">
      <selection activeCell="C6" sqref="C6"/>
    </sheetView>
  </sheetViews>
  <sheetFormatPr defaultRowHeight="15" x14ac:dyDescent="0.25"/>
  <cols>
    <col min="2" max="2" width="13.85546875" customWidth="1"/>
    <col min="3" max="3" width="17.140625" customWidth="1"/>
  </cols>
  <sheetData>
    <row r="1" spans="2:3" x14ac:dyDescent="0.25">
      <c r="B1" t="s">
        <v>235</v>
      </c>
    </row>
    <row r="5" spans="2:3" x14ac:dyDescent="0.25">
      <c r="B5" s="49" t="s">
        <v>236</v>
      </c>
      <c r="C5" s="49" t="s">
        <v>237</v>
      </c>
    </row>
    <row r="6" spans="2:3" x14ac:dyDescent="0.25">
      <c r="B6" s="50">
        <v>20051220</v>
      </c>
      <c r="C6" s="50" t="str">
        <f t="shared" ref="C6:C14" si="0">TEXT(DATE(LEFT(B6,4), MID(B6,5,2), RIGHT(B6,2)), "mm/dd/yyyy")</f>
        <v>12/20/2005</v>
      </c>
    </row>
    <row r="7" spans="2:3" x14ac:dyDescent="0.25">
      <c r="B7" s="50">
        <v>20061202</v>
      </c>
      <c r="C7" s="50" t="str">
        <f t="shared" si="0"/>
        <v>12/02/2006</v>
      </c>
    </row>
    <row r="8" spans="2:3" x14ac:dyDescent="0.25">
      <c r="B8" s="50">
        <v>20070112</v>
      </c>
      <c r="C8" s="50" t="str">
        <f t="shared" si="0"/>
        <v>01/12/2007</v>
      </c>
    </row>
    <row r="9" spans="2:3" x14ac:dyDescent="0.25">
      <c r="B9" s="50">
        <v>20070519</v>
      </c>
      <c r="C9" s="50" t="str">
        <f t="shared" si="0"/>
        <v>05/19/2007</v>
      </c>
    </row>
    <row r="10" spans="2:3" x14ac:dyDescent="0.25">
      <c r="B10" s="50">
        <v>20070523</v>
      </c>
      <c r="C10" s="50" t="str">
        <f t="shared" si="0"/>
        <v>05/23/2007</v>
      </c>
    </row>
    <row r="11" spans="2:3" x14ac:dyDescent="0.25">
      <c r="B11" s="50">
        <v>20070623</v>
      </c>
      <c r="C11" s="50" t="str">
        <f t="shared" si="0"/>
        <v>06/23/2007</v>
      </c>
    </row>
    <row r="12" spans="2:3" x14ac:dyDescent="0.25">
      <c r="B12" s="50">
        <v>20070624</v>
      </c>
      <c r="C12" s="50" t="str">
        <f t="shared" si="0"/>
        <v>06/24/2007</v>
      </c>
    </row>
    <row r="13" spans="2:3" x14ac:dyDescent="0.25">
      <c r="B13" s="50">
        <v>20071017</v>
      </c>
      <c r="C13" s="50" t="str">
        <f t="shared" si="0"/>
        <v>10/17/2007</v>
      </c>
    </row>
    <row r="14" spans="2:3" x14ac:dyDescent="0.25">
      <c r="B14" s="50">
        <v>20080419</v>
      </c>
      <c r="C14" s="50" t="str">
        <f t="shared" si="0"/>
        <v>04/19/2008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26E5-005F-47DF-879A-D7723B68EC2E}">
  <dimension ref="B3:I18"/>
  <sheetViews>
    <sheetView workbookViewId="0">
      <selection activeCell="M16" sqref="M16"/>
    </sheetView>
  </sheetViews>
  <sheetFormatPr defaultRowHeight="15" x14ac:dyDescent="0.25"/>
  <cols>
    <col min="2" max="2" width="12.140625" customWidth="1"/>
    <col min="3" max="3" width="12.85546875" customWidth="1"/>
    <col min="6" max="6" width="18.85546875" customWidth="1"/>
    <col min="7" max="7" width="21" customWidth="1"/>
    <col min="8" max="8" width="14" customWidth="1"/>
    <col min="9" max="9" width="32.7109375" customWidth="1"/>
  </cols>
  <sheetData>
    <row r="3" spans="2:9" x14ac:dyDescent="0.25">
      <c r="B3" s="51" t="s">
        <v>238</v>
      </c>
      <c r="C3" s="52">
        <f ca="1">TODAY()</f>
        <v>45585</v>
      </c>
      <c r="F3" s="51" t="s">
        <v>240</v>
      </c>
      <c r="G3" s="52" t="str">
        <f ca="1">TEXT(TODAY(), "ddd, mmmm d, yyyy")</f>
        <v>Sun, October 20, 2024</v>
      </c>
    </row>
    <row r="4" spans="2:9" x14ac:dyDescent="0.25">
      <c r="B4" s="51" t="s">
        <v>239</v>
      </c>
      <c r="C4" s="53">
        <f ca="1">NOW()</f>
        <v>45585.755455208331</v>
      </c>
      <c r="F4" s="51" t="s">
        <v>241</v>
      </c>
      <c r="G4" s="53" t="str">
        <f ca="1">TEXT(NOW(), "hh:mm:ss AM/PM")</f>
        <v>06:07:51 PM</v>
      </c>
    </row>
    <row r="6" spans="2:9" x14ac:dyDescent="0.25">
      <c r="B6" s="51" t="s">
        <v>242</v>
      </c>
      <c r="C6" s="54" t="s">
        <v>9</v>
      </c>
      <c r="D6" s="54" t="s">
        <v>243</v>
      </c>
      <c r="E6" s="54" t="s">
        <v>244</v>
      </c>
      <c r="F6" s="54" t="s">
        <v>245</v>
      </c>
      <c r="G6" s="54" t="s">
        <v>246</v>
      </c>
      <c r="H6" s="54" t="s">
        <v>247</v>
      </c>
      <c r="I6" s="54" t="s">
        <v>248</v>
      </c>
    </row>
    <row r="7" spans="2:9" x14ac:dyDescent="0.25">
      <c r="B7" s="5" t="s">
        <v>249</v>
      </c>
      <c r="C7" s="6">
        <v>36478</v>
      </c>
      <c r="D7" s="55">
        <f>DAY(C7)</f>
        <v>14</v>
      </c>
      <c r="E7" s="55">
        <f>MONTH(C7)</f>
        <v>11</v>
      </c>
      <c r="F7" s="55" t="str">
        <f>TEXT(C7,"mmmm")</f>
        <v>November</v>
      </c>
      <c r="G7" s="55">
        <f>YEAR(C7)</f>
        <v>1999</v>
      </c>
      <c r="H7" s="56">
        <f ca="1">YEAR(TODAY()) - YEAR(C7) - (DATE(YEAR(TODAY()), MONTH(C7), DAY(C7)) &gt; TODAY())</f>
        <v>24</v>
      </c>
      <c r="I7" s="57" t="str">
        <f ca="1">DATEDIF(C7, TODAY(), "y") &amp; " Years " &amp; DATEDIF(C7, TODAY(), "ym") &amp; " Months " &amp; DATEDIF(C7, TODAY(), "md") &amp; " Days"</f>
        <v>24 Years 11 Months 6 Days</v>
      </c>
    </row>
    <row r="8" spans="2:9" x14ac:dyDescent="0.25">
      <c r="B8" s="5" t="s">
        <v>250</v>
      </c>
      <c r="C8" s="6">
        <v>37027</v>
      </c>
      <c r="D8" s="55">
        <f t="shared" ref="D8:D18" si="0">DAY(C8)</f>
        <v>16</v>
      </c>
      <c r="E8" s="55">
        <f t="shared" ref="E8:E18" si="1">MONTH(C8)</f>
        <v>5</v>
      </c>
      <c r="F8" s="55" t="str">
        <f t="shared" ref="F8:F18" si="2">TEXT(C8,"mmmm")</f>
        <v>May</v>
      </c>
      <c r="G8" s="55">
        <f t="shared" ref="G8:G18" si="3">YEAR(C8)</f>
        <v>2001</v>
      </c>
      <c r="H8" s="56">
        <f t="shared" ref="H8:H18" ca="1" si="4">YEAR(TODAY()) - YEAR(C8) - (DATE(YEAR(TODAY()), MONTH(C8), DAY(C8)) &gt; TODAY())</f>
        <v>23</v>
      </c>
      <c r="I8" s="57" t="str">
        <f t="shared" ref="I8:I18" ca="1" si="5">DATEDIF(C8, TODAY(), "y") &amp; " Years " &amp; DATEDIF(C8, TODAY(), "ym") &amp; " Months " &amp; DATEDIF(C8, TODAY(), "md") &amp; " Days"</f>
        <v>23 Years 5 Months 4 Days</v>
      </c>
    </row>
    <row r="9" spans="2:9" x14ac:dyDescent="0.25">
      <c r="B9" s="5" t="s">
        <v>251</v>
      </c>
      <c r="C9" s="6">
        <v>37946</v>
      </c>
      <c r="D9" s="55">
        <f t="shared" si="0"/>
        <v>21</v>
      </c>
      <c r="E9" s="55">
        <f t="shared" si="1"/>
        <v>11</v>
      </c>
      <c r="F9" s="55" t="str">
        <f t="shared" si="2"/>
        <v>November</v>
      </c>
      <c r="G9" s="55">
        <f t="shared" si="3"/>
        <v>2003</v>
      </c>
      <c r="H9" s="56">
        <f t="shared" ca="1" si="4"/>
        <v>20</v>
      </c>
      <c r="I9" s="57" t="str">
        <f t="shared" ca="1" si="5"/>
        <v>20 Years 10 Months 29 Days</v>
      </c>
    </row>
    <row r="10" spans="2:9" x14ac:dyDescent="0.25">
      <c r="B10" s="5" t="s">
        <v>252</v>
      </c>
      <c r="C10" s="6">
        <v>38113</v>
      </c>
      <c r="D10" s="55">
        <f t="shared" si="0"/>
        <v>6</v>
      </c>
      <c r="E10" s="55">
        <f t="shared" si="1"/>
        <v>5</v>
      </c>
      <c r="F10" s="55" t="str">
        <f t="shared" si="2"/>
        <v>May</v>
      </c>
      <c r="G10" s="55">
        <f t="shared" si="3"/>
        <v>2004</v>
      </c>
      <c r="H10" s="56">
        <f t="shared" ca="1" si="4"/>
        <v>20</v>
      </c>
      <c r="I10" s="57" t="str">
        <f t="shared" ca="1" si="5"/>
        <v>20 Years 5 Months 14 Days</v>
      </c>
    </row>
    <row r="11" spans="2:9" x14ac:dyDescent="0.25">
      <c r="B11" s="5" t="s">
        <v>253</v>
      </c>
      <c r="C11" s="6">
        <v>38449</v>
      </c>
      <c r="D11" s="55">
        <f t="shared" si="0"/>
        <v>7</v>
      </c>
      <c r="E11" s="55">
        <f t="shared" si="1"/>
        <v>4</v>
      </c>
      <c r="F11" s="55" t="str">
        <f t="shared" si="2"/>
        <v>April</v>
      </c>
      <c r="G11" s="55">
        <f t="shared" si="3"/>
        <v>2005</v>
      </c>
      <c r="H11" s="56">
        <f t="shared" ca="1" si="4"/>
        <v>19</v>
      </c>
      <c r="I11" s="57" t="str">
        <f t="shared" ca="1" si="5"/>
        <v>19 Years 6 Months 13 Days</v>
      </c>
    </row>
    <row r="12" spans="2:9" x14ac:dyDescent="0.25">
      <c r="B12" s="5" t="s">
        <v>254</v>
      </c>
      <c r="C12" s="6">
        <v>39846</v>
      </c>
      <c r="D12" s="55">
        <f t="shared" si="0"/>
        <v>2</v>
      </c>
      <c r="E12" s="55">
        <f t="shared" si="1"/>
        <v>2</v>
      </c>
      <c r="F12" s="55" t="str">
        <f t="shared" si="2"/>
        <v>February</v>
      </c>
      <c r="G12" s="55">
        <f t="shared" si="3"/>
        <v>2009</v>
      </c>
      <c r="H12" s="56">
        <f t="shared" ca="1" si="4"/>
        <v>15</v>
      </c>
      <c r="I12" s="57" t="str">
        <f t="shared" ca="1" si="5"/>
        <v>15 Years 8 Months 18 Days</v>
      </c>
    </row>
    <row r="13" spans="2:9" x14ac:dyDescent="0.25">
      <c r="B13" s="5" t="s">
        <v>255</v>
      </c>
      <c r="C13" s="6">
        <v>40330</v>
      </c>
      <c r="D13" s="55">
        <f t="shared" si="0"/>
        <v>1</v>
      </c>
      <c r="E13" s="55">
        <f t="shared" si="1"/>
        <v>6</v>
      </c>
      <c r="F13" s="55" t="str">
        <f t="shared" si="2"/>
        <v>June</v>
      </c>
      <c r="G13" s="55">
        <f t="shared" si="3"/>
        <v>2010</v>
      </c>
      <c r="H13" s="56">
        <f t="shared" ca="1" si="4"/>
        <v>14</v>
      </c>
      <c r="I13" s="57" t="str">
        <f t="shared" ca="1" si="5"/>
        <v>14 Years 4 Months 19 Days</v>
      </c>
    </row>
    <row r="14" spans="2:9" x14ac:dyDescent="0.25">
      <c r="B14" s="5" t="s">
        <v>256</v>
      </c>
      <c r="C14" s="6">
        <v>40495</v>
      </c>
      <c r="D14" s="55">
        <f t="shared" si="0"/>
        <v>13</v>
      </c>
      <c r="E14" s="55">
        <f t="shared" si="1"/>
        <v>11</v>
      </c>
      <c r="F14" s="55" t="str">
        <f t="shared" si="2"/>
        <v>November</v>
      </c>
      <c r="G14" s="55">
        <f t="shared" si="3"/>
        <v>2010</v>
      </c>
      <c r="H14" s="56">
        <f t="shared" ca="1" si="4"/>
        <v>13</v>
      </c>
      <c r="I14" s="57" t="str">
        <f t="shared" ca="1" si="5"/>
        <v>13 Years 11 Months 7 Days</v>
      </c>
    </row>
    <row r="15" spans="2:9" x14ac:dyDescent="0.25">
      <c r="B15" s="5" t="s">
        <v>257</v>
      </c>
      <c r="C15" s="6">
        <v>40574</v>
      </c>
      <c r="D15" s="55">
        <f t="shared" si="0"/>
        <v>31</v>
      </c>
      <c r="E15" s="55">
        <f t="shared" si="1"/>
        <v>1</v>
      </c>
      <c r="F15" s="55" t="str">
        <f t="shared" si="2"/>
        <v>January</v>
      </c>
      <c r="G15" s="55">
        <f t="shared" si="3"/>
        <v>2011</v>
      </c>
      <c r="H15" s="56">
        <f t="shared" ca="1" si="4"/>
        <v>13</v>
      </c>
      <c r="I15" s="57" t="str">
        <f t="shared" ca="1" si="5"/>
        <v>13 Years 8 Months 19 Days</v>
      </c>
    </row>
    <row r="16" spans="2:9" x14ac:dyDescent="0.25">
      <c r="B16" s="5" t="s">
        <v>258</v>
      </c>
      <c r="C16" s="6">
        <v>41400</v>
      </c>
      <c r="D16" s="55">
        <f t="shared" si="0"/>
        <v>6</v>
      </c>
      <c r="E16" s="55">
        <f t="shared" si="1"/>
        <v>5</v>
      </c>
      <c r="F16" s="55" t="str">
        <f t="shared" si="2"/>
        <v>May</v>
      </c>
      <c r="G16" s="55">
        <f t="shared" si="3"/>
        <v>2013</v>
      </c>
      <c r="H16" s="56">
        <f t="shared" ca="1" si="4"/>
        <v>11</v>
      </c>
      <c r="I16" s="57" t="str">
        <f t="shared" ca="1" si="5"/>
        <v>11 Years 5 Months 14 Days</v>
      </c>
    </row>
    <row r="17" spans="2:9" x14ac:dyDescent="0.25">
      <c r="B17" s="5" t="s">
        <v>259</v>
      </c>
      <c r="C17" s="6">
        <v>42027</v>
      </c>
      <c r="D17" s="55">
        <f t="shared" si="0"/>
        <v>23</v>
      </c>
      <c r="E17" s="55">
        <f t="shared" si="1"/>
        <v>1</v>
      </c>
      <c r="F17" s="55" t="str">
        <f t="shared" si="2"/>
        <v>January</v>
      </c>
      <c r="G17" s="55">
        <f t="shared" si="3"/>
        <v>2015</v>
      </c>
      <c r="H17" s="56">
        <f t="shared" ca="1" si="4"/>
        <v>9</v>
      </c>
      <c r="I17" s="57" t="str">
        <f t="shared" ca="1" si="5"/>
        <v>9 Years 8 Months 27 Days</v>
      </c>
    </row>
    <row r="18" spans="2:9" x14ac:dyDescent="0.25">
      <c r="B18" s="5" t="s">
        <v>260</v>
      </c>
      <c r="C18" s="6">
        <v>42124</v>
      </c>
      <c r="D18" s="55">
        <f t="shared" si="0"/>
        <v>30</v>
      </c>
      <c r="E18" s="55">
        <f t="shared" si="1"/>
        <v>4</v>
      </c>
      <c r="F18" s="55" t="str">
        <f t="shared" si="2"/>
        <v>April</v>
      </c>
      <c r="G18" s="55">
        <f t="shared" si="3"/>
        <v>2015</v>
      </c>
      <c r="H18" s="56">
        <f t="shared" ca="1" si="4"/>
        <v>9</v>
      </c>
      <c r="I18" s="57" t="str">
        <f t="shared" ca="1" si="5"/>
        <v>9 Years 5 Months 20 Days</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EB2D-8212-45A9-8F93-F1D3508B2BCD}">
  <dimension ref="B1:U319"/>
  <sheetViews>
    <sheetView workbookViewId="0">
      <selection activeCell="N2" sqref="N2"/>
    </sheetView>
  </sheetViews>
  <sheetFormatPr defaultRowHeight="15" x14ac:dyDescent="0.25"/>
  <cols>
    <col min="3" max="3" width="11.85546875" customWidth="1"/>
    <col min="5" max="5" width="13" customWidth="1"/>
    <col min="11" max="11" width="12.28515625" customWidth="1"/>
    <col min="12" max="12" width="14.85546875" customWidth="1"/>
    <col min="13" max="13" width="11.7109375" customWidth="1"/>
    <col min="17" max="17" width="13.42578125" customWidth="1"/>
    <col min="19" max="19" width="12.7109375" customWidth="1"/>
  </cols>
  <sheetData>
    <row r="1" spans="2:21" x14ac:dyDescent="0.25">
      <c r="B1" s="173" t="s">
        <v>261</v>
      </c>
      <c r="C1" s="173"/>
      <c r="D1" s="173"/>
      <c r="E1" s="173"/>
      <c r="F1" s="173"/>
      <c r="G1" s="173"/>
      <c r="H1" s="173"/>
    </row>
    <row r="2" spans="2:21" x14ac:dyDescent="0.25">
      <c r="B2" s="173"/>
      <c r="C2" s="173"/>
      <c r="D2" s="173"/>
      <c r="E2" s="173"/>
      <c r="F2" s="173"/>
      <c r="G2" s="173"/>
      <c r="H2" s="173"/>
    </row>
    <row r="3" spans="2:21" x14ac:dyDescent="0.25">
      <c r="B3" s="174" t="s">
        <v>262</v>
      </c>
      <c r="C3" s="174"/>
      <c r="D3" s="174"/>
      <c r="E3" s="174"/>
      <c r="F3" s="174"/>
      <c r="G3" s="174"/>
      <c r="H3" s="174"/>
    </row>
    <row r="4" spans="2:21" x14ac:dyDescent="0.25">
      <c r="B4" s="174" t="s">
        <v>263</v>
      </c>
      <c r="C4" s="174"/>
      <c r="D4" s="174"/>
      <c r="E4" s="174"/>
      <c r="F4" s="174"/>
      <c r="G4" s="174"/>
      <c r="H4" s="174"/>
      <c r="L4">
        <v>1</v>
      </c>
      <c r="Q4">
        <v>2</v>
      </c>
    </row>
    <row r="6" spans="2:21" x14ac:dyDescent="0.25">
      <c r="B6" s="58" t="s">
        <v>264</v>
      </c>
      <c r="C6" s="59" t="s">
        <v>265</v>
      </c>
      <c r="D6" s="59" t="s">
        <v>266</v>
      </c>
      <c r="E6" s="59" t="s">
        <v>267</v>
      </c>
      <c r="F6" s="59" t="s">
        <v>268</v>
      </c>
      <c r="G6" s="60" t="s">
        <v>269</v>
      </c>
      <c r="J6" s="58" t="s">
        <v>264</v>
      </c>
      <c r="K6" s="59" t="s">
        <v>265</v>
      </c>
      <c r="L6" s="59" t="s">
        <v>266</v>
      </c>
      <c r="M6" s="59" t="s">
        <v>267</v>
      </c>
      <c r="N6" s="59" t="s">
        <v>268</v>
      </c>
      <c r="P6" s="58" t="s">
        <v>264</v>
      </c>
      <c r="Q6" s="59" t="s">
        <v>265</v>
      </c>
      <c r="R6" s="59" t="s">
        <v>266</v>
      </c>
      <c r="S6" s="59" t="s">
        <v>267</v>
      </c>
      <c r="T6" s="59" t="s">
        <v>268</v>
      </c>
      <c r="U6" s="60" t="s">
        <v>269</v>
      </c>
    </row>
    <row r="7" spans="2:21" x14ac:dyDescent="0.25">
      <c r="B7" s="58">
        <v>1</v>
      </c>
      <c r="C7" s="59" t="s">
        <v>270</v>
      </c>
      <c r="D7" s="59" t="s">
        <v>271</v>
      </c>
      <c r="E7" s="61">
        <v>44348</v>
      </c>
      <c r="F7" s="59">
        <v>108879</v>
      </c>
      <c r="G7">
        <f>ROUNDUP(MONTH(E7)/3,0)</f>
        <v>2</v>
      </c>
      <c r="J7" s="58">
        <v>2</v>
      </c>
      <c r="K7" s="59" t="s">
        <v>270</v>
      </c>
      <c r="L7" s="59" t="s">
        <v>272</v>
      </c>
      <c r="M7" s="61">
        <v>44470</v>
      </c>
      <c r="N7" s="59">
        <v>165656</v>
      </c>
      <c r="P7" s="58">
        <v>5</v>
      </c>
      <c r="Q7" s="59" t="s">
        <v>270</v>
      </c>
      <c r="R7" s="59" t="s">
        <v>272</v>
      </c>
      <c r="S7" s="61">
        <v>44440</v>
      </c>
      <c r="T7" s="59">
        <v>135801</v>
      </c>
      <c r="U7">
        <v>3</v>
      </c>
    </row>
    <row r="8" spans="2:21" x14ac:dyDescent="0.25">
      <c r="B8" s="58">
        <v>2</v>
      </c>
      <c r="C8" s="59" t="s">
        <v>270</v>
      </c>
      <c r="D8" s="59" t="s">
        <v>272</v>
      </c>
      <c r="E8" s="61">
        <v>44470</v>
      </c>
      <c r="F8" s="59">
        <v>165656</v>
      </c>
      <c r="G8">
        <f t="shared" ref="G8:G71" si="0">ROUNDUP(MONTH(E8)/3,0)</f>
        <v>4</v>
      </c>
      <c r="J8" s="58">
        <v>3</v>
      </c>
      <c r="K8" s="59" t="s">
        <v>270</v>
      </c>
      <c r="L8" s="59" t="s">
        <v>272</v>
      </c>
      <c r="M8" s="61">
        <v>44256</v>
      </c>
      <c r="N8" s="59">
        <v>25467</v>
      </c>
      <c r="P8" s="58">
        <v>10</v>
      </c>
      <c r="Q8" s="59" t="s">
        <v>270</v>
      </c>
      <c r="R8" s="59" t="s">
        <v>274</v>
      </c>
      <c r="S8" s="61">
        <v>44378</v>
      </c>
      <c r="T8" s="59">
        <v>-34980</v>
      </c>
      <c r="U8">
        <v>3</v>
      </c>
    </row>
    <row r="9" spans="2:21" x14ac:dyDescent="0.25">
      <c r="B9" s="58">
        <v>3</v>
      </c>
      <c r="C9" s="59" t="s">
        <v>270</v>
      </c>
      <c r="D9" s="59" t="s">
        <v>272</v>
      </c>
      <c r="E9" s="61">
        <v>44256</v>
      </c>
      <c r="F9" s="59">
        <v>25467</v>
      </c>
      <c r="G9">
        <f t="shared" si="0"/>
        <v>1</v>
      </c>
      <c r="J9" s="58">
        <v>5</v>
      </c>
      <c r="K9" s="59" t="s">
        <v>270</v>
      </c>
      <c r="L9" s="59" t="s">
        <v>272</v>
      </c>
      <c r="M9" s="61">
        <v>44440</v>
      </c>
      <c r="N9" s="59">
        <v>135801</v>
      </c>
      <c r="P9" s="58">
        <v>23</v>
      </c>
      <c r="Q9" s="59" t="s">
        <v>277</v>
      </c>
      <c r="R9" s="59" t="s">
        <v>271</v>
      </c>
      <c r="S9" s="61">
        <v>44409</v>
      </c>
      <c r="T9" s="59">
        <v>149617</v>
      </c>
      <c r="U9">
        <v>3</v>
      </c>
    </row>
    <row r="10" spans="2:21" x14ac:dyDescent="0.25">
      <c r="B10" s="58">
        <v>4</v>
      </c>
      <c r="C10" s="59" t="s">
        <v>270</v>
      </c>
      <c r="D10" s="59" t="s">
        <v>273</v>
      </c>
      <c r="E10" s="61">
        <v>44256</v>
      </c>
      <c r="F10" s="59">
        <v>16452</v>
      </c>
      <c r="G10">
        <f t="shared" si="0"/>
        <v>1</v>
      </c>
      <c r="J10" s="58">
        <v>13</v>
      </c>
      <c r="K10" s="59" t="s">
        <v>270</v>
      </c>
      <c r="L10" s="59" t="s">
        <v>272</v>
      </c>
      <c r="M10" s="61">
        <v>44531</v>
      </c>
      <c r="N10" s="59">
        <v>201069</v>
      </c>
      <c r="P10" s="58">
        <v>25</v>
      </c>
      <c r="Q10" s="59" t="s">
        <v>278</v>
      </c>
      <c r="R10" s="59" t="s">
        <v>272</v>
      </c>
      <c r="S10" s="61">
        <v>44440</v>
      </c>
      <c r="T10" s="59">
        <v>60921</v>
      </c>
      <c r="U10">
        <v>3</v>
      </c>
    </row>
    <row r="11" spans="2:21" x14ac:dyDescent="0.25">
      <c r="B11" s="58">
        <v>5</v>
      </c>
      <c r="C11" s="59" t="s">
        <v>270</v>
      </c>
      <c r="D11" s="59" t="s">
        <v>272</v>
      </c>
      <c r="E11" s="61">
        <v>44440</v>
      </c>
      <c r="F11" s="59">
        <v>135801</v>
      </c>
      <c r="G11">
        <f t="shared" si="0"/>
        <v>3</v>
      </c>
      <c r="J11" s="58">
        <v>25</v>
      </c>
      <c r="K11" s="59" t="s">
        <v>278</v>
      </c>
      <c r="L11" s="59" t="s">
        <v>272</v>
      </c>
      <c r="M11" s="61">
        <v>44440</v>
      </c>
      <c r="N11" s="59">
        <v>60921</v>
      </c>
      <c r="P11" s="58">
        <v>28</v>
      </c>
      <c r="Q11" s="59" t="s">
        <v>276</v>
      </c>
      <c r="R11" s="59" t="s">
        <v>275</v>
      </c>
      <c r="S11" s="61">
        <v>44378</v>
      </c>
      <c r="T11" s="59">
        <v>12909</v>
      </c>
      <c r="U11">
        <v>3</v>
      </c>
    </row>
    <row r="12" spans="2:21" x14ac:dyDescent="0.25">
      <c r="B12" s="58">
        <v>6</v>
      </c>
      <c r="C12" s="59" t="s">
        <v>270</v>
      </c>
      <c r="D12" s="59" t="s">
        <v>273</v>
      </c>
      <c r="E12" s="61">
        <v>44348</v>
      </c>
      <c r="F12" s="59">
        <v>247286</v>
      </c>
      <c r="G12">
        <f t="shared" si="0"/>
        <v>2</v>
      </c>
      <c r="J12" s="58">
        <v>26</v>
      </c>
      <c r="K12" s="59" t="s">
        <v>279</v>
      </c>
      <c r="L12" s="59" t="s">
        <v>272</v>
      </c>
      <c r="M12" s="61">
        <v>44197</v>
      </c>
      <c r="N12" s="59">
        <v>180969</v>
      </c>
      <c r="P12" s="58">
        <v>30</v>
      </c>
      <c r="Q12" s="59" t="s">
        <v>276</v>
      </c>
      <c r="R12" s="59" t="s">
        <v>275</v>
      </c>
      <c r="S12" s="61">
        <v>44378</v>
      </c>
      <c r="T12" s="59">
        <v>36046</v>
      </c>
      <c r="U12">
        <v>3</v>
      </c>
    </row>
    <row r="13" spans="2:21" x14ac:dyDescent="0.25">
      <c r="B13" s="58">
        <v>7</v>
      </c>
      <c r="C13" s="59" t="s">
        <v>270</v>
      </c>
      <c r="D13" s="59" t="s">
        <v>274</v>
      </c>
      <c r="E13" s="61">
        <v>44287</v>
      </c>
      <c r="F13" s="59">
        <v>191293</v>
      </c>
      <c r="G13">
        <f t="shared" si="0"/>
        <v>2</v>
      </c>
      <c r="J13" s="58">
        <v>31</v>
      </c>
      <c r="K13" s="59" t="s">
        <v>278</v>
      </c>
      <c r="L13" s="59" t="s">
        <v>272</v>
      </c>
      <c r="M13" s="61">
        <v>44409</v>
      </c>
      <c r="N13" s="59">
        <v>87532</v>
      </c>
      <c r="P13" s="58">
        <v>31</v>
      </c>
      <c r="Q13" s="59" t="s">
        <v>278</v>
      </c>
      <c r="R13" s="59" t="s">
        <v>272</v>
      </c>
      <c r="S13" s="61">
        <v>44409</v>
      </c>
      <c r="T13" s="59">
        <v>87532</v>
      </c>
      <c r="U13">
        <v>3</v>
      </c>
    </row>
    <row r="14" spans="2:21" x14ac:dyDescent="0.25">
      <c r="B14" s="58">
        <v>8</v>
      </c>
      <c r="C14" s="59" t="s">
        <v>270</v>
      </c>
      <c r="D14" s="59" t="s">
        <v>275</v>
      </c>
      <c r="E14" s="61">
        <v>44197</v>
      </c>
      <c r="F14" s="59">
        <v>36125</v>
      </c>
      <c r="G14">
        <f t="shared" si="0"/>
        <v>1</v>
      </c>
      <c r="J14" s="58">
        <v>32</v>
      </c>
      <c r="K14" s="59" t="s">
        <v>277</v>
      </c>
      <c r="L14" s="59" t="s">
        <v>272</v>
      </c>
      <c r="M14" s="61">
        <v>44531</v>
      </c>
      <c r="N14" s="59">
        <v>82089</v>
      </c>
      <c r="P14" s="58">
        <v>33</v>
      </c>
      <c r="Q14" s="59" t="s">
        <v>278</v>
      </c>
      <c r="R14" s="59" t="s">
        <v>271</v>
      </c>
      <c r="S14" s="61">
        <v>44440</v>
      </c>
      <c r="T14" s="59">
        <v>242254</v>
      </c>
      <c r="U14">
        <v>3</v>
      </c>
    </row>
    <row r="15" spans="2:21" x14ac:dyDescent="0.25">
      <c r="B15" s="58">
        <v>9</v>
      </c>
      <c r="C15" s="59" t="s">
        <v>270</v>
      </c>
      <c r="D15" s="59" t="s">
        <v>274</v>
      </c>
      <c r="E15" s="61">
        <v>44197</v>
      </c>
      <c r="F15" s="59">
        <v>123287</v>
      </c>
      <c r="G15">
        <f t="shared" si="0"/>
        <v>1</v>
      </c>
      <c r="J15" s="58">
        <v>34</v>
      </c>
      <c r="K15" s="59" t="s">
        <v>276</v>
      </c>
      <c r="L15" s="59" t="s">
        <v>272</v>
      </c>
      <c r="M15" s="61">
        <v>44378</v>
      </c>
      <c r="N15" s="59">
        <v>57399</v>
      </c>
      <c r="P15" s="58">
        <v>34</v>
      </c>
      <c r="Q15" s="59" t="s">
        <v>276</v>
      </c>
      <c r="R15" s="59" t="s">
        <v>272</v>
      </c>
      <c r="S15" s="61">
        <v>44378</v>
      </c>
      <c r="T15" s="59">
        <v>57399</v>
      </c>
      <c r="U15">
        <v>3</v>
      </c>
    </row>
    <row r="16" spans="2:21" x14ac:dyDescent="0.25">
      <c r="B16" s="58">
        <v>10</v>
      </c>
      <c r="C16" s="59" t="s">
        <v>270</v>
      </c>
      <c r="D16" s="59" t="s">
        <v>274</v>
      </c>
      <c r="E16" s="61">
        <v>44378</v>
      </c>
      <c r="F16" s="59">
        <v>-34980</v>
      </c>
      <c r="G16">
        <f t="shared" si="0"/>
        <v>3</v>
      </c>
      <c r="J16" s="58">
        <v>47</v>
      </c>
      <c r="K16" s="59" t="s">
        <v>270</v>
      </c>
      <c r="L16" s="59" t="s">
        <v>272</v>
      </c>
      <c r="M16" s="61">
        <v>44197</v>
      </c>
      <c r="N16" s="58">
        <v>48442</v>
      </c>
      <c r="P16" s="58">
        <v>36</v>
      </c>
      <c r="Q16" s="59" t="s">
        <v>278</v>
      </c>
      <c r="R16" s="59" t="s">
        <v>275</v>
      </c>
      <c r="S16" s="61">
        <v>44409</v>
      </c>
      <c r="T16" s="59">
        <v>55010</v>
      </c>
      <c r="U16">
        <v>3</v>
      </c>
    </row>
    <row r="17" spans="2:21" x14ac:dyDescent="0.25">
      <c r="B17" s="58">
        <v>11</v>
      </c>
      <c r="C17" s="59" t="s">
        <v>270</v>
      </c>
      <c r="D17" s="59" t="s">
        <v>273</v>
      </c>
      <c r="E17" s="61">
        <v>44317</v>
      </c>
      <c r="F17" s="59">
        <v>72086</v>
      </c>
      <c r="G17">
        <f t="shared" si="0"/>
        <v>2</v>
      </c>
      <c r="J17" s="58">
        <v>49</v>
      </c>
      <c r="K17" s="59" t="s">
        <v>270</v>
      </c>
      <c r="L17" s="59" t="s">
        <v>272</v>
      </c>
      <c r="M17" s="61">
        <v>44501</v>
      </c>
      <c r="N17" s="58">
        <v>146394</v>
      </c>
      <c r="P17" s="58">
        <v>40</v>
      </c>
      <c r="Q17" s="59" t="s">
        <v>279</v>
      </c>
      <c r="R17" s="59" t="s">
        <v>271</v>
      </c>
      <c r="S17" s="61">
        <v>44409</v>
      </c>
      <c r="T17" s="59">
        <v>86220</v>
      </c>
      <c r="U17">
        <v>3</v>
      </c>
    </row>
    <row r="18" spans="2:21" x14ac:dyDescent="0.25">
      <c r="B18" s="58">
        <v>12</v>
      </c>
      <c r="C18" s="59" t="s">
        <v>270</v>
      </c>
      <c r="D18" s="59" t="s">
        <v>274</v>
      </c>
      <c r="E18" s="61">
        <v>44470</v>
      </c>
      <c r="F18" s="59">
        <v>84660</v>
      </c>
      <c r="G18">
        <f t="shared" si="0"/>
        <v>4</v>
      </c>
      <c r="J18" s="58">
        <v>56</v>
      </c>
      <c r="K18" s="59" t="s">
        <v>270</v>
      </c>
      <c r="L18" s="59" t="s">
        <v>272</v>
      </c>
      <c r="M18" s="61">
        <v>44348</v>
      </c>
      <c r="N18" s="58">
        <v>137843</v>
      </c>
      <c r="P18" s="58">
        <v>43</v>
      </c>
      <c r="Q18" s="59" t="s">
        <v>277</v>
      </c>
      <c r="R18" s="59" t="s">
        <v>273</v>
      </c>
      <c r="S18" s="61">
        <v>44409</v>
      </c>
      <c r="T18" s="59">
        <v>17711</v>
      </c>
      <c r="U18">
        <v>3</v>
      </c>
    </row>
    <row r="19" spans="2:21" x14ac:dyDescent="0.25">
      <c r="B19" s="58">
        <v>13</v>
      </c>
      <c r="C19" s="59" t="s">
        <v>270</v>
      </c>
      <c r="D19" s="59" t="s">
        <v>272</v>
      </c>
      <c r="E19" s="61">
        <v>44531</v>
      </c>
      <c r="F19" s="59">
        <v>201069</v>
      </c>
      <c r="G19">
        <f t="shared" si="0"/>
        <v>4</v>
      </c>
      <c r="J19" s="58">
        <v>57</v>
      </c>
      <c r="K19" s="59" t="s">
        <v>270</v>
      </c>
      <c r="L19" s="59" t="s">
        <v>272</v>
      </c>
      <c r="M19" s="61">
        <v>44378</v>
      </c>
      <c r="N19" s="58">
        <v>96209</v>
      </c>
      <c r="P19" s="58">
        <v>52</v>
      </c>
      <c r="Q19" s="59" t="s">
        <v>270</v>
      </c>
      <c r="R19" s="59" t="s">
        <v>274</v>
      </c>
      <c r="S19" s="61">
        <v>44378</v>
      </c>
      <c r="T19" s="58">
        <v>5850</v>
      </c>
      <c r="U19">
        <v>3</v>
      </c>
    </row>
    <row r="20" spans="2:21" x14ac:dyDescent="0.25">
      <c r="B20" s="58">
        <v>14</v>
      </c>
      <c r="C20" s="59" t="s">
        <v>270</v>
      </c>
      <c r="D20" s="59" t="s">
        <v>274</v>
      </c>
      <c r="E20" s="61">
        <v>44531</v>
      </c>
      <c r="F20" s="59">
        <v>74221</v>
      </c>
      <c r="G20">
        <f t="shared" si="0"/>
        <v>4</v>
      </c>
      <c r="J20" s="58">
        <v>63</v>
      </c>
      <c r="K20" s="59" t="s">
        <v>270</v>
      </c>
      <c r="L20" s="59" t="s">
        <v>272</v>
      </c>
      <c r="M20" s="61">
        <v>44348</v>
      </c>
      <c r="N20" s="58">
        <v>7110</v>
      </c>
      <c r="P20" s="58">
        <v>55</v>
      </c>
      <c r="Q20" s="59" t="s">
        <v>270</v>
      </c>
      <c r="R20" s="59" t="s">
        <v>271</v>
      </c>
      <c r="S20" s="61">
        <v>44409</v>
      </c>
      <c r="T20" s="58">
        <v>131983</v>
      </c>
      <c r="U20">
        <v>3</v>
      </c>
    </row>
    <row r="21" spans="2:21" x14ac:dyDescent="0.25">
      <c r="B21" s="58">
        <v>15</v>
      </c>
      <c r="C21" s="59" t="s">
        <v>270</v>
      </c>
      <c r="D21" s="59" t="s">
        <v>273</v>
      </c>
      <c r="E21" s="61">
        <v>44348</v>
      </c>
      <c r="F21" s="59">
        <v>155904</v>
      </c>
      <c r="G21">
        <f t="shared" si="0"/>
        <v>2</v>
      </c>
      <c r="J21" s="58">
        <v>79</v>
      </c>
      <c r="K21" s="59" t="s">
        <v>270</v>
      </c>
      <c r="L21" s="59" t="s">
        <v>272</v>
      </c>
      <c r="M21" s="61">
        <v>44348</v>
      </c>
      <c r="N21" s="58">
        <v>234786</v>
      </c>
      <c r="P21" s="58">
        <v>57</v>
      </c>
      <c r="Q21" s="59" t="s">
        <v>270</v>
      </c>
      <c r="R21" s="59" t="s">
        <v>272</v>
      </c>
      <c r="S21" s="61">
        <v>44378</v>
      </c>
      <c r="T21" s="58">
        <v>96209</v>
      </c>
      <c r="U21">
        <v>3</v>
      </c>
    </row>
    <row r="22" spans="2:21" x14ac:dyDescent="0.25">
      <c r="B22" s="58">
        <v>16</v>
      </c>
      <c r="C22" s="59" t="s">
        <v>270</v>
      </c>
      <c r="D22" s="59" t="s">
        <v>271</v>
      </c>
      <c r="E22" s="61">
        <v>44470</v>
      </c>
      <c r="F22" s="59">
        <v>-37886</v>
      </c>
      <c r="G22">
        <f t="shared" si="0"/>
        <v>4</v>
      </c>
      <c r="J22" s="58">
        <v>83</v>
      </c>
      <c r="K22" s="59" t="s">
        <v>276</v>
      </c>
      <c r="L22" s="59" t="s">
        <v>272</v>
      </c>
      <c r="M22" s="61">
        <v>44501</v>
      </c>
      <c r="N22" s="58">
        <v>25301</v>
      </c>
      <c r="P22" s="58">
        <v>61</v>
      </c>
      <c r="Q22" s="59" t="s">
        <v>270</v>
      </c>
      <c r="R22" s="59" t="s">
        <v>271</v>
      </c>
      <c r="S22" s="61">
        <v>44409</v>
      </c>
      <c r="T22" s="58">
        <v>19225</v>
      </c>
      <c r="U22">
        <v>3</v>
      </c>
    </row>
    <row r="23" spans="2:21" x14ac:dyDescent="0.25">
      <c r="B23" s="58">
        <v>17</v>
      </c>
      <c r="C23" s="59" t="s">
        <v>270</v>
      </c>
      <c r="D23" s="59" t="s">
        <v>273</v>
      </c>
      <c r="E23" s="61">
        <v>44531</v>
      </c>
      <c r="F23" s="59">
        <v>169991</v>
      </c>
      <c r="G23">
        <f t="shared" si="0"/>
        <v>4</v>
      </c>
      <c r="J23" s="58">
        <v>89</v>
      </c>
      <c r="K23" s="59" t="s">
        <v>278</v>
      </c>
      <c r="L23" s="59" t="s">
        <v>272</v>
      </c>
      <c r="M23" s="61">
        <v>44501</v>
      </c>
      <c r="N23" s="58">
        <v>211082</v>
      </c>
      <c r="P23" s="58">
        <v>75</v>
      </c>
      <c r="Q23" s="59" t="s">
        <v>270</v>
      </c>
      <c r="R23" s="59" t="s">
        <v>275</v>
      </c>
      <c r="S23" s="61">
        <v>44378</v>
      </c>
      <c r="T23" s="58">
        <v>7819</v>
      </c>
      <c r="U23">
        <v>3</v>
      </c>
    </row>
    <row r="24" spans="2:21" x14ac:dyDescent="0.25">
      <c r="B24" s="58">
        <v>18</v>
      </c>
      <c r="C24" s="59" t="s">
        <v>270</v>
      </c>
      <c r="D24" s="59" t="s">
        <v>274</v>
      </c>
      <c r="E24" s="61">
        <v>44501</v>
      </c>
      <c r="F24" s="59">
        <v>207031</v>
      </c>
      <c r="G24">
        <f t="shared" si="0"/>
        <v>4</v>
      </c>
      <c r="J24" s="58">
        <v>95</v>
      </c>
      <c r="K24" s="59" t="s">
        <v>277</v>
      </c>
      <c r="L24" s="59" t="s">
        <v>272</v>
      </c>
      <c r="M24" s="61">
        <v>44470</v>
      </c>
      <c r="N24" s="58">
        <v>13328</v>
      </c>
      <c r="P24" s="58">
        <v>76</v>
      </c>
      <c r="Q24" s="59" t="s">
        <v>270</v>
      </c>
      <c r="R24" s="59" t="s">
        <v>274</v>
      </c>
      <c r="S24" s="61">
        <v>44440</v>
      </c>
      <c r="T24" s="58">
        <v>193691</v>
      </c>
      <c r="U24">
        <v>3</v>
      </c>
    </row>
    <row r="25" spans="2:21" x14ac:dyDescent="0.25">
      <c r="B25" s="58">
        <v>19</v>
      </c>
      <c r="C25" s="59" t="s">
        <v>270</v>
      </c>
      <c r="D25" s="59" t="s">
        <v>271</v>
      </c>
      <c r="E25" s="61">
        <v>44501</v>
      </c>
      <c r="F25" s="59">
        <v>39668</v>
      </c>
      <c r="G25">
        <f t="shared" si="0"/>
        <v>4</v>
      </c>
      <c r="J25" s="58">
        <v>97</v>
      </c>
      <c r="K25" s="59" t="s">
        <v>278</v>
      </c>
      <c r="L25" s="59" t="s">
        <v>272</v>
      </c>
      <c r="M25" s="61">
        <v>44317</v>
      </c>
      <c r="N25" s="58">
        <v>258583</v>
      </c>
      <c r="P25" s="58">
        <v>77</v>
      </c>
      <c r="Q25" s="59" t="s">
        <v>270</v>
      </c>
      <c r="R25" s="59" t="s">
        <v>274</v>
      </c>
      <c r="S25" s="61">
        <v>44378</v>
      </c>
      <c r="T25" s="58">
        <v>229218</v>
      </c>
      <c r="U25">
        <v>3</v>
      </c>
    </row>
    <row r="26" spans="2:21" x14ac:dyDescent="0.25">
      <c r="B26" s="58">
        <v>20</v>
      </c>
      <c r="C26" s="59" t="s">
        <v>270</v>
      </c>
      <c r="D26" s="59" t="s">
        <v>275</v>
      </c>
      <c r="E26" s="61">
        <v>44228</v>
      </c>
      <c r="F26" s="59">
        <v>180474</v>
      </c>
      <c r="G26">
        <f t="shared" si="0"/>
        <v>1</v>
      </c>
      <c r="J26" s="58">
        <v>99</v>
      </c>
      <c r="K26" s="59" t="s">
        <v>276</v>
      </c>
      <c r="L26" s="59" t="s">
        <v>272</v>
      </c>
      <c r="M26" s="61">
        <v>44440</v>
      </c>
      <c r="N26" s="58">
        <v>147727</v>
      </c>
      <c r="P26" s="58">
        <v>81</v>
      </c>
      <c r="Q26" s="59" t="s">
        <v>276</v>
      </c>
      <c r="R26" s="59" t="s">
        <v>273</v>
      </c>
      <c r="S26" s="61">
        <v>44409</v>
      </c>
      <c r="T26" s="58">
        <v>22746</v>
      </c>
      <c r="U26">
        <v>3</v>
      </c>
    </row>
    <row r="27" spans="2:21" x14ac:dyDescent="0.25">
      <c r="B27" s="58">
        <v>21</v>
      </c>
      <c r="C27" s="59" t="s">
        <v>270</v>
      </c>
      <c r="D27" s="59" t="s">
        <v>274</v>
      </c>
      <c r="E27" s="61">
        <v>44197</v>
      </c>
      <c r="F27" s="59">
        <v>-7921</v>
      </c>
      <c r="G27">
        <f t="shared" si="0"/>
        <v>1</v>
      </c>
      <c r="J27" s="58">
        <v>100</v>
      </c>
      <c r="K27" s="59" t="s">
        <v>279</v>
      </c>
      <c r="L27" s="59" t="s">
        <v>272</v>
      </c>
      <c r="M27" s="61">
        <v>44409</v>
      </c>
      <c r="N27" s="58">
        <v>109849</v>
      </c>
      <c r="P27" s="58">
        <v>82</v>
      </c>
      <c r="Q27" s="59" t="s">
        <v>276</v>
      </c>
      <c r="R27" s="59" t="s">
        <v>274</v>
      </c>
      <c r="S27" s="61">
        <v>44409</v>
      </c>
      <c r="T27" s="58">
        <v>85536</v>
      </c>
      <c r="U27">
        <v>3</v>
      </c>
    </row>
    <row r="28" spans="2:21" x14ac:dyDescent="0.25">
      <c r="B28" s="58">
        <v>22</v>
      </c>
      <c r="C28" s="59" t="s">
        <v>276</v>
      </c>
      <c r="D28" s="59" t="s">
        <v>273</v>
      </c>
      <c r="E28" s="61">
        <v>44197</v>
      </c>
      <c r="F28" s="59">
        <v>193122</v>
      </c>
      <c r="G28">
        <f t="shared" si="0"/>
        <v>1</v>
      </c>
      <c r="J28" s="58">
        <v>101</v>
      </c>
      <c r="K28" s="59" t="s">
        <v>276</v>
      </c>
      <c r="L28" s="59" t="s">
        <v>272</v>
      </c>
      <c r="M28" s="61">
        <v>44470</v>
      </c>
      <c r="N28" s="58">
        <v>231047</v>
      </c>
      <c r="P28" s="58">
        <v>84</v>
      </c>
      <c r="Q28" s="59" t="s">
        <v>278</v>
      </c>
      <c r="R28" s="59" t="s">
        <v>274</v>
      </c>
      <c r="S28" s="61">
        <v>44378</v>
      </c>
      <c r="T28" s="58">
        <v>152936</v>
      </c>
      <c r="U28">
        <v>3</v>
      </c>
    </row>
    <row r="29" spans="2:21" x14ac:dyDescent="0.25">
      <c r="B29" s="58">
        <v>23</v>
      </c>
      <c r="C29" s="59" t="s">
        <v>277</v>
      </c>
      <c r="D29" s="59" t="s">
        <v>271</v>
      </c>
      <c r="E29" s="61">
        <v>44409</v>
      </c>
      <c r="F29" s="59">
        <v>149617</v>
      </c>
      <c r="G29">
        <f t="shared" si="0"/>
        <v>3</v>
      </c>
      <c r="J29" s="58">
        <v>113</v>
      </c>
      <c r="K29" s="59" t="s">
        <v>279</v>
      </c>
      <c r="L29" s="59" t="s">
        <v>272</v>
      </c>
      <c r="M29" s="61">
        <v>44378</v>
      </c>
      <c r="N29" s="58">
        <v>26819</v>
      </c>
      <c r="P29" s="58">
        <v>85</v>
      </c>
      <c r="Q29" s="59" t="s">
        <v>278</v>
      </c>
      <c r="R29" s="59" t="s">
        <v>274</v>
      </c>
      <c r="S29" s="61">
        <v>44409</v>
      </c>
      <c r="T29" s="58">
        <v>124717</v>
      </c>
      <c r="U29">
        <v>3</v>
      </c>
    </row>
    <row r="30" spans="2:21" x14ac:dyDescent="0.25">
      <c r="B30" s="58">
        <v>24</v>
      </c>
      <c r="C30" s="59" t="s">
        <v>276</v>
      </c>
      <c r="D30" s="59" t="s">
        <v>274</v>
      </c>
      <c r="E30" s="61">
        <v>44470</v>
      </c>
      <c r="F30" s="59">
        <v>93656</v>
      </c>
      <c r="G30">
        <f t="shared" si="0"/>
        <v>4</v>
      </c>
      <c r="J30" s="58">
        <v>114</v>
      </c>
      <c r="K30" s="59" t="s">
        <v>276</v>
      </c>
      <c r="L30" s="59" t="s">
        <v>272</v>
      </c>
      <c r="M30" s="61">
        <v>44348</v>
      </c>
      <c r="N30" s="58">
        <v>139728</v>
      </c>
      <c r="P30" s="58">
        <v>87</v>
      </c>
      <c r="Q30" s="59" t="s">
        <v>279</v>
      </c>
      <c r="R30" s="59" t="s">
        <v>275</v>
      </c>
      <c r="S30" s="61">
        <v>44409</v>
      </c>
      <c r="T30" s="58">
        <v>99343</v>
      </c>
      <c r="U30">
        <v>3</v>
      </c>
    </row>
    <row r="31" spans="2:21" x14ac:dyDescent="0.25">
      <c r="B31" s="58">
        <v>25</v>
      </c>
      <c r="C31" s="59" t="s">
        <v>278</v>
      </c>
      <c r="D31" s="59" t="s">
        <v>272</v>
      </c>
      <c r="E31" s="61">
        <v>44440</v>
      </c>
      <c r="F31" s="59">
        <v>60921</v>
      </c>
      <c r="G31">
        <f t="shared" si="0"/>
        <v>3</v>
      </c>
      <c r="J31" s="58">
        <v>117</v>
      </c>
      <c r="K31" s="59" t="s">
        <v>279</v>
      </c>
      <c r="L31" s="59" t="s">
        <v>272</v>
      </c>
      <c r="M31" s="61">
        <v>44317</v>
      </c>
      <c r="N31" s="58">
        <v>57755</v>
      </c>
      <c r="P31" s="58">
        <v>99</v>
      </c>
      <c r="Q31" s="59" t="s">
        <v>276</v>
      </c>
      <c r="R31" s="59" t="s">
        <v>272</v>
      </c>
      <c r="S31" s="61">
        <v>44440</v>
      </c>
      <c r="T31" s="58">
        <v>147727</v>
      </c>
      <c r="U31">
        <v>3</v>
      </c>
    </row>
    <row r="32" spans="2:21" x14ac:dyDescent="0.25">
      <c r="B32" s="58">
        <v>26</v>
      </c>
      <c r="C32" s="59" t="s">
        <v>279</v>
      </c>
      <c r="D32" s="59" t="s">
        <v>272</v>
      </c>
      <c r="E32" s="61">
        <v>44197</v>
      </c>
      <c r="F32" s="59">
        <v>180969</v>
      </c>
      <c r="G32">
        <f t="shared" si="0"/>
        <v>1</v>
      </c>
      <c r="J32" s="58">
        <v>123</v>
      </c>
      <c r="K32" s="59" t="s">
        <v>270</v>
      </c>
      <c r="L32" s="59" t="s">
        <v>272</v>
      </c>
      <c r="M32" s="61">
        <v>44348</v>
      </c>
      <c r="N32" s="58">
        <v>115261</v>
      </c>
      <c r="P32" s="58">
        <v>100</v>
      </c>
      <c r="Q32" s="59" t="s">
        <v>279</v>
      </c>
      <c r="R32" s="59" t="s">
        <v>272</v>
      </c>
      <c r="S32" s="61">
        <v>44409</v>
      </c>
      <c r="T32" s="58">
        <v>109849</v>
      </c>
      <c r="U32">
        <v>3</v>
      </c>
    </row>
    <row r="33" spans="2:21" x14ac:dyDescent="0.25">
      <c r="B33" s="58">
        <v>27</v>
      </c>
      <c r="C33" s="59" t="s">
        <v>278</v>
      </c>
      <c r="D33" s="59" t="s">
        <v>275</v>
      </c>
      <c r="E33" s="61">
        <v>44317</v>
      </c>
      <c r="F33" s="59">
        <v>166490</v>
      </c>
      <c r="G33">
        <f t="shared" si="0"/>
        <v>2</v>
      </c>
      <c r="J33" s="58">
        <v>125</v>
      </c>
      <c r="K33" s="59" t="s">
        <v>270</v>
      </c>
      <c r="L33" s="59" t="s">
        <v>272</v>
      </c>
      <c r="M33" s="61">
        <v>44531</v>
      </c>
      <c r="N33" s="58">
        <v>9682</v>
      </c>
      <c r="P33" s="58">
        <v>102</v>
      </c>
      <c r="Q33" s="59" t="s">
        <v>278</v>
      </c>
      <c r="R33" s="59" t="s">
        <v>271</v>
      </c>
      <c r="S33" s="61">
        <v>44378</v>
      </c>
      <c r="T33" s="58">
        <v>219148</v>
      </c>
      <c r="U33">
        <v>3</v>
      </c>
    </row>
    <row r="34" spans="2:21" x14ac:dyDescent="0.25">
      <c r="B34" s="58">
        <v>28</v>
      </c>
      <c r="C34" s="59" t="s">
        <v>276</v>
      </c>
      <c r="D34" s="59" t="s">
        <v>275</v>
      </c>
      <c r="E34" s="61">
        <v>44378</v>
      </c>
      <c r="F34" s="59">
        <v>12909</v>
      </c>
      <c r="G34">
        <f t="shared" si="0"/>
        <v>3</v>
      </c>
      <c r="J34" s="58">
        <v>133</v>
      </c>
      <c r="K34" s="59" t="s">
        <v>270</v>
      </c>
      <c r="L34" s="59" t="s">
        <v>272</v>
      </c>
      <c r="M34" s="61">
        <v>44197</v>
      </c>
      <c r="N34" s="58">
        <v>142596</v>
      </c>
      <c r="P34" s="58">
        <v>106</v>
      </c>
      <c r="Q34" s="59" t="s">
        <v>276</v>
      </c>
      <c r="R34" s="59" t="s">
        <v>271</v>
      </c>
      <c r="S34" s="61">
        <v>44440</v>
      </c>
      <c r="T34" s="58">
        <v>213879</v>
      </c>
      <c r="U34">
        <v>3</v>
      </c>
    </row>
    <row r="35" spans="2:21" x14ac:dyDescent="0.25">
      <c r="B35" s="58">
        <v>29</v>
      </c>
      <c r="C35" s="59" t="s">
        <v>278</v>
      </c>
      <c r="D35" s="59" t="s">
        <v>275</v>
      </c>
      <c r="E35" s="61">
        <v>44531</v>
      </c>
      <c r="F35" s="59">
        <v>219249</v>
      </c>
      <c r="G35">
        <f t="shared" si="0"/>
        <v>4</v>
      </c>
      <c r="J35" s="58">
        <v>134</v>
      </c>
      <c r="K35" s="59" t="s">
        <v>270</v>
      </c>
      <c r="L35" s="59" t="s">
        <v>272</v>
      </c>
      <c r="M35" s="61">
        <v>44348</v>
      </c>
      <c r="N35" s="58">
        <v>165992</v>
      </c>
      <c r="P35" s="58">
        <v>111</v>
      </c>
      <c r="Q35" s="59" t="s">
        <v>279</v>
      </c>
      <c r="R35" s="59" t="s">
        <v>273</v>
      </c>
      <c r="S35" s="61">
        <v>44378</v>
      </c>
      <c r="T35" s="58">
        <v>36547</v>
      </c>
      <c r="U35">
        <v>3</v>
      </c>
    </row>
    <row r="36" spans="2:21" x14ac:dyDescent="0.25">
      <c r="B36" s="58">
        <v>30</v>
      </c>
      <c r="C36" s="59" t="s">
        <v>276</v>
      </c>
      <c r="D36" s="59" t="s">
        <v>275</v>
      </c>
      <c r="E36" s="61">
        <v>44378</v>
      </c>
      <c r="F36" s="59">
        <v>36046</v>
      </c>
      <c r="G36">
        <f t="shared" si="0"/>
        <v>3</v>
      </c>
      <c r="J36" s="58">
        <v>138</v>
      </c>
      <c r="K36" s="59" t="s">
        <v>270</v>
      </c>
      <c r="L36" s="59" t="s">
        <v>272</v>
      </c>
      <c r="M36" s="61">
        <v>44378</v>
      </c>
      <c r="N36" s="58">
        <v>44394</v>
      </c>
      <c r="P36" s="58">
        <v>113</v>
      </c>
      <c r="Q36" s="59" t="s">
        <v>279</v>
      </c>
      <c r="R36" s="59" t="s">
        <v>272</v>
      </c>
      <c r="S36" s="61">
        <v>44378</v>
      </c>
      <c r="T36" s="58">
        <v>26819</v>
      </c>
      <c r="U36">
        <v>3</v>
      </c>
    </row>
    <row r="37" spans="2:21" x14ac:dyDescent="0.25">
      <c r="B37" s="58">
        <v>31</v>
      </c>
      <c r="C37" s="59" t="s">
        <v>278</v>
      </c>
      <c r="D37" s="59" t="s">
        <v>272</v>
      </c>
      <c r="E37" s="61">
        <v>44409</v>
      </c>
      <c r="F37" s="59">
        <v>87532</v>
      </c>
      <c r="G37">
        <f t="shared" si="0"/>
        <v>3</v>
      </c>
      <c r="J37" s="58">
        <v>144</v>
      </c>
      <c r="K37" s="59" t="s">
        <v>270</v>
      </c>
      <c r="L37" s="59" t="s">
        <v>272</v>
      </c>
      <c r="M37" s="61">
        <v>44287</v>
      </c>
      <c r="N37" s="58">
        <v>35096</v>
      </c>
      <c r="P37" s="58">
        <v>115</v>
      </c>
      <c r="Q37" s="59" t="s">
        <v>279</v>
      </c>
      <c r="R37" s="59" t="s">
        <v>273</v>
      </c>
      <c r="S37" s="61">
        <v>44440</v>
      </c>
      <c r="T37" s="58">
        <v>220591</v>
      </c>
      <c r="U37">
        <v>3</v>
      </c>
    </row>
    <row r="38" spans="2:21" x14ac:dyDescent="0.25">
      <c r="B38" s="58">
        <v>32</v>
      </c>
      <c r="C38" s="59" t="s">
        <v>277</v>
      </c>
      <c r="D38" s="59" t="s">
        <v>272</v>
      </c>
      <c r="E38" s="61">
        <v>44531</v>
      </c>
      <c r="F38" s="59">
        <v>82089</v>
      </c>
      <c r="G38">
        <f t="shared" si="0"/>
        <v>4</v>
      </c>
      <c r="J38" s="58">
        <v>151</v>
      </c>
      <c r="K38" s="59" t="s">
        <v>270</v>
      </c>
      <c r="L38" s="59" t="s">
        <v>272</v>
      </c>
      <c r="M38" s="61">
        <v>44378</v>
      </c>
      <c r="N38" s="58">
        <v>173616</v>
      </c>
      <c r="P38" s="58">
        <v>118</v>
      </c>
      <c r="Q38" s="59" t="s">
        <v>277</v>
      </c>
      <c r="R38" s="59" t="s">
        <v>273</v>
      </c>
      <c r="S38" s="61">
        <v>44409</v>
      </c>
      <c r="T38" s="58">
        <v>102572</v>
      </c>
      <c r="U38">
        <v>3</v>
      </c>
    </row>
    <row r="39" spans="2:21" x14ac:dyDescent="0.25">
      <c r="B39" s="58">
        <v>33</v>
      </c>
      <c r="C39" s="59" t="s">
        <v>278</v>
      </c>
      <c r="D39" s="59" t="s">
        <v>271</v>
      </c>
      <c r="E39" s="61">
        <v>44440</v>
      </c>
      <c r="F39" s="59">
        <v>242254</v>
      </c>
      <c r="G39">
        <f t="shared" si="0"/>
        <v>3</v>
      </c>
      <c r="J39" s="58">
        <v>156</v>
      </c>
      <c r="K39" s="59" t="s">
        <v>276</v>
      </c>
      <c r="L39" s="59" t="s">
        <v>272</v>
      </c>
      <c r="M39" s="61">
        <v>44348</v>
      </c>
      <c r="N39" s="58">
        <v>95791</v>
      </c>
      <c r="P39" s="58">
        <v>119</v>
      </c>
      <c r="Q39" s="59" t="s">
        <v>276</v>
      </c>
      <c r="R39" s="59" t="s">
        <v>275</v>
      </c>
      <c r="S39" s="61">
        <v>44409</v>
      </c>
      <c r="T39" s="58">
        <v>229197</v>
      </c>
      <c r="U39">
        <v>3</v>
      </c>
    </row>
    <row r="40" spans="2:21" x14ac:dyDescent="0.25">
      <c r="B40" s="58">
        <v>34</v>
      </c>
      <c r="C40" s="59" t="s">
        <v>276</v>
      </c>
      <c r="D40" s="59" t="s">
        <v>272</v>
      </c>
      <c r="E40" s="61">
        <v>44378</v>
      </c>
      <c r="F40" s="59">
        <v>57399</v>
      </c>
      <c r="G40">
        <f t="shared" si="0"/>
        <v>3</v>
      </c>
      <c r="J40" s="58">
        <v>164</v>
      </c>
      <c r="K40" s="59" t="s">
        <v>278</v>
      </c>
      <c r="L40" s="59" t="s">
        <v>272</v>
      </c>
      <c r="M40" s="61">
        <v>44531</v>
      </c>
      <c r="N40" s="58">
        <v>112636</v>
      </c>
      <c r="P40" s="58">
        <v>120</v>
      </c>
      <c r="Q40" s="59" t="s">
        <v>279</v>
      </c>
      <c r="R40" s="59" t="s">
        <v>273</v>
      </c>
      <c r="S40" s="61">
        <v>44409</v>
      </c>
      <c r="T40" s="58">
        <v>19002</v>
      </c>
      <c r="U40">
        <v>3</v>
      </c>
    </row>
    <row r="41" spans="2:21" x14ac:dyDescent="0.25">
      <c r="B41" s="58">
        <v>35</v>
      </c>
      <c r="C41" s="59" t="s">
        <v>277</v>
      </c>
      <c r="D41" s="59" t="s">
        <v>271</v>
      </c>
      <c r="E41" s="61">
        <v>44197</v>
      </c>
      <c r="F41" s="59">
        <v>244677</v>
      </c>
      <c r="G41">
        <f t="shared" si="0"/>
        <v>1</v>
      </c>
      <c r="J41" s="58">
        <v>167</v>
      </c>
      <c r="K41" s="59" t="s">
        <v>278</v>
      </c>
      <c r="L41" s="59" t="s">
        <v>272</v>
      </c>
      <c r="M41" s="61">
        <v>44317</v>
      </c>
      <c r="N41" s="58">
        <v>223042</v>
      </c>
      <c r="P41" s="58">
        <v>121</v>
      </c>
      <c r="Q41" s="59" t="s">
        <v>270</v>
      </c>
      <c r="R41" s="59" t="s">
        <v>271</v>
      </c>
      <c r="S41" s="61">
        <v>44440</v>
      </c>
      <c r="T41" s="58">
        <v>209590</v>
      </c>
      <c r="U41">
        <v>3</v>
      </c>
    </row>
    <row r="42" spans="2:21" x14ac:dyDescent="0.25">
      <c r="B42" s="58">
        <v>36</v>
      </c>
      <c r="C42" s="59" t="s">
        <v>278</v>
      </c>
      <c r="D42" s="59" t="s">
        <v>275</v>
      </c>
      <c r="E42" s="61">
        <v>44409</v>
      </c>
      <c r="F42" s="59">
        <v>55010</v>
      </c>
      <c r="G42">
        <f t="shared" si="0"/>
        <v>3</v>
      </c>
      <c r="J42" s="58">
        <v>168</v>
      </c>
      <c r="K42" s="59" t="s">
        <v>277</v>
      </c>
      <c r="L42" s="59" t="s">
        <v>272</v>
      </c>
      <c r="M42" s="61">
        <v>44378</v>
      </c>
      <c r="N42" s="58">
        <v>185869</v>
      </c>
      <c r="P42" s="58">
        <v>132</v>
      </c>
      <c r="Q42" s="59" t="s">
        <v>270</v>
      </c>
      <c r="R42" s="59" t="s">
        <v>274</v>
      </c>
      <c r="S42" s="61">
        <v>44440</v>
      </c>
      <c r="T42" s="58">
        <v>27327</v>
      </c>
      <c r="U42">
        <v>3</v>
      </c>
    </row>
    <row r="43" spans="2:21" x14ac:dyDescent="0.25">
      <c r="B43" s="58">
        <v>37</v>
      </c>
      <c r="C43" s="59" t="s">
        <v>278</v>
      </c>
      <c r="D43" s="59" t="s">
        <v>274</v>
      </c>
      <c r="E43" s="61">
        <v>44531</v>
      </c>
      <c r="F43" s="59">
        <v>142874</v>
      </c>
      <c r="G43">
        <f t="shared" si="0"/>
        <v>4</v>
      </c>
      <c r="J43" s="58">
        <v>169</v>
      </c>
      <c r="K43" s="59" t="s">
        <v>277</v>
      </c>
      <c r="L43" s="59" t="s">
        <v>272</v>
      </c>
      <c r="M43" s="61">
        <v>44287</v>
      </c>
      <c r="N43" s="58">
        <v>73394</v>
      </c>
      <c r="P43" s="58">
        <v>138</v>
      </c>
      <c r="Q43" s="59" t="s">
        <v>270</v>
      </c>
      <c r="R43" s="59" t="s">
        <v>272</v>
      </c>
      <c r="S43" s="61">
        <v>44378</v>
      </c>
      <c r="T43" s="58">
        <v>44394</v>
      </c>
      <c r="U43">
        <v>3</v>
      </c>
    </row>
    <row r="44" spans="2:21" x14ac:dyDescent="0.25">
      <c r="B44" s="58">
        <v>38</v>
      </c>
      <c r="C44" s="59" t="s">
        <v>277</v>
      </c>
      <c r="D44" s="59" t="s">
        <v>271</v>
      </c>
      <c r="E44" s="61">
        <v>44531</v>
      </c>
      <c r="F44" s="59">
        <v>166353</v>
      </c>
      <c r="G44">
        <f t="shared" si="0"/>
        <v>4</v>
      </c>
      <c r="J44" s="58">
        <v>170</v>
      </c>
      <c r="K44" s="59" t="s">
        <v>276</v>
      </c>
      <c r="L44" s="59" t="s">
        <v>272</v>
      </c>
      <c r="M44" s="61">
        <v>44348</v>
      </c>
      <c r="N44" s="58">
        <v>254580</v>
      </c>
      <c r="P44" s="58">
        <v>139</v>
      </c>
      <c r="Q44" s="59" t="s">
        <v>270</v>
      </c>
      <c r="R44" s="59" t="s">
        <v>271</v>
      </c>
      <c r="S44" s="61">
        <v>44440</v>
      </c>
      <c r="T44" s="58">
        <v>217075</v>
      </c>
      <c r="U44">
        <v>3</v>
      </c>
    </row>
    <row r="45" spans="2:21" x14ac:dyDescent="0.25">
      <c r="B45" s="58">
        <v>39</v>
      </c>
      <c r="C45" s="59" t="s">
        <v>276</v>
      </c>
      <c r="D45" s="59" t="s">
        <v>275</v>
      </c>
      <c r="E45" s="61">
        <v>44531</v>
      </c>
      <c r="F45" s="59">
        <v>47888</v>
      </c>
      <c r="G45">
        <f t="shared" si="0"/>
        <v>4</v>
      </c>
      <c r="J45" s="58">
        <v>176</v>
      </c>
      <c r="K45" s="59" t="s">
        <v>276</v>
      </c>
      <c r="L45" s="59" t="s">
        <v>272</v>
      </c>
      <c r="M45" s="61">
        <v>44287</v>
      </c>
      <c r="N45" s="58">
        <v>259</v>
      </c>
      <c r="P45" s="58">
        <v>142</v>
      </c>
      <c r="Q45" s="59" t="s">
        <v>270</v>
      </c>
      <c r="R45" s="59" t="s">
        <v>275</v>
      </c>
      <c r="S45" s="61">
        <v>44409</v>
      </c>
      <c r="T45" s="58">
        <v>217962</v>
      </c>
      <c r="U45">
        <v>3</v>
      </c>
    </row>
    <row r="46" spans="2:21" x14ac:dyDescent="0.25">
      <c r="B46" s="58">
        <v>40</v>
      </c>
      <c r="C46" s="59" t="s">
        <v>279</v>
      </c>
      <c r="D46" s="59" t="s">
        <v>271</v>
      </c>
      <c r="E46" s="61">
        <v>44409</v>
      </c>
      <c r="F46" s="59">
        <v>86220</v>
      </c>
      <c r="G46">
        <f t="shared" si="0"/>
        <v>3</v>
      </c>
      <c r="J46" s="58">
        <v>182</v>
      </c>
      <c r="K46" s="59" t="s">
        <v>279</v>
      </c>
      <c r="L46" s="59" t="s">
        <v>272</v>
      </c>
      <c r="M46" s="61">
        <v>44317</v>
      </c>
      <c r="N46" s="58">
        <v>164464</v>
      </c>
      <c r="P46" s="58">
        <v>145</v>
      </c>
      <c r="Q46" s="59" t="s">
        <v>270</v>
      </c>
      <c r="R46" s="59" t="s">
        <v>275</v>
      </c>
      <c r="S46" s="61">
        <v>44378</v>
      </c>
      <c r="T46" s="58">
        <v>64755</v>
      </c>
      <c r="U46">
        <v>3</v>
      </c>
    </row>
    <row r="47" spans="2:21" x14ac:dyDescent="0.25">
      <c r="B47" s="58">
        <v>41</v>
      </c>
      <c r="C47" s="59" t="s">
        <v>277</v>
      </c>
      <c r="D47" s="59" t="s">
        <v>271</v>
      </c>
      <c r="E47" s="61">
        <v>44287</v>
      </c>
      <c r="F47" s="59">
        <v>27542</v>
      </c>
      <c r="G47">
        <f t="shared" si="0"/>
        <v>2</v>
      </c>
      <c r="J47" s="58">
        <v>189</v>
      </c>
      <c r="K47" s="59" t="s">
        <v>270</v>
      </c>
      <c r="L47" s="59" t="s">
        <v>272</v>
      </c>
      <c r="M47" s="61">
        <v>44228</v>
      </c>
      <c r="N47" s="58">
        <v>210276</v>
      </c>
      <c r="P47" s="58">
        <v>148</v>
      </c>
      <c r="Q47" s="59" t="s">
        <v>270</v>
      </c>
      <c r="R47" s="59" t="s">
        <v>271</v>
      </c>
      <c r="S47" s="61">
        <v>44409</v>
      </c>
      <c r="T47" s="58">
        <v>191733</v>
      </c>
      <c r="U47">
        <v>3</v>
      </c>
    </row>
    <row r="48" spans="2:21" x14ac:dyDescent="0.25">
      <c r="B48" s="58">
        <v>42</v>
      </c>
      <c r="C48" s="59" t="s">
        <v>279</v>
      </c>
      <c r="D48" s="59" t="s">
        <v>271</v>
      </c>
      <c r="E48" s="61">
        <v>44287</v>
      </c>
      <c r="F48" s="59">
        <v>173199</v>
      </c>
      <c r="G48">
        <f t="shared" si="0"/>
        <v>2</v>
      </c>
      <c r="J48" s="58">
        <v>190</v>
      </c>
      <c r="K48" s="59" t="s">
        <v>270</v>
      </c>
      <c r="L48" s="59" t="s">
        <v>272</v>
      </c>
      <c r="M48" s="61">
        <v>44228</v>
      </c>
      <c r="N48" s="58">
        <v>86142</v>
      </c>
      <c r="P48" s="58">
        <v>150</v>
      </c>
      <c r="Q48" s="59" t="s">
        <v>270</v>
      </c>
      <c r="R48" s="59" t="s">
        <v>274</v>
      </c>
      <c r="S48" s="61">
        <v>44440</v>
      </c>
      <c r="T48" s="58">
        <v>242971</v>
      </c>
      <c r="U48">
        <v>3</v>
      </c>
    </row>
    <row r="49" spans="2:21" x14ac:dyDescent="0.25">
      <c r="B49" s="58">
        <v>43</v>
      </c>
      <c r="C49" s="59" t="s">
        <v>277</v>
      </c>
      <c r="D49" s="59" t="s">
        <v>273</v>
      </c>
      <c r="E49" s="61">
        <v>44409</v>
      </c>
      <c r="F49" s="59">
        <v>17711</v>
      </c>
      <c r="G49">
        <f t="shared" si="0"/>
        <v>3</v>
      </c>
      <c r="J49" s="58">
        <v>203</v>
      </c>
      <c r="K49" s="59" t="s">
        <v>279</v>
      </c>
      <c r="L49" s="59" t="s">
        <v>272</v>
      </c>
      <c r="M49" s="61">
        <v>44531</v>
      </c>
      <c r="N49" s="58">
        <v>71529</v>
      </c>
      <c r="P49" s="58">
        <v>151</v>
      </c>
      <c r="Q49" s="59" t="s">
        <v>270</v>
      </c>
      <c r="R49" s="59" t="s">
        <v>272</v>
      </c>
      <c r="S49" s="61">
        <v>44378</v>
      </c>
      <c r="T49" s="58">
        <v>173616</v>
      </c>
      <c r="U49">
        <v>3</v>
      </c>
    </row>
    <row r="50" spans="2:21" x14ac:dyDescent="0.25">
      <c r="B50" s="58">
        <v>44</v>
      </c>
      <c r="C50" s="59" t="s">
        <v>278</v>
      </c>
      <c r="D50" s="59" t="s">
        <v>271</v>
      </c>
      <c r="E50" s="61">
        <v>44470</v>
      </c>
      <c r="F50" s="59">
        <v>18670</v>
      </c>
      <c r="G50">
        <f t="shared" si="0"/>
        <v>4</v>
      </c>
      <c r="J50" s="58">
        <v>207</v>
      </c>
      <c r="K50" s="59" t="s">
        <v>278</v>
      </c>
      <c r="L50" s="59" t="s">
        <v>272</v>
      </c>
      <c r="M50" s="61">
        <v>44440</v>
      </c>
      <c r="N50" s="58">
        <v>258051</v>
      </c>
      <c r="P50" s="58">
        <v>166</v>
      </c>
      <c r="Q50" s="59" t="s">
        <v>279</v>
      </c>
      <c r="R50" s="59" t="s">
        <v>275</v>
      </c>
      <c r="S50" s="61">
        <v>44378</v>
      </c>
      <c r="T50" s="58">
        <v>23560</v>
      </c>
      <c r="U50">
        <v>3</v>
      </c>
    </row>
    <row r="51" spans="2:21" x14ac:dyDescent="0.25">
      <c r="B51" s="58">
        <v>45</v>
      </c>
      <c r="C51" s="59" t="s">
        <v>278</v>
      </c>
      <c r="D51" s="59" t="s">
        <v>273</v>
      </c>
      <c r="E51" s="61">
        <v>44256</v>
      </c>
      <c r="F51" s="59">
        <v>87460</v>
      </c>
      <c r="G51">
        <f t="shared" si="0"/>
        <v>1</v>
      </c>
      <c r="J51" s="58">
        <v>217</v>
      </c>
      <c r="K51" s="59" t="s">
        <v>276</v>
      </c>
      <c r="L51" s="59" t="s">
        <v>272</v>
      </c>
      <c r="M51" s="61">
        <v>44348</v>
      </c>
      <c r="N51" s="58">
        <v>159478</v>
      </c>
      <c r="P51" s="58">
        <v>168</v>
      </c>
      <c r="Q51" s="59" t="s">
        <v>277</v>
      </c>
      <c r="R51" s="59" t="s">
        <v>272</v>
      </c>
      <c r="S51" s="61">
        <v>44378</v>
      </c>
      <c r="T51" s="58">
        <v>185869</v>
      </c>
      <c r="U51">
        <v>3</v>
      </c>
    </row>
    <row r="52" spans="2:21" x14ac:dyDescent="0.25">
      <c r="B52" s="58">
        <v>46</v>
      </c>
      <c r="C52" s="59" t="s">
        <v>278</v>
      </c>
      <c r="D52" s="59" t="s">
        <v>275</v>
      </c>
      <c r="E52" s="61">
        <v>44348</v>
      </c>
      <c r="F52" s="59">
        <v>17043</v>
      </c>
      <c r="G52">
        <f t="shared" si="0"/>
        <v>2</v>
      </c>
      <c r="J52" s="58">
        <v>220</v>
      </c>
      <c r="K52" s="59" t="s">
        <v>278</v>
      </c>
      <c r="L52" s="59" t="s">
        <v>272</v>
      </c>
      <c r="M52" s="61">
        <v>44287</v>
      </c>
      <c r="N52" s="58">
        <v>89649</v>
      </c>
      <c r="P52" s="58">
        <v>187</v>
      </c>
      <c r="Q52" s="59" t="s">
        <v>270</v>
      </c>
      <c r="R52" s="59" t="s">
        <v>274</v>
      </c>
      <c r="S52" s="61">
        <v>44409</v>
      </c>
      <c r="T52" s="58">
        <v>67090</v>
      </c>
      <c r="U52">
        <v>3</v>
      </c>
    </row>
    <row r="53" spans="2:21" x14ac:dyDescent="0.25">
      <c r="B53" s="58">
        <v>47</v>
      </c>
      <c r="C53" s="59" t="s">
        <v>270</v>
      </c>
      <c r="D53" s="59" t="s">
        <v>272</v>
      </c>
      <c r="E53" s="61">
        <v>44197</v>
      </c>
      <c r="F53" s="58">
        <v>48442</v>
      </c>
      <c r="G53">
        <f t="shared" si="0"/>
        <v>1</v>
      </c>
      <c r="J53" s="58">
        <v>221</v>
      </c>
      <c r="K53" s="59" t="s">
        <v>279</v>
      </c>
      <c r="L53" s="59" t="s">
        <v>272</v>
      </c>
      <c r="M53" s="61">
        <v>44287</v>
      </c>
      <c r="N53" s="58">
        <v>42319</v>
      </c>
      <c r="P53" s="58">
        <v>188</v>
      </c>
      <c r="Q53" s="59" t="s">
        <v>270</v>
      </c>
      <c r="R53" s="59" t="s">
        <v>274</v>
      </c>
      <c r="S53" s="61">
        <v>44440</v>
      </c>
      <c r="T53" s="58">
        <v>13179</v>
      </c>
      <c r="U53">
        <v>3</v>
      </c>
    </row>
    <row r="54" spans="2:21" x14ac:dyDescent="0.25">
      <c r="B54" s="58">
        <v>48</v>
      </c>
      <c r="C54" s="59" t="s">
        <v>270</v>
      </c>
      <c r="D54" s="59" t="s">
        <v>274</v>
      </c>
      <c r="E54" s="61">
        <v>44287</v>
      </c>
      <c r="F54" s="58">
        <v>175220</v>
      </c>
      <c r="G54">
        <f t="shared" si="0"/>
        <v>2</v>
      </c>
      <c r="J54" s="58">
        <v>222</v>
      </c>
      <c r="K54" s="59" t="s">
        <v>277</v>
      </c>
      <c r="L54" s="59" t="s">
        <v>272</v>
      </c>
      <c r="M54" s="61">
        <v>44317</v>
      </c>
      <c r="N54" s="58">
        <v>1519</v>
      </c>
      <c r="P54" s="58">
        <v>192</v>
      </c>
      <c r="Q54" s="59" t="s">
        <v>270</v>
      </c>
      <c r="R54" s="59" t="s">
        <v>273</v>
      </c>
      <c r="S54" s="61">
        <v>44378</v>
      </c>
      <c r="T54" s="58">
        <v>86843</v>
      </c>
      <c r="U54">
        <v>3</v>
      </c>
    </row>
    <row r="55" spans="2:21" x14ac:dyDescent="0.25">
      <c r="B55" s="58">
        <v>49</v>
      </c>
      <c r="C55" s="59" t="s">
        <v>270</v>
      </c>
      <c r="D55" s="59" t="s">
        <v>272</v>
      </c>
      <c r="E55" s="61">
        <v>44501</v>
      </c>
      <c r="F55" s="58">
        <v>146394</v>
      </c>
      <c r="G55">
        <f t="shared" si="0"/>
        <v>4</v>
      </c>
      <c r="J55" s="58">
        <v>229</v>
      </c>
      <c r="K55" s="59" t="s">
        <v>279</v>
      </c>
      <c r="L55" s="59" t="s">
        <v>272</v>
      </c>
      <c r="M55" s="61">
        <v>44531</v>
      </c>
      <c r="N55" s="58">
        <v>12709</v>
      </c>
      <c r="P55" s="58">
        <v>196</v>
      </c>
      <c r="Q55" s="59" t="s">
        <v>270</v>
      </c>
      <c r="R55" s="59" t="s">
        <v>274</v>
      </c>
      <c r="S55" s="61">
        <v>44378</v>
      </c>
      <c r="T55" s="58">
        <v>103592</v>
      </c>
      <c r="U55">
        <v>3</v>
      </c>
    </row>
    <row r="56" spans="2:21" x14ac:dyDescent="0.25">
      <c r="B56" s="58">
        <v>50</v>
      </c>
      <c r="C56" s="59" t="s">
        <v>270</v>
      </c>
      <c r="D56" s="59" t="s">
        <v>273</v>
      </c>
      <c r="E56" s="61">
        <v>44531</v>
      </c>
      <c r="F56" s="58">
        <v>158679</v>
      </c>
      <c r="G56">
        <f t="shared" si="0"/>
        <v>4</v>
      </c>
      <c r="J56" s="58">
        <v>231</v>
      </c>
      <c r="K56" s="59" t="s">
        <v>278</v>
      </c>
      <c r="L56" s="59" t="s">
        <v>272</v>
      </c>
      <c r="M56" s="61">
        <v>44501</v>
      </c>
      <c r="N56" s="58">
        <v>39271</v>
      </c>
      <c r="P56" s="58">
        <v>198</v>
      </c>
      <c r="Q56" s="59" t="s">
        <v>270</v>
      </c>
      <c r="R56" s="59" t="s">
        <v>271</v>
      </c>
      <c r="S56" s="61">
        <v>44378</v>
      </c>
      <c r="T56" s="58">
        <v>138473</v>
      </c>
      <c r="U56">
        <v>3</v>
      </c>
    </row>
    <row r="57" spans="2:21" x14ac:dyDescent="0.25">
      <c r="B57" s="58">
        <v>51</v>
      </c>
      <c r="C57" s="59" t="s">
        <v>270</v>
      </c>
      <c r="D57" s="59" t="s">
        <v>275</v>
      </c>
      <c r="E57" s="61">
        <v>44501</v>
      </c>
      <c r="F57" s="58">
        <v>86186</v>
      </c>
      <c r="G57">
        <f t="shared" si="0"/>
        <v>4</v>
      </c>
      <c r="J57" s="58">
        <v>234</v>
      </c>
      <c r="K57" s="59" t="s">
        <v>279</v>
      </c>
      <c r="L57" s="59" t="s">
        <v>272</v>
      </c>
      <c r="M57" s="61">
        <v>44470</v>
      </c>
      <c r="N57" s="58">
        <v>236531</v>
      </c>
      <c r="P57" s="58">
        <v>200</v>
      </c>
      <c r="Q57" s="59" t="s">
        <v>270</v>
      </c>
      <c r="R57" s="59" t="s">
        <v>274</v>
      </c>
      <c r="S57" s="61">
        <v>44409</v>
      </c>
      <c r="T57" s="58">
        <v>10877</v>
      </c>
      <c r="U57">
        <v>3</v>
      </c>
    </row>
    <row r="58" spans="2:21" x14ac:dyDescent="0.25">
      <c r="B58" s="58">
        <v>52</v>
      </c>
      <c r="C58" s="59" t="s">
        <v>270</v>
      </c>
      <c r="D58" s="59" t="s">
        <v>274</v>
      </c>
      <c r="E58" s="61">
        <v>44378</v>
      </c>
      <c r="F58" s="58">
        <v>5850</v>
      </c>
      <c r="G58">
        <f t="shared" si="0"/>
        <v>3</v>
      </c>
      <c r="J58" s="58">
        <v>235</v>
      </c>
      <c r="K58" s="59" t="s">
        <v>276</v>
      </c>
      <c r="L58" s="59" t="s">
        <v>272</v>
      </c>
      <c r="M58" s="61">
        <v>44470</v>
      </c>
      <c r="N58" s="58">
        <v>128249</v>
      </c>
      <c r="P58" s="58">
        <v>201</v>
      </c>
      <c r="Q58" s="59" t="s">
        <v>276</v>
      </c>
      <c r="R58" s="59" t="s">
        <v>271</v>
      </c>
      <c r="S58" s="61">
        <v>44409</v>
      </c>
      <c r="T58" s="58">
        <v>155980</v>
      </c>
      <c r="U58">
        <v>3</v>
      </c>
    </row>
    <row r="59" spans="2:21" x14ac:dyDescent="0.25">
      <c r="B59" s="58">
        <v>53</v>
      </c>
      <c r="C59" s="59" t="s">
        <v>270</v>
      </c>
      <c r="D59" s="59" t="s">
        <v>274</v>
      </c>
      <c r="E59" s="61">
        <v>44348</v>
      </c>
      <c r="F59" s="58">
        <v>-15140</v>
      </c>
      <c r="G59">
        <f t="shared" si="0"/>
        <v>2</v>
      </c>
      <c r="J59" s="58">
        <v>236</v>
      </c>
      <c r="K59" s="59" t="s">
        <v>279</v>
      </c>
      <c r="L59" s="59" t="s">
        <v>272</v>
      </c>
      <c r="M59" s="61">
        <v>44531</v>
      </c>
      <c r="N59" s="58">
        <v>210352</v>
      </c>
      <c r="P59" s="58">
        <v>202</v>
      </c>
      <c r="Q59" s="59" t="s">
        <v>279</v>
      </c>
      <c r="R59" s="59" t="s">
        <v>273</v>
      </c>
      <c r="S59" s="61">
        <v>44409</v>
      </c>
      <c r="T59" s="58">
        <v>23010</v>
      </c>
      <c r="U59">
        <v>3</v>
      </c>
    </row>
    <row r="60" spans="2:21" x14ac:dyDescent="0.25">
      <c r="B60" s="58">
        <v>54</v>
      </c>
      <c r="C60" s="59" t="s">
        <v>270</v>
      </c>
      <c r="D60" s="59" t="s">
        <v>271</v>
      </c>
      <c r="E60" s="61">
        <v>44348</v>
      </c>
      <c r="F60" s="58">
        <v>190517</v>
      </c>
      <c r="G60">
        <f t="shared" si="0"/>
        <v>2</v>
      </c>
      <c r="J60" s="58">
        <v>238</v>
      </c>
      <c r="K60" s="59" t="s">
        <v>276</v>
      </c>
      <c r="L60" s="59" t="s">
        <v>272</v>
      </c>
      <c r="M60" s="61">
        <v>44256</v>
      </c>
      <c r="N60" s="58">
        <v>117440</v>
      </c>
      <c r="P60" s="58">
        <v>206</v>
      </c>
      <c r="Q60" s="59" t="s">
        <v>277</v>
      </c>
      <c r="R60" s="59" t="s">
        <v>273</v>
      </c>
      <c r="S60" s="61">
        <v>44378</v>
      </c>
      <c r="T60" s="58">
        <v>121986</v>
      </c>
      <c r="U60">
        <v>3</v>
      </c>
    </row>
    <row r="61" spans="2:21" x14ac:dyDescent="0.25">
      <c r="B61" s="58">
        <v>55</v>
      </c>
      <c r="C61" s="59" t="s">
        <v>270</v>
      </c>
      <c r="D61" s="59" t="s">
        <v>271</v>
      </c>
      <c r="E61" s="61">
        <v>44409</v>
      </c>
      <c r="F61" s="58">
        <v>131983</v>
      </c>
      <c r="G61">
        <f t="shared" si="0"/>
        <v>3</v>
      </c>
      <c r="J61" s="58">
        <v>240</v>
      </c>
      <c r="K61" s="59" t="s">
        <v>270</v>
      </c>
      <c r="L61" s="59" t="s">
        <v>272</v>
      </c>
      <c r="M61" s="61">
        <v>44197</v>
      </c>
      <c r="N61" s="58">
        <v>151301</v>
      </c>
      <c r="P61" s="58">
        <v>207</v>
      </c>
      <c r="Q61" s="59" t="s">
        <v>278</v>
      </c>
      <c r="R61" s="59" t="s">
        <v>272</v>
      </c>
      <c r="S61" s="61">
        <v>44440</v>
      </c>
      <c r="T61" s="58">
        <v>258051</v>
      </c>
      <c r="U61">
        <v>3</v>
      </c>
    </row>
    <row r="62" spans="2:21" x14ac:dyDescent="0.25">
      <c r="B62" s="58">
        <v>56</v>
      </c>
      <c r="C62" s="59" t="s">
        <v>270</v>
      </c>
      <c r="D62" s="59" t="s">
        <v>272</v>
      </c>
      <c r="E62" s="61">
        <v>44348</v>
      </c>
      <c r="F62" s="58">
        <v>137843</v>
      </c>
      <c r="G62">
        <f t="shared" si="0"/>
        <v>2</v>
      </c>
      <c r="J62" s="58">
        <v>248</v>
      </c>
      <c r="K62" s="59" t="s">
        <v>270</v>
      </c>
      <c r="L62" s="59" t="s">
        <v>272</v>
      </c>
      <c r="M62" s="61">
        <v>44378</v>
      </c>
      <c r="N62" s="58">
        <v>89802</v>
      </c>
      <c r="P62" s="58">
        <v>211</v>
      </c>
      <c r="Q62" s="59" t="s">
        <v>277</v>
      </c>
      <c r="R62" s="59" t="s">
        <v>273</v>
      </c>
      <c r="S62" s="61">
        <v>44440</v>
      </c>
      <c r="T62" s="58">
        <v>160752</v>
      </c>
      <c r="U62">
        <v>3</v>
      </c>
    </row>
    <row r="63" spans="2:21" x14ac:dyDescent="0.25">
      <c r="B63" s="58">
        <v>57</v>
      </c>
      <c r="C63" s="59" t="s">
        <v>270</v>
      </c>
      <c r="D63" s="59" t="s">
        <v>272</v>
      </c>
      <c r="E63" s="61">
        <v>44378</v>
      </c>
      <c r="F63" s="58">
        <v>96209</v>
      </c>
      <c r="G63">
        <f t="shared" si="0"/>
        <v>3</v>
      </c>
      <c r="J63" s="58">
        <v>249</v>
      </c>
      <c r="K63" s="59" t="s">
        <v>270</v>
      </c>
      <c r="L63" s="59" t="s">
        <v>272</v>
      </c>
      <c r="M63" s="61">
        <v>44409</v>
      </c>
      <c r="N63" s="58">
        <v>23250</v>
      </c>
      <c r="P63" s="58">
        <v>216</v>
      </c>
      <c r="Q63" s="59" t="s">
        <v>277</v>
      </c>
      <c r="R63" s="59" t="s">
        <v>274</v>
      </c>
      <c r="S63" s="61">
        <v>44409</v>
      </c>
      <c r="T63" s="58">
        <v>110965</v>
      </c>
      <c r="U63">
        <v>3</v>
      </c>
    </row>
    <row r="64" spans="2:21" x14ac:dyDescent="0.25">
      <c r="B64" s="58">
        <v>58</v>
      </c>
      <c r="C64" s="59" t="s">
        <v>270</v>
      </c>
      <c r="D64" s="59" t="s">
        <v>275</v>
      </c>
      <c r="E64" s="61">
        <v>44228</v>
      </c>
      <c r="F64" s="58">
        <v>134977</v>
      </c>
      <c r="G64">
        <f t="shared" si="0"/>
        <v>1</v>
      </c>
      <c r="J64" s="58">
        <v>257</v>
      </c>
      <c r="K64" s="59" t="s">
        <v>270</v>
      </c>
      <c r="L64" s="59" t="s">
        <v>272</v>
      </c>
      <c r="M64" s="61">
        <v>44409</v>
      </c>
      <c r="N64" s="58">
        <v>7382</v>
      </c>
      <c r="P64" s="58">
        <v>223</v>
      </c>
      <c r="Q64" s="59" t="s">
        <v>276</v>
      </c>
      <c r="R64" s="59" t="s">
        <v>271</v>
      </c>
      <c r="S64" s="61">
        <v>44409</v>
      </c>
      <c r="T64" s="58">
        <v>78549</v>
      </c>
      <c r="U64">
        <v>3</v>
      </c>
    </row>
    <row r="65" spans="2:21" x14ac:dyDescent="0.25">
      <c r="B65" s="58">
        <v>59</v>
      </c>
      <c r="C65" s="59" t="s">
        <v>270</v>
      </c>
      <c r="D65" s="59" t="s">
        <v>275</v>
      </c>
      <c r="E65" s="61">
        <v>44317</v>
      </c>
      <c r="F65" s="58">
        <v>59423</v>
      </c>
      <c r="G65">
        <f t="shared" si="0"/>
        <v>2</v>
      </c>
      <c r="J65" s="58">
        <v>261</v>
      </c>
      <c r="K65" s="59" t="s">
        <v>270</v>
      </c>
      <c r="L65" s="59" t="s">
        <v>272</v>
      </c>
      <c r="M65" s="61">
        <v>44348</v>
      </c>
      <c r="N65" s="58">
        <v>7190</v>
      </c>
      <c r="P65" s="58">
        <v>232</v>
      </c>
      <c r="Q65" s="59" t="s">
        <v>278</v>
      </c>
      <c r="R65" s="59" t="s">
        <v>271</v>
      </c>
      <c r="S65" s="61">
        <v>44440</v>
      </c>
      <c r="T65" s="58">
        <v>208038</v>
      </c>
      <c r="U65">
        <v>3</v>
      </c>
    </row>
    <row r="66" spans="2:21" x14ac:dyDescent="0.25">
      <c r="B66" s="58">
        <v>60</v>
      </c>
      <c r="C66" s="59" t="s">
        <v>270</v>
      </c>
      <c r="D66" s="59" t="s">
        <v>275</v>
      </c>
      <c r="E66" s="61">
        <v>44348</v>
      </c>
      <c r="F66" s="58">
        <v>32352</v>
      </c>
      <c r="G66">
        <f t="shared" si="0"/>
        <v>2</v>
      </c>
      <c r="J66" s="58">
        <v>266</v>
      </c>
      <c r="K66" s="59" t="s">
        <v>270</v>
      </c>
      <c r="L66" s="59" t="s">
        <v>272</v>
      </c>
      <c r="M66" s="61">
        <v>44228</v>
      </c>
      <c r="N66" s="58">
        <v>134107</v>
      </c>
      <c r="P66" s="58">
        <v>233</v>
      </c>
      <c r="Q66" s="59" t="s">
        <v>276</v>
      </c>
      <c r="R66" s="59" t="s">
        <v>271</v>
      </c>
      <c r="S66" s="61">
        <v>44378</v>
      </c>
      <c r="T66" s="58">
        <v>12894</v>
      </c>
      <c r="U66">
        <v>3</v>
      </c>
    </row>
    <row r="67" spans="2:21" x14ac:dyDescent="0.25">
      <c r="B67" s="58">
        <v>61</v>
      </c>
      <c r="C67" s="59" t="s">
        <v>270</v>
      </c>
      <c r="D67" s="59" t="s">
        <v>271</v>
      </c>
      <c r="E67" s="61">
        <v>44409</v>
      </c>
      <c r="F67" s="58">
        <v>19225</v>
      </c>
      <c r="G67">
        <f t="shared" si="0"/>
        <v>3</v>
      </c>
      <c r="J67" s="58">
        <v>269</v>
      </c>
      <c r="K67" s="59" t="s">
        <v>270</v>
      </c>
      <c r="L67" s="59" t="s">
        <v>272</v>
      </c>
      <c r="M67" s="61">
        <v>44197</v>
      </c>
      <c r="N67" s="58">
        <v>28289</v>
      </c>
      <c r="P67" s="58">
        <v>239</v>
      </c>
      <c r="Q67" s="59" t="s">
        <v>277</v>
      </c>
      <c r="R67" s="59" t="s">
        <v>275</v>
      </c>
      <c r="S67" s="61">
        <v>44440</v>
      </c>
      <c r="T67" s="58">
        <v>256402</v>
      </c>
      <c r="U67">
        <v>3</v>
      </c>
    </row>
    <row r="68" spans="2:21" x14ac:dyDescent="0.25">
      <c r="B68" s="58">
        <v>62</v>
      </c>
      <c r="C68" s="59" t="s">
        <v>270</v>
      </c>
      <c r="D68" s="59" t="s">
        <v>271</v>
      </c>
      <c r="E68" s="61">
        <v>44256</v>
      </c>
      <c r="F68" s="58">
        <v>150851</v>
      </c>
      <c r="G68">
        <f t="shared" si="0"/>
        <v>1</v>
      </c>
      <c r="J68" s="58">
        <v>274</v>
      </c>
      <c r="K68" s="59" t="s">
        <v>276</v>
      </c>
      <c r="L68" s="59" t="s">
        <v>272</v>
      </c>
      <c r="M68" s="61">
        <v>44531</v>
      </c>
      <c r="N68" s="58">
        <v>100956</v>
      </c>
      <c r="P68" s="58">
        <v>247</v>
      </c>
      <c r="Q68" s="59" t="s">
        <v>270</v>
      </c>
      <c r="R68" s="59" t="s">
        <v>274</v>
      </c>
      <c r="S68" s="61">
        <v>44440</v>
      </c>
      <c r="T68" s="58">
        <v>261354</v>
      </c>
      <c r="U68">
        <v>3</v>
      </c>
    </row>
    <row r="69" spans="2:21" x14ac:dyDescent="0.25">
      <c r="B69" s="58">
        <v>63</v>
      </c>
      <c r="C69" s="59" t="s">
        <v>270</v>
      </c>
      <c r="D69" s="59" t="s">
        <v>272</v>
      </c>
      <c r="E69" s="61">
        <v>44348</v>
      </c>
      <c r="F69" s="58">
        <v>7110</v>
      </c>
      <c r="G69">
        <f t="shared" si="0"/>
        <v>2</v>
      </c>
      <c r="J69" s="58">
        <v>284</v>
      </c>
      <c r="K69" s="59" t="s">
        <v>278</v>
      </c>
      <c r="L69" s="59" t="s">
        <v>272</v>
      </c>
      <c r="M69" s="61">
        <v>44501</v>
      </c>
      <c r="N69" s="58">
        <v>195638</v>
      </c>
      <c r="P69" s="58">
        <v>248</v>
      </c>
      <c r="Q69" s="59" t="s">
        <v>270</v>
      </c>
      <c r="R69" s="59" t="s">
        <v>272</v>
      </c>
      <c r="S69" s="61">
        <v>44378</v>
      </c>
      <c r="T69" s="58">
        <v>89802</v>
      </c>
      <c r="U69">
        <v>3</v>
      </c>
    </row>
    <row r="70" spans="2:21" x14ac:dyDescent="0.25">
      <c r="B70" s="58">
        <v>64</v>
      </c>
      <c r="C70" s="59" t="s">
        <v>270</v>
      </c>
      <c r="D70" s="59" t="s">
        <v>271</v>
      </c>
      <c r="E70" s="61">
        <v>44348</v>
      </c>
      <c r="F70" s="58">
        <v>259896</v>
      </c>
      <c r="G70">
        <f t="shared" si="0"/>
        <v>2</v>
      </c>
      <c r="J70" s="58">
        <v>292</v>
      </c>
      <c r="K70" s="59" t="s">
        <v>276</v>
      </c>
      <c r="L70" s="59" t="s">
        <v>272</v>
      </c>
      <c r="M70" s="61">
        <v>44228</v>
      </c>
      <c r="N70" s="58">
        <v>11682</v>
      </c>
      <c r="P70" s="58">
        <v>249</v>
      </c>
      <c r="Q70" s="59" t="s">
        <v>270</v>
      </c>
      <c r="R70" s="59" t="s">
        <v>272</v>
      </c>
      <c r="S70" s="61">
        <v>44409</v>
      </c>
      <c r="T70" s="58">
        <v>23250</v>
      </c>
      <c r="U70">
        <v>3</v>
      </c>
    </row>
    <row r="71" spans="2:21" x14ac:dyDescent="0.25">
      <c r="B71" s="58">
        <v>65</v>
      </c>
      <c r="C71" s="59" t="s">
        <v>270</v>
      </c>
      <c r="D71" s="59" t="s">
        <v>275</v>
      </c>
      <c r="E71" s="61">
        <v>44501</v>
      </c>
      <c r="F71" s="58">
        <v>222162</v>
      </c>
      <c r="G71">
        <f t="shared" si="0"/>
        <v>4</v>
      </c>
      <c r="J71" s="58">
        <v>306</v>
      </c>
      <c r="K71" s="59" t="s">
        <v>276</v>
      </c>
      <c r="L71" s="59" t="s">
        <v>272</v>
      </c>
      <c r="M71" s="61">
        <v>44470</v>
      </c>
      <c r="N71" s="58">
        <v>86076</v>
      </c>
      <c r="P71" s="58">
        <v>251</v>
      </c>
      <c r="Q71" s="59" t="s">
        <v>270</v>
      </c>
      <c r="R71" s="59" t="s">
        <v>274</v>
      </c>
      <c r="S71" s="61">
        <v>44378</v>
      </c>
      <c r="T71" s="58">
        <v>52513</v>
      </c>
      <c r="U71">
        <v>3</v>
      </c>
    </row>
    <row r="72" spans="2:21" x14ac:dyDescent="0.25">
      <c r="B72" s="58">
        <v>66</v>
      </c>
      <c r="C72" s="59" t="s">
        <v>270</v>
      </c>
      <c r="D72" s="59" t="s">
        <v>271</v>
      </c>
      <c r="E72" s="61">
        <v>44470</v>
      </c>
      <c r="F72" s="58">
        <v>5652</v>
      </c>
      <c r="G72">
        <f t="shared" ref="G72:G135" si="1">ROUNDUP(MONTH(E72)/3,0)</f>
        <v>4</v>
      </c>
      <c r="J72" s="58">
        <v>309</v>
      </c>
      <c r="K72" s="59" t="s">
        <v>276</v>
      </c>
      <c r="L72" s="59" t="s">
        <v>272</v>
      </c>
      <c r="M72" s="61">
        <v>44287</v>
      </c>
      <c r="N72" s="58">
        <v>51383</v>
      </c>
      <c r="P72" s="58">
        <v>254</v>
      </c>
      <c r="Q72" s="59" t="s">
        <v>270</v>
      </c>
      <c r="R72" s="59" t="s">
        <v>275</v>
      </c>
      <c r="S72" s="61">
        <v>44378</v>
      </c>
      <c r="T72" s="58">
        <v>159745</v>
      </c>
      <c r="U72">
        <v>3</v>
      </c>
    </row>
    <row r="73" spans="2:21" x14ac:dyDescent="0.25">
      <c r="B73" s="58">
        <v>67</v>
      </c>
      <c r="C73" s="59" t="s">
        <v>270</v>
      </c>
      <c r="D73" s="59" t="s">
        <v>274</v>
      </c>
      <c r="E73" s="61">
        <v>44228</v>
      </c>
      <c r="F73" s="58">
        <v>173392</v>
      </c>
      <c r="G73">
        <f t="shared" si="1"/>
        <v>1</v>
      </c>
      <c r="J73" s="58">
        <v>311</v>
      </c>
      <c r="K73" s="59" t="s">
        <v>276</v>
      </c>
      <c r="L73" s="59" t="s">
        <v>272</v>
      </c>
      <c r="M73" s="61">
        <v>44378</v>
      </c>
      <c r="N73" s="58">
        <v>176652</v>
      </c>
      <c r="P73" s="58">
        <v>257</v>
      </c>
      <c r="Q73" s="59" t="s">
        <v>270</v>
      </c>
      <c r="R73" s="59" t="s">
        <v>272</v>
      </c>
      <c r="S73" s="61">
        <v>44409</v>
      </c>
      <c r="T73" s="58">
        <v>7382</v>
      </c>
      <c r="U73">
        <v>3</v>
      </c>
    </row>
    <row r="74" spans="2:21" x14ac:dyDescent="0.25">
      <c r="B74" s="58">
        <v>68</v>
      </c>
      <c r="C74" s="59" t="s">
        <v>270</v>
      </c>
      <c r="D74" s="59" t="s">
        <v>271</v>
      </c>
      <c r="E74" s="61">
        <v>44228</v>
      </c>
      <c r="F74" s="58">
        <v>230726</v>
      </c>
      <c r="G74">
        <f t="shared" si="1"/>
        <v>1</v>
      </c>
      <c r="P74" s="58">
        <v>263</v>
      </c>
      <c r="Q74" s="59" t="s">
        <v>270</v>
      </c>
      <c r="R74" s="59" t="s">
        <v>273</v>
      </c>
      <c r="S74" s="61">
        <v>44440</v>
      </c>
      <c r="T74" s="58">
        <v>200584</v>
      </c>
      <c r="U74">
        <v>3</v>
      </c>
    </row>
    <row r="75" spans="2:21" x14ac:dyDescent="0.25">
      <c r="B75" s="58">
        <v>69</v>
      </c>
      <c r="C75" s="59" t="s">
        <v>270</v>
      </c>
      <c r="D75" s="59" t="s">
        <v>274</v>
      </c>
      <c r="E75" s="61">
        <v>44470</v>
      </c>
      <c r="F75" s="58">
        <v>154630</v>
      </c>
      <c r="G75">
        <f t="shared" si="1"/>
        <v>4</v>
      </c>
      <c r="P75" s="58">
        <v>264</v>
      </c>
      <c r="Q75" s="59" t="s">
        <v>270</v>
      </c>
      <c r="R75" s="59" t="s">
        <v>271</v>
      </c>
      <c r="S75" s="61">
        <v>44378</v>
      </c>
      <c r="T75" s="58">
        <v>235104</v>
      </c>
      <c r="U75">
        <v>3</v>
      </c>
    </row>
    <row r="76" spans="2:21" x14ac:dyDescent="0.25">
      <c r="B76" s="58">
        <v>70</v>
      </c>
      <c r="C76" s="59" t="s">
        <v>270</v>
      </c>
      <c r="D76" s="59" t="s">
        <v>274</v>
      </c>
      <c r="E76" s="61">
        <v>44348</v>
      </c>
      <c r="F76" s="58">
        <v>161165</v>
      </c>
      <c r="G76">
        <f t="shared" si="1"/>
        <v>2</v>
      </c>
      <c r="P76" s="58">
        <v>265</v>
      </c>
      <c r="Q76" s="59" t="s">
        <v>270</v>
      </c>
      <c r="R76" s="59" t="s">
        <v>275</v>
      </c>
      <c r="S76" s="61">
        <v>44440</v>
      </c>
      <c r="T76" s="58">
        <v>55991</v>
      </c>
      <c r="U76">
        <v>3</v>
      </c>
    </row>
    <row r="77" spans="2:21" x14ac:dyDescent="0.25">
      <c r="B77" s="58">
        <v>71</v>
      </c>
      <c r="C77" s="59" t="s">
        <v>270</v>
      </c>
      <c r="D77" s="59" t="s">
        <v>273</v>
      </c>
      <c r="E77" s="61">
        <v>44348</v>
      </c>
      <c r="F77" s="58">
        <v>6105</v>
      </c>
      <c r="G77">
        <f t="shared" si="1"/>
        <v>2</v>
      </c>
      <c r="P77" s="58">
        <v>273</v>
      </c>
      <c r="Q77" s="59" t="s">
        <v>279</v>
      </c>
      <c r="R77" s="59" t="s">
        <v>275</v>
      </c>
      <c r="S77" s="61">
        <v>44378</v>
      </c>
      <c r="T77" s="58">
        <v>104422</v>
      </c>
      <c r="U77">
        <v>3</v>
      </c>
    </row>
    <row r="78" spans="2:21" x14ac:dyDescent="0.25">
      <c r="B78" s="58">
        <v>72</v>
      </c>
      <c r="C78" s="59" t="s">
        <v>270</v>
      </c>
      <c r="D78" s="59" t="s">
        <v>271</v>
      </c>
      <c r="E78" s="61">
        <v>44256</v>
      </c>
      <c r="F78" s="58">
        <v>34334</v>
      </c>
      <c r="G78">
        <f t="shared" si="1"/>
        <v>1</v>
      </c>
      <c r="P78" s="58">
        <v>276</v>
      </c>
      <c r="Q78" s="59" t="s">
        <v>278</v>
      </c>
      <c r="R78" s="59" t="s">
        <v>274</v>
      </c>
      <c r="S78" s="61">
        <v>44378</v>
      </c>
      <c r="T78" s="58">
        <v>59920</v>
      </c>
      <c r="U78">
        <v>3</v>
      </c>
    </row>
    <row r="79" spans="2:21" x14ac:dyDescent="0.25">
      <c r="B79" s="58">
        <v>73</v>
      </c>
      <c r="C79" s="59" t="s">
        <v>270</v>
      </c>
      <c r="D79" s="59" t="s">
        <v>275</v>
      </c>
      <c r="E79" s="61">
        <v>44531</v>
      </c>
      <c r="F79" s="58">
        <v>8406</v>
      </c>
      <c r="G79">
        <f t="shared" si="1"/>
        <v>4</v>
      </c>
      <c r="P79" s="58">
        <v>282</v>
      </c>
      <c r="Q79" s="59" t="s">
        <v>277</v>
      </c>
      <c r="R79" s="59" t="s">
        <v>275</v>
      </c>
      <c r="S79" s="61">
        <v>44409</v>
      </c>
      <c r="T79" s="58">
        <v>216458</v>
      </c>
      <c r="U79">
        <v>3</v>
      </c>
    </row>
    <row r="80" spans="2:21" x14ac:dyDescent="0.25">
      <c r="B80" s="58">
        <v>74</v>
      </c>
      <c r="C80" s="59" t="s">
        <v>270</v>
      </c>
      <c r="D80" s="59" t="s">
        <v>275</v>
      </c>
      <c r="E80" s="61">
        <v>44348</v>
      </c>
      <c r="F80" s="58">
        <v>27137</v>
      </c>
      <c r="G80">
        <f t="shared" si="1"/>
        <v>2</v>
      </c>
      <c r="P80" s="58">
        <v>288</v>
      </c>
      <c r="Q80" s="59" t="s">
        <v>277</v>
      </c>
      <c r="R80" s="59" t="s">
        <v>271</v>
      </c>
      <c r="S80" s="61">
        <v>44378</v>
      </c>
      <c r="T80" s="58">
        <v>226327</v>
      </c>
      <c r="U80">
        <v>3</v>
      </c>
    </row>
    <row r="81" spans="2:21" x14ac:dyDescent="0.25">
      <c r="B81" s="58">
        <v>75</v>
      </c>
      <c r="C81" s="59" t="s">
        <v>270</v>
      </c>
      <c r="D81" s="59" t="s">
        <v>275</v>
      </c>
      <c r="E81" s="61">
        <v>44378</v>
      </c>
      <c r="F81" s="58">
        <v>7819</v>
      </c>
      <c r="G81">
        <f t="shared" si="1"/>
        <v>3</v>
      </c>
      <c r="P81" s="58">
        <v>291</v>
      </c>
      <c r="Q81" s="59" t="s">
        <v>277</v>
      </c>
      <c r="R81" s="59" t="s">
        <v>274</v>
      </c>
      <c r="S81" s="61">
        <v>44440</v>
      </c>
      <c r="T81" s="58">
        <v>12156</v>
      </c>
      <c r="U81">
        <v>3</v>
      </c>
    </row>
    <row r="82" spans="2:21" x14ac:dyDescent="0.25">
      <c r="B82" s="58">
        <v>76</v>
      </c>
      <c r="C82" s="59" t="s">
        <v>270</v>
      </c>
      <c r="D82" s="59" t="s">
        <v>274</v>
      </c>
      <c r="E82" s="61">
        <v>44440</v>
      </c>
      <c r="F82" s="58">
        <v>193691</v>
      </c>
      <c r="G82">
        <f t="shared" si="1"/>
        <v>3</v>
      </c>
      <c r="P82" s="58">
        <v>298</v>
      </c>
      <c r="Q82" s="59" t="s">
        <v>276</v>
      </c>
      <c r="R82" s="59" t="s">
        <v>274</v>
      </c>
      <c r="S82" s="61">
        <v>44440</v>
      </c>
      <c r="T82" s="58">
        <v>98246</v>
      </c>
      <c r="U82">
        <v>3</v>
      </c>
    </row>
    <row r="83" spans="2:21" x14ac:dyDescent="0.25">
      <c r="B83" s="58">
        <v>77</v>
      </c>
      <c r="C83" s="59" t="s">
        <v>270</v>
      </c>
      <c r="D83" s="59" t="s">
        <v>274</v>
      </c>
      <c r="E83" s="61">
        <v>44378</v>
      </c>
      <c r="F83" s="58">
        <v>229218</v>
      </c>
      <c r="G83">
        <f t="shared" si="1"/>
        <v>3</v>
      </c>
      <c r="P83" s="58">
        <v>300</v>
      </c>
      <c r="Q83" s="59" t="s">
        <v>278</v>
      </c>
      <c r="R83" s="59" t="s">
        <v>274</v>
      </c>
      <c r="S83" s="61">
        <v>44440</v>
      </c>
      <c r="T83" s="58">
        <v>74093</v>
      </c>
      <c r="U83">
        <v>3</v>
      </c>
    </row>
    <row r="84" spans="2:21" x14ac:dyDescent="0.25">
      <c r="B84" s="58">
        <v>78</v>
      </c>
      <c r="C84" s="59" t="s">
        <v>270</v>
      </c>
      <c r="D84" s="59" t="s">
        <v>271</v>
      </c>
      <c r="E84" s="61">
        <v>44317</v>
      </c>
      <c r="F84" s="58">
        <v>82968</v>
      </c>
      <c r="G84">
        <f t="shared" si="1"/>
        <v>2</v>
      </c>
      <c r="P84" s="58">
        <v>302</v>
      </c>
      <c r="Q84" s="59" t="s">
        <v>279</v>
      </c>
      <c r="R84" s="59" t="s">
        <v>271</v>
      </c>
      <c r="S84" s="61">
        <v>44409</v>
      </c>
      <c r="T84" s="58">
        <v>75634</v>
      </c>
      <c r="U84">
        <v>3</v>
      </c>
    </row>
    <row r="85" spans="2:21" x14ac:dyDescent="0.25">
      <c r="B85" s="58">
        <v>79</v>
      </c>
      <c r="C85" s="59" t="s">
        <v>270</v>
      </c>
      <c r="D85" s="59" t="s">
        <v>272</v>
      </c>
      <c r="E85" s="61">
        <v>44348</v>
      </c>
      <c r="F85" s="58">
        <v>234786</v>
      </c>
      <c r="G85">
        <f t="shared" si="1"/>
        <v>2</v>
      </c>
      <c r="P85" s="58">
        <v>308</v>
      </c>
      <c r="Q85" s="59" t="s">
        <v>276</v>
      </c>
      <c r="R85" s="59" t="s">
        <v>274</v>
      </c>
      <c r="S85" s="61">
        <v>44378</v>
      </c>
      <c r="T85" s="58">
        <v>-39689</v>
      </c>
      <c r="U85">
        <v>3</v>
      </c>
    </row>
    <row r="86" spans="2:21" x14ac:dyDescent="0.25">
      <c r="B86" s="58">
        <v>80</v>
      </c>
      <c r="C86" s="59" t="s">
        <v>270</v>
      </c>
      <c r="D86" s="59" t="s">
        <v>274</v>
      </c>
      <c r="E86" s="61">
        <v>44470</v>
      </c>
      <c r="F86" s="58">
        <v>249705</v>
      </c>
      <c r="G86">
        <f t="shared" si="1"/>
        <v>4</v>
      </c>
      <c r="P86" s="58">
        <v>310</v>
      </c>
      <c r="Q86" s="59" t="s">
        <v>278</v>
      </c>
      <c r="R86" s="59" t="s">
        <v>274</v>
      </c>
      <c r="S86" s="61">
        <v>44378</v>
      </c>
      <c r="T86" s="58">
        <v>252080</v>
      </c>
      <c r="U86">
        <v>3</v>
      </c>
    </row>
    <row r="87" spans="2:21" x14ac:dyDescent="0.25">
      <c r="B87" s="58">
        <v>81</v>
      </c>
      <c r="C87" s="59" t="s">
        <v>276</v>
      </c>
      <c r="D87" s="59" t="s">
        <v>273</v>
      </c>
      <c r="E87" s="61">
        <v>44409</v>
      </c>
      <c r="F87" s="58">
        <v>22746</v>
      </c>
      <c r="G87">
        <f t="shared" si="1"/>
        <v>3</v>
      </c>
      <c r="P87" s="58">
        <v>311</v>
      </c>
      <c r="Q87" s="59" t="s">
        <v>276</v>
      </c>
      <c r="R87" s="59" t="s">
        <v>272</v>
      </c>
      <c r="S87" s="61">
        <v>44378</v>
      </c>
      <c r="T87" s="58">
        <v>176652</v>
      </c>
      <c r="U87">
        <v>3</v>
      </c>
    </row>
    <row r="88" spans="2:21" x14ac:dyDescent="0.25">
      <c r="B88" s="58">
        <v>82</v>
      </c>
      <c r="C88" s="59" t="s">
        <v>276</v>
      </c>
      <c r="D88" s="59" t="s">
        <v>274</v>
      </c>
      <c r="E88" s="61">
        <v>44409</v>
      </c>
      <c r="F88" s="58">
        <v>85536</v>
      </c>
      <c r="G88">
        <f t="shared" si="1"/>
        <v>3</v>
      </c>
      <c r="P88" s="58">
        <v>313</v>
      </c>
      <c r="Q88" s="59" t="s">
        <v>279</v>
      </c>
      <c r="R88" s="59" t="s">
        <v>273</v>
      </c>
      <c r="S88" s="61">
        <v>44409</v>
      </c>
      <c r="T88" s="58">
        <v>7269</v>
      </c>
      <c r="U88">
        <v>3</v>
      </c>
    </row>
    <row r="89" spans="2:21" x14ac:dyDescent="0.25">
      <c r="B89" s="58">
        <v>83</v>
      </c>
      <c r="C89" s="59" t="s">
        <v>276</v>
      </c>
      <c r="D89" s="59" t="s">
        <v>272</v>
      </c>
      <c r="E89" s="61">
        <v>44501</v>
      </c>
      <c r="F89" s="58">
        <v>25301</v>
      </c>
      <c r="G89">
        <f t="shared" si="1"/>
        <v>4</v>
      </c>
    </row>
    <row r="90" spans="2:21" x14ac:dyDescent="0.25">
      <c r="B90" s="58">
        <v>84</v>
      </c>
      <c r="C90" s="59" t="s">
        <v>278</v>
      </c>
      <c r="D90" s="59" t="s">
        <v>274</v>
      </c>
      <c r="E90" s="61">
        <v>44378</v>
      </c>
      <c r="F90" s="58">
        <v>152936</v>
      </c>
      <c r="G90">
        <f t="shared" si="1"/>
        <v>3</v>
      </c>
    </row>
    <row r="91" spans="2:21" x14ac:dyDescent="0.25">
      <c r="B91" s="58">
        <v>85</v>
      </c>
      <c r="C91" s="59" t="s">
        <v>278</v>
      </c>
      <c r="D91" s="59" t="s">
        <v>274</v>
      </c>
      <c r="E91" s="61">
        <v>44409</v>
      </c>
      <c r="F91" s="58">
        <v>124717</v>
      </c>
      <c r="G91">
        <f t="shared" si="1"/>
        <v>3</v>
      </c>
    </row>
    <row r="92" spans="2:21" x14ac:dyDescent="0.25">
      <c r="B92" s="58">
        <v>86</v>
      </c>
      <c r="C92" s="59" t="s">
        <v>279</v>
      </c>
      <c r="D92" s="59" t="s">
        <v>274</v>
      </c>
      <c r="E92" s="61">
        <v>44531</v>
      </c>
      <c r="F92" s="58">
        <v>198140</v>
      </c>
      <c r="G92">
        <f t="shared" si="1"/>
        <v>4</v>
      </c>
    </row>
    <row r="93" spans="2:21" x14ac:dyDescent="0.25">
      <c r="B93" s="58">
        <v>87</v>
      </c>
      <c r="C93" s="59" t="s">
        <v>279</v>
      </c>
      <c r="D93" s="59" t="s">
        <v>275</v>
      </c>
      <c r="E93" s="61">
        <v>44409</v>
      </c>
      <c r="F93" s="58">
        <v>99343</v>
      </c>
      <c r="G93">
        <f t="shared" si="1"/>
        <v>3</v>
      </c>
    </row>
    <row r="94" spans="2:21" x14ac:dyDescent="0.25">
      <c r="B94" s="58">
        <v>88</v>
      </c>
      <c r="C94" s="59" t="s">
        <v>278</v>
      </c>
      <c r="D94" s="59" t="s">
        <v>274</v>
      </c>
      <c r="E94" s="61">
        <v>44197</v>
      </c>
      <c r="F94" s="58">
        <v>41318</v>
      </c>
      <c r="G94">
        <f t="shared" si="1"/>
        <v>1</v>
      </c>
    </row>
    <row r="95" spans="2:21" x14ac:dyDescent="0.25">
      <c r="B95" s="58">
        <v>89</v>
      </c>
      <c r="C95" s="59" t="s">
        <v>278</v>
      </c>
      <c r="D95" s="59" t="s">
        <v>272</v>
      </c>
      <c r="E95" s="61">
        <v>44501</v>
      </c>
      <c r="F95" s="58">
        <v>211082</v>
      </c>
      <c r="G95">
        <f t="shared" si="1"/>
        <v>4</v>
      </c>
    </row>
    <row r="96" spans="2:21" x14ac:dyDescent="0.25">
      <c r="B96" s="58">
        <v>90</v>
      </c>
      <c r="C96" s="59" t="s">
        <v>277</v>
      </c>
      <c r="D96" s="59" t="s">
        <v>274</v>
      </c>
      <c r="E96" s="61">
        <v>44197</v>
      </c>
      <c r="F96" s="58">
        <v>8675</v>
      </c>
      <c r="G96">
        <f t="shared" si="1"/>
        <v>1</v>
      </c>
    </row>
    <row r="97" spans="2:7" x14ac:dyDescent="0.25">
      <c r="B97" s="58">
        <v>91</v>
      </c>
      <c r="C97" s="59" t="s">
        <v>277</v>
      </c>
      <c r="D97" s="59" t="s">
        <v>273</v>
      </c>
      <c r="E97" s="61">
        <v>44256</v>
      </c>
      <c r="F97" s="58">
        <v>132363</v>
      </c>
      <c r="G97">
        <f t="shared" si="1"/>
        <v>1</v>
      </c>
    </row>
    <row r="98" spans="2:7" x14ac:dyDescent="0.25">
      <c r="B98" s="58">
        <v>92</v>
      </c>
      <c r="C98" s="59" t="s">
        <v>276</v>
      </c>
      <c r="D98" s="59" t="s">
        <v>271</v>
      </c>
      <c r="E98" s="61">
        <v>44531</v>
      </c>
      <c r="F98" s="58">
        <v>130275</v>
      </c>
      <c r="G98">
        <f t="shared" si="1"/>
        <v>4</v>
      </c>
    </row>
    <row r="99" spans="2:7" x14ac:dyDescent="0.25">
      <c r="B99" s="58">
        <v>93</v>
      </c>
      <c r="C99" s="59" t="s">
        <v>277</v>
      </c>
      <c r="D99" s="59" t="s">
        <v>274</v>
      </c>
      <c r="E99" s="61">
        <v>44470</v>
      </c>
      <c r="F99" s="58">
        <v>174302</v>
      </c>
      <c r="G99">
        <f t="shared" si="1"/>
        <v>4</v>
      </c>
    </row>
    <row r="100" spans="2:7" x14ac:dyDescent="0.25">
      <c r="B100" s="58">
        <v>94</v>
      </c>
      <c r="C100" s="59" t="s">
        <v>279</v>
      </c>
      <c r="D100" s="59" t="s">
        <v>273</v>
      </c>
      <c r="E100" s="61">
        <v>44256</v>
      </c>
      <c r="F100" s="58">
        <v>126174</v>
      </c>
      <c r="G100">
        <f t="shared" si="1"/>
        <v>1</v>
      </c>
    </row>
    <row r="101" spans="2:7" x14ac:dyDescent="0.25">
      <c r="B101" s="58">
        <v>95</v>
      </c>
      <c r="C101" s="59" t="s">
        <v>277</v>
      </c>
      <c r="D101" s="59" t="s">
        <v>272</v>
      </c>
      <c r="E101" s="61">
        <v>44470</v>
      </c>
      <c r="F101" s="58">
        <v>13328</v>
      </c>
      <c r="G101">
        <f t="shared" si="1"/>
        <v>4</v>
      </c>
    </row>
    <row r="102" spans="2:7" x14ac:dyDescent="0.25">
      <c r="B102" s="58">
        <v>96</v>
      </c>
      <c r="C102" s="59" t="s">
        <v>277</v>
      </c>
      <c r="D102" s="59" t="s">
        <v>275</v>
      </c>
      <c r="E102" s="61">
        <v>44256</v>
      </c>
      <c r="F102" s="58">
        <v>48808</v>
      </c>
      <c r="G102">
        <f t="shared" si="1"/>
        <v>1</v>
      </c>
    </row>
    <row r="103" spans="2:7" x14ac:dyDescent="0.25">
      <c r="B103" s="58">
        <v>97</v>
      </c>
      <c r="C103" s="59" t="s">
        <v>278</v>
      </c>
      <c r="D103" s="59" t="s">
        <v>272</v>
      </c>
      <c r="E103" s="61">
        <v>44317</v>
      </c>
      <c r="F103" s="58">
        <v>258583</v>
      </c>
      <c r="G103">
        <f t="shared" si="1"/>
        <v>2</v>
      </c>
    </row>
    <row r="104" spans="2:7" x14ac:dyDescent="0.25">
      <c r="B104" s="58">
        <v>98</v>
      </c>
      <c r="C104" s="59" t="s">
        <v>276</v>
      </c>
      <c r="D104" s="59" t="s">
        <v>271</v>
      </c>
      <c r="E104" s="61">
        <v>44228</v>
      </c>
      <c r="F104" s="58">
        <v>33850</v>
      </c>
      <c r="G104">
        <f t="shared" si="1"/>
        <v>1</v>
      </c>
    </row>
    <row r="105" spans="2:7" x14ac:dyDescent="0.25">
      <c r="B105" s="58">
        <v>99</v>
      </c>
      <c r="C105" s="59" t="s">
        <v>276</v>
      </c>
      <c r="D105" s="59" t="s">
        <v>272</v>
      </c>
      <c r="E105" s="61">
        <v>44440</v>
      </c>
      <c r="F105" s="58">
        <v>147727</v>
      </c>
      <c r="G105">
        <f t="shared" si="1"/>
        <v>3</v>
      </c>
    </row>
    <row r="106" spans="2:7" x14ac:dyDescent="0.25">
      <c r="B106" s="58">
        <v>100</v>
      </c>
      <c r="C106" s="59" t="s">
        <v>279</v>
      </c>
      <c r="D106" s="59" t="s">
        <v>272</v>
      </c>
      <c r="E106" s="61">
        <v>44409</v>
      </c>
      <c r="F106" s="58">
        <v>109849</v>
      </c>
      <c r="G106">
        <f t="shared" si="1"/>
        <v>3</v>
      </c>
    </row>
    <row r="107" spans="2:7" x14ac:dyDescent="0.25">
      <c r="B107" s="58">
        <v>101</v>
      </c>
      <c r="C107" s="59" t="s">
        <v>276</v>
      </c>
      <c r="D107" s="59" t="s">
        <v>272</v>
      </c>
      <c r="E107" s="61">
        <v>44470</v>
      </c>
      <c r="F107" s="58">
        <v>231047</v>
      </c>
      <c r="G107">
        <f t="shared" si="1"/>
        <v>4</v>
      </c>
    </row>
    <row r="108" spans="2:7" x14ac:dyDescent="0.25">
      <c r="B108" s="58">
        <v>102</v>
      </c>
      <c r="C108" s="59" t="s">
        <v>278</v>
      </c>
      <c r="D108" s="59" t="s">
        <v>271</v>
      </c>
      <c r="E108" s="61">
        <v>44378</v>
      </c>
      <c r="F108" s="58">
        <v>219148</v>
      </c>
      <c r="G108">
        <f t="shared" si="1"/>
        <v>3</v>
      </c>
    </row>
    <row r="109" spans="2:7" x14ac:dyDescent="0.25">
      <c r="B109" s="58">
        <v>103</v>
      </c>
      <c r="C109" s="59" t="s">
        <v>276</v>
      </c>
      <c r="D109" s="59" t="s">
        <v>275</v>
      </c>
      <c r="E109" s="61">
        <v>44228</v>
      </c>
      <c r="F109" s="58">
        <v>187979</v>
      </c>
      <c r="G109">
        <f t="shared" si="1"/>
        <v>1</v>
      </c>
    </row>
    <row r="110" spans="2:7" x14ac:dyDescent="0.25">
      <c r="B110" s="58">
        <v>104</v>
      </c>
      <c r="C110" s="59" t="s">
        <v>279</v>
      </c>
      <c r="D110" s="59" t="s">
        <v>271</v>
      </c>
      <c r="E110" s="61">
        <v>44348</v>
      </c>
      <c r="F110" s="58">
        <v>91931</v>
      </c>
      <c r="G110">
        <f t="shared" si="1"/>
        <v>2</v>
      </c>
    </row>
    <row r="111" spans="2:7" x14ac:dyDescent="0.25">
      <c r="B111" s="58">
        <v>105</v>
      </c>
      <c r="C111" s="59" t="s">
        <v>277</v>
      </c>
      <c r="D111" s="59" t="s">
        <v>274</v>
      </c>
      <c r="E111" s="61">
        <v>44531</v>
      </c>
      <c r="F111" s="58">
        <v>152076</v>
      </c>
      <c r="G111">
        <f t="shared" si="1"/>
        <v>4</v>
      </c>
    </row>
    <row r="112" spans="2:7" x14ac:dyDescent="0.25">
      <c r="B112" s="58">
        <v>106</v>
      </c>
      <c r="C112" s="59" t="s">
        <v>276</v>
      </c>
      <c r="D112" s="59" t="s">
        <v>271</v>
      </c>
      <c r="E112" s="61">
        <v>44440</v>
      </c>
      <c r="F112" s="58">
        <v>213879</v>
      </c>
      <c r="G112">
        <f t="shared" si="1"/>
        <v>3</v>
      </c>
    </row>
    <row r="113" spans="2:7" x14ac:dyDescent="0.25">
      <c r="B113" s="58">
        <v>107</v>
      </c>
      <c r="C113" s="59" t="s">
        <v>277</v>
      </c>
      <c r="D113" s="59" t="s">
        <v>271</v>
      </c>
      <c r="E113" s="61">
        <v>44228</v>
      </c>
      <c r="F113" s="58">
        <v>7298</v>
      </c>
      <c r="G113">
        <f t="shared" si="1"/>
        <v>1</v>
      </c>
    </row>
    <row r="114" spans="2:7" x14ac:dyDescent="0.25">
      <c r="B114" s="58">
        <v>108</v>
      </c>
      <c r="C114" s="59" t="s">
        <v>276</v>
      </c>
      <c r="D114" s="59" t="s">
        <v>274</v>
      </c>
      <c r="E114" s="61">
        <v>44197</v>
      </c>
      <c r="F114" s="58">
        <v>1661</v>
      </c>
      <c r="G114">
        <f t="shared" si="1"/>
        <v>1</v>
      </c>
    </row>
    <row r="115" spans="2:7" x14ac:dyDescent="0.25">
      <c r="B115" s="58">
        <v>109</v>
      </c>
      <c r="C115" s="59" t="s">
        <v>279</v>
      </c>
      <c r="D115" s="59" t="s">
        <v>271</v>
      </c>
      <c r="E115" s="61">
        <v>44228</v>
      </c>
      <c r="F115" s="58">
        <v>13845</v>
      </c>
      <c r="G115">
        <f t="shared" si="1"/>
        <v>1</v>
      </c>
    </row>
    <row r="116" spans="2:7" x14ac:dyDescent="0.25">
      <c r="B116" s="58">
        <v>110</v>
      </c>
      <c r="C116" s="59" t="s">
        <v>276</v>
      </c>
      <c r="D116" s="59" t="s">
        <v>273</v>
      </c>
      <c r="E116" s="61">
        <v>44501</v>
      </c>
      <c r="F116" s="58">
        <v>188860</v>
      </c>
      <c r="G116">
        <f t="shared" si="1"/>
        <v>4</v>
      </c>
    </row>
    <row r="117" spans="2:7" x14ac:dyDescent="0.25">
      <c r="B117" s="58">
        <v>111</v>
      </c>
      <c r="C117" s="59" t="s">
        <v>279</v>
      </c>
      <c r="D117" s="59" t="s">
        <v>273</v>
      </c>
      <c r="E117" s="61">
        <v>44378</v>
      </c>
      <c r="F117" s="58">
        <v>36547</v>
      </c>
      <c r="G117">
        <f t="shared" si="1"/>
        <v>3</v>
      </c>
    </row>
    <row r="118" spans="2:7" x14ac:dyDescent="0.25">
      <c r="B118" s="58">
        <v>112</v>
      </c>
      <c r="C118" s="59" t="s">
        <v>277</v>
      </c>
      <c r="D118" s="59" t="s">
        <v>274</v>
      </c>
      <c r="E118" s="61">
        <v>44531</v>
      </c>
      <c r="F118" s="58">
        <v>60882</v>
      </c>
      <c r="G118">
        <f t="shared" si="1"/>
        <v>4</v>
      </c>
    </row>
    <row r="119" spans="2:7" x14ac:dyDescent="0.25">
      <c r="B119" s="58">
        <v>113</v>
      </c>
      <c r="C119" s="59" t="s">
        <v>279</v>
      </c>
      <c r="D119" s="59" t="s">
        <v>272</v>
      </c>
      <c r="E119" s="61">
        <v>44378</v>
      </c>
      <c r="F119" s="58">
        <v>26819</v>
      </c>
      <c r="G119">
        <f t="shared" si="1"/>
        <v>3</v>
      </c>
    </row>
    <row r="120" spans="2:7" x14ac:dyDescent="0.25">
      <c r="B120" s="58">
        <v>114</v>
      </c>
      <c r="C120" s="59" t="s">
        <v>276</v>
      </c>
      <c r="D120" s="59" t="s">
        <v>272</v>
      </c>
      <c r="E120" s="61">
        <v>44348</v>
      </c>
      <c r="F120" s="58">
        <v>139728</v>
      </c>
      <c r="G120">
        <f t="shared" si="1"/>
        <v>2</v>
      </c>
    </row>
    <row r="121" spans="2:7" x14ac:dyDescent="0.25">
      <c r="B121" s="58">
        <v>115</v>
      </c>
      <c r="C121" s="59" t="s">
        <v>279</v>
      </c>
      <c r="D121" s="59" t="s">
        <v>273</v>
      </c>
      <c r="E121" s="61">
        <v>44440</v>
      </c>
      <c r="F121" s="58">
        <v>220591</v>
      </c>
      <c r="G121">
        <f t="shared" si="1"/>
        <v>3</v>
      </c>
    </row>
    <row r="122" spans="2:7" x14ac:dyDescent="0.25">
      <c r="B122" s="58">
        <v>116</v>
      </c>
      <c r="C122" s="59" t="s">
        <v>276</v>
      </c>
      <c r="D122" s="59" t="s">
        <v>274</v>
      </c>
      <c r="E122" s="61">
        <v>44348</v>
      </c>
      <c r="F122" s="58">
        <v>216695</v>
      </c>
      <c r="G122">
        <f t="shared" si="1"/>
        <v>2</v>
      </c>
    </row>
    <row r="123" spans="2:7" x14ac:dyDescent="0.25">
      <c r="B123" s="58">
        <v>117</v>
      </c>
      <c r="C123" s="59" t="s">
        <v>279</v>
      </c>
      <c r="D123" s="59" t="s">
        <v>272</v>
      </c>
      <c r="E123" s="61">
        <v>44317</v>
      </c>
      <c r="F123" s="58">
        <v>57755</v>
      </c>
      <c r="G123">
        <f t="shared" si="1"/>
        <v>2</v>
      </c>
    </row>
    <row r="124" spans="2:7" x14ac:dyDescent="0.25">
      <c r="B124" s="58">
        <v>118</v>
      </c>
      <c r="C124" s="59" t="s">
        <v>277</v>
      </c>
      <c r="D124" s="59" t="s">
        <v>273</v>
      </c>
      <c r="E124" s="61">
        <v>44409</v>
      </c>
      <c r="F124" s="58">
        <v>102572</v>
      </c>
      <c r="G124">
        <f t="shared" si="1"/>
        <v>3</v>
      </c>
    </row>
    <row r="125" spans="2:7" x14ac:dyDescent="0.25">
      <c r="B125" s="58">
        <v>119</v>
      </c>
      <c r="C125" s="59" t="s">
        <v>276</v>
      </c>
      <c r="D125" s="59" t="s">
        <v>275</v>
      </c>
      <c r="E125" s="61">
        <v>44409</v>
      </c>
      <c r="F125" s="58">
        <v>229197</v>
      </c>
      <c r="G125">
        <f t="shared" si="1"/>
        <v>3</v>
      </c>
    </row>
    <row r="126" spans="2:7" x14ac:dyDescent="0.25">
      <c r="B126" s="58">
        <v>120</v>
      </c>
      <c r="C126" s="59" t="s">
        <v>279</v>
      </c>
      <c r="D126" s="59" t="s">
        <v>273</v>
      </c>
      <c r="E126" s="61">
        <v>44409</v>
      </c>
      <c r="F126" s="58">
        <v>19002</v>
      </c>
      <c r="G126">
        <f t="shared" si="1"/>
        <v>3</v>
      </c>
    </row>
    <row r="127" spans="2:7" x14ac:dyDescent="0.25">
      <c r="B127" s="58">
        <v>121</v>
      </c>
      <c r="C127" s="59" t="s">
        <v>270</v>
      </c>
      <c r="D127" s="59" t="s">
        <v>271</v>
      </c>
      <c r="E127" s="61">
        <v>44440</v>
      </c>
      <c r="F127" s="58">
        <v>209590</v>
      </c>
      <c r="G127">
        <f t="shared" si="1"/>
        <v>3</v>
      </c>
    </row>
    <row r="128" spans="2:7" x14ac:dyDescent="0.25">
      <c r="B128" s="58">
        <v>122</v>
      </c>
      <c r="C128" s="59" t="s">
        <v>270</v>
      </c>
      <c r="D128" s="59" t="s">
        <v>275</v>
      </c>
      <c r="E128" s="61">
        <v>44531</v>
      </c>
      <c r="F128" s="58">
        <v>135311</v>
      </c>
      <c r="G128">
        <f t="shared" si="1"/>
        <v>4</v>
      </c>
    </row>
    <row r="129" spans="2:7" x14ac:dyDescent="0.25">
      <c r="B129" s="58">
        <v>123</v>
      </c>
      <c r="C129" s="59" t="s">
        <v>270</v>
      </c>
      <c r="D129" s="59" t="s">
        <v>272</v>
      </c>
      <c r="E129" s="61">
        <v>44348</v>
      </c>
      <c r="F129" s="58">
        <v>115261</v>
      </c>
      <c r="G129">
        <f t="shared" si="1"/>
        <v>2</v>
      </c>
    </row>
    <row r="130" spans="2:7" x14ac:dyDescent="0.25">
      <c r="B130" s="58">
        <v>124</v>
      </c>
      <c r="C130" s="59" t="s">
        <v>270</v>
      </c>
      <c r="D130" s="59" t="s">
        <v>271</v>
      </c>
      <c r="E130" s="61">
        <v>44287</v>
      </c>
      <c r="F130" s="58">
        <v>220171</v>
      </c>
      <c r="G130">
        <f t="shared" si="1"/>
        <v>2</v>
      </c>
    </row>
    <row r="131" spans="2:7" x14ac:dyDescent="0.25">
      <c r="B131" s="58">
        <v>125</v>
      </c>
      <c r="C131" s="59" t="s">
        <v>270</v>
      </c>
      <c r="D131" s="59" t="s">
        <v>272</v>
      </c>
      <c r="E131" s="61">
        <v>44531</v>
      </c>
      <c r="F131" s="58">
        <v>9682</v>
      </c>
      <c r="G131">
        <f t="shared" si="1"/>
        <v>4</v>
      </c>
    </row>
    <row r="132" spans="2:7" x14ac:dyDescent="0.25">
      <c r="B132" s="58">
        <v>126</v>
      </c>
      <c r="C132" s="59" t="s">
        <v>270</v>
      </c>
      <c r="D132" s="59" t="s">
        <v>273</v>
      </c>
      <c r="E132" s="61">
        <v>44531</v>
      </c>
      <c r="F132" s="58">
        <v>81048</v>
      </c>
      <c r="G132">
        <f t="shared" si="1"/>
        <v>4</v>
      </c>
    </row>
    <row r="133" spans="2:7" x14ac:dyDescent="0.25">
      <c r="B133" s="58">
        <v>127</v>
      </c>
      <c r="C133" s="59" t="s">
        <v>270</v>
      </c>
      <c r="D133" s="59" t="s">
        <v>275</v>
      </c>
      <c r="E133" s="61">
        <v>44228</v>
      </c>
      <c r="F133" s="58">
        <v>155266</v>
      </c>
      <c r="G133">
        <f t="shared" si="1"/>
        <v>1</v>
      </c>
    </row>
    <row r="134" spans="2:7" x14ac:dyDescent="0.25">
      <c r="B134" s="58">
        <v>128</v>
      </c>
      <c r="C134" s="59" t="s">
        <v>270</v>
      </c>
      <c r="D134" s="59" t="s">
        <v>273</v>
      </c>
      <c r="E134" s="61">
        <v>44317</v>
      </c>
      <c r="F134" s="58">
        <v>24879</v>
      </c>
      <c r="G134">
        <f t="shared" si="1"/>
        <v>2</v>
      </c>
    </row>
    <row r="135" spans="2:7" x14ac:dyDescent="0.25">
      <c r="B135" s="58">
        <v>129</v>
      </c>
      <c r="C135" s="59" t="s">
        <v>270</v>
      </c>
      <c r="D135" s="59" t="s">
        <v>275</v>
      </c>
      <c r="E135" s="61">
        <v>44470</v>
      </c>
      <c r="F135" s="58">
        <v>24838</v>
      </c>
      <c r="G135">
        <f t="shared" si="1"/>
        <v>4</v>
      </c>
    </row>
    <row r="136" spans="2:7" x14ac:dyDescent="0.25">
      <c r="B136" s="58">
        <v>130</v>
      </c>
      <c r="C136" s="59" t="s">
        <v>270</v>
      </c>
      <c r="D136" s="59" t="s">
        <v>275</v>
      </c>
      <c r="E136" s="61">
        <v>44228</v>
      </c>
      <c r="F136" s="58">
        <v>105602</v>
      </c>
      <c r="G136">
        <f t="shared" ref="G136:G199" si="2">ROUNDUP(MONTH(E136)/3,0)</f>
        <v>1</v>
      </c>
    </row>
    <row r="137" spans="2:7" x14ac:dyDescent="0.25">
      <c r="B137" s="58">
        <v>131</v>
      </c>
      <c r="C137" s="59" t="s">
        <v>270</v>
      </c>
      <c r="D137" s="59" t="s">
        <v>274</v>
      </c>
      <c r="E137" s="61">
        <v>44287</v>
      </c>
      <c r="F137" s="58">
        <v>214102</v>
      </c>
      <c r="G137">
        <f t="shared" si="2"/>
        <v>2</v>
      </c>
    </row>
    <row r="138" spans="2:7" x14ac:dyDescent="0.25">
      <c r="B138" s="58">
        <v>132</v>
      </c>
      <c r="C138" s="59" t="s">
        <v>270</v>
      </c>
      <c r="D138" s="59" t="s">
        <v>274</v>
      </c>
      <c r="E138" s="61">
        <v>44440</v>
      </c>
      <c r="F138" s="58">
        <v>27327</v>
      </c>
      <c r="G138">
        <f t="shared" si="2"/>
        <v>3</v>
      </c>
    </row>
    <row r="139" spans="2:7" x14ac:dyDescent="0.25">
      <c r="B139" s="58">
        <v>133</v>
      </c>
      <c r="C139" s="59" t="s">
        <v>270</v>
      </c>
      <c r="D139" s="59" t="s">
        <v>272</v>
      </c>
      <c r="E139" s="61">
        <v>44197</v>
      </c>
      <c r="F139" s="58">
        <v>142596</v>
      </c>
      <c r="G139">
        <f t="shared" si="2"/>
        <v>1</v>
      </c>
    </row>
    <row r="140" spans="2:7" x14ac:dyDescent="0.25">
      <c r="B140" s="58">
        <v>134</v>
      </c>
      <c r="C140" s="59" t="s">
        <v>270</v>
      </c>
      <c r="D140" s="59" t="s">
        <v>272</v>
      </c>
      <c r="E140" s="61">
        <v>44348</v>
      </c>
      <c r="F140" s="58">
        <v>165992</v>
      </c>
      <c r="G140">
        <f t="shared" si="2"/>
        <v>2</v>
      </c>
    </row>
    <row r="141" spans="2:7" x14ac:dyDescent="0.25">
      <c r="B141" s="58">
        <v>135</v>
      </c>
      <c r="C141" s="59" t="s">
        <v>270</v>
      </c>
      <c r="D141" s="59" t="s">
        <v>274</v>
      </c>
      <c r="E141" s="61">
        <v>44531</v>
      </c>
      <c r="F141" s="58">
        <v>129328</v>
      </c>
      <c r="G141">
        <f t="shared" si="2"/>
        <v>4</v>
      </c>
    </row>
    <row r="142" spans="2:7" x14ac:dyDescent="0.25">
      <c r="B142" s="58">
        <v>136</v>
      </c>
      <c r="C142" s="59" t="s">
        <v>270</v>
      </c>
      <c r="D142" s="59" t="s">
        <v>271</v>
      </c>
      <c r="E142" s="61">
        <v>44470</v>
      </c>
      <c r="F142" s="58">
        <v>86460</v>
      </c>
      <c r="G142">
        <f t="shared" si="2"/>
        <v>4</v>
      </c>
    </row>
    <row r="143" spans="2:7" x14ac:dyDescent="0.25">
      <c r="B143" s="58">
        <v>137</v>
      </c>
      <c r="C143" s="59" t="s">
        <v>270</v>
      </c>
      <c r="D143" s="59" t="s">
        <v>271</v>
      </c>
      <c r="E143" s="61">
        <v>44228</v>
      </c>
      <c r="F143" s="58">
        <v>22003</v>
      </c>
      <c r="G143">
        <f t="shared" si="2"/>
        <v>1</v>
      </c>
    </row>
    <row r="144" spans="2:7" x14ac:dyDescent="0.25">
      <c r="B144" s="58">
        <v>138</v>
      </c>
      <c r="C144" s="59" t="s">
        <v>270</v>
      </c>
      <c r="D144" s="59" t="s">
        <v>272</v>
      </c>
      <c r="E144" s="61">
        <v>44378</v>
      </c>
      <c r="F144" s="58">
        <v>44394</v>
      </c>
      <c r="G144">
        <f t="shared" si="2"/>
        <v>3</v>
      </c>
    </row>
    <row r="145" spans="2:7" x14ac:dyDescent="0.25">
      <c r="B145" s="58">
        <v>139</v>
      </c>
      <c r="C145" s="59" t="s">
        <v>270</v>
      </c>
      <c r="D145" s="59" t="s">
        <v>271</v>
      </c>
      <c r="E145" s="61">
        <v>44440</v>
      </c>
      <c r="F145" s="58">
        <v>217075</v>
      </c>
      <c r="G145">
        <f t="shared" si="2"/>
        <v>3</v>
      </c>
    </row>
    <row r="146" spans="2:7" x14ac:dyDescent="0.25">
      <c r="B146" s="58">
        <v>140</v>
      </c>
      <c r="C146" s="59" t="s">
        <v>270</v>
      </c>
      <c r="D146" s="59" t="s">
        <v>273</v>
      </c>
      <c r="E146" s="61">
        <v>44228</v>
      </c>
      <c r="F146" s="58">
        <v>56810</v>
      </c>
      <c r="G146">
        <f t="shared" si="2"/>
        <v>1</v>
      </c>
    </row>
    <row r="147" spans="2:7" x14ac:dyDescent="0.25">
      <c r="B147" s="58">
        <v>141</v>
      </c>
      <c r="C147" s="59" t="s">
        <v>270</v>
      </c>
      <c r="D147" s="59" t="s">
        <v>271</v>
      </c>
      <c r="E147" s="61">
        <v>44470</v>
      </c>
      <c r="F147" s="58">
        <v>169915</v>
      </c>
      <c r="G147">
        <f t="shared" si="2"/>
        <v>4</v>
      </c>
    </row>
    <row r="148" spans="2:7" x14ac:dyDescent="0.25">
      <c r="B148" s="58">
        <v>142</v>
      </c>
      <c r="C148" s="59" t="s">
        <v>270</v>
      </c>
      <c r="D148" s="59" t="s">
        <v>275</v>
      </c>
      <c r="E148" s="61">
        <v>44409</v>
      </c>
      <c r="F148" s="58">
        <v>217962</v>
      </c>
      <c r="G148">
        <f t="shared" si="2"/>
        <v>3</v>
      </c>
    </row>
    <row r="149" spans="2:7" x14ac:dyDescent="0.25">
      <c r="B149" s="58">
        <v>143</v>
      </c>
      <c r="C149" s="59" t="s">
        <v>270</v>
      </c>
      <c r="D149" s="59" t="s">
        <v>275</v>
      </c>
      <c r="E149" s="61">
        <v>44317</v>
      </c>
      <c r="F149" s="58">
        <v>166824</v>
      </c>
      <c r="G149">
        <f t="shared" si="2"/>
        <v>2</v>
      </c>
    </row>
    <row r="150" spans="2:7" x14ac:dyDescent="0.25">
      <c r="B150" s="58">
        <v>144</v>
      </c>
      <c r="C150" s="59" t="s">
        <v>270</v>
      </c>
      <c r="D150" s="59" t="s">
        <v>272</v>
      </c>
      <c r="E150" s="61">
        <v>44287</v>
      </c>
      <c r="F150" s="58">
        <v>35096</v>
      </c>
      <c r="G150">
        <f t="shared" si="2"/>
        <v>2</v>
      </c>
    </row>
    <row r="151" spans="2:7" x14ac:dyDescent="0.25">
      <c r="B151" s="58">
        <v>145</v>
      </c>
      <c r="C151" s="59" t="s">
        <v>270</v>
      </c>
      <c r="D151" s="59" t="s">
        <v>275</v>
      </c>
      <c r="E151" s="61">
        <v>44378</v>
      </c>
      <c r="F151" s="58">
        <v>64755</v>
      </c>
      <c r="G151">
        <f t="shared" si="2"/>
        <v>3</v>
      </c>
    </row>
    <row r="152" spans="2:7" x14ac:dyDescent="0.25">
      <c r="B152" s="58">
        <v>146</v>
      </c>
      <c r="C152" s="59" t="s">
        <v>270</v>
      </c>
      <c r="D152" s="59" t="s">
        <v>273</v>
      </c>
      <c r="E152" s="61">
        <v>44317</v>
      </c>
      <c r="F152" s="58">
        <v>8950</v>
      </c>
      <c r="G152">
        <f t="shared" si="2"/>
        <v>2</v>
      </c>
    </row>
    <row r="153" spans="2:7" x14ac:dyDescent="0.25">
      <c r="B153" s="58">
        <v>147</v>
      </c>
      <c r="C153" s="59" t="s">
        <v>270</v>
      </c>
      <c r="D153" s="59" t="s">
        <v>273</v>
      </c>
      <c r="E153" s="61">
        <v>44197</v>
      </c>
      <c r="F153" s="58">
        <v>210209</v>
      </c>
      <c r="G153">
        <f t="shared" si="2"/>
        <v>1</v>
      </c>
    </row>
    <row r="154" spans="2:7" x14ac:dyDescent="0.25">
      <c r="B154" s="58">
        <v>148</v>
      </c>
      <c r="C154" s="59" t="s">
        <v>270</v>
      </c>
      <c r="D154" s="59" t="s">
        <v>271</v>
      </c>
      <c r="E154" s="61">
        <v>44409</v>
      </c>
      <c r="F154" s="58">
        <v>191733</v>
      </c>
      <c r="G154">
        <f t="shared" si="2"/>
        <v>3</v>
      </c>
    </row>
    <row r="155" spans="2:7" x14ac:dyDescent="0.25">
      <c r="B155" s="58">
        <v>149</v>
      </c>
      <c r="C155" s="59" t="s">
        <v>270</v>
      </c>
      <c r="D155" s="59" t="s">
        <v>275</v>
      </c>
      <c r="E155" s="61">
        <v>44287</v>
      </c>
      <c r="F155" s="58">
        <v>137705</v>
      </c>
      <c r="G155">
        <f t="shared" si="2"/>
        <v>2</v>
      </c>
    </row>
    <row r="156" spans="2:7" x14ac:dyDescent="0.25">
      <c r="B156" s="58">
        <v>150</v>
      </c>
      <c r="C156" s="59" t="s">
        <v>270</v>
      </c>
      <c r="D156" s="59" t="s">
        <v>274</v>
      </c>
      <c r="E156" s="61">
        <v>44440</v>
      </c>
      <c r="F156" s="58">
        <v>242971</v>
      </c>
      <c r="G156">
        <f t="shared" si="2"/>
        <v>3</v>
      </c>
    </row>
    <row r="157" spans="2:7" x14ac:dyDescent="0.25">
      <c r="B157" s="58">
        <v>151</v>
      </c>
      <c r="C157" s="59" t="s">
        <v>270</v>
      </c>
      <c r="D157" s="59" t="s">
        <v>272</v>
      </c>
      <c r="E157" s="61">
        <v>44378</v>
      </c>
      <c r="F157" s="58">
        <v>173616</v>
      </c>
      <c r="G157">
        <f t="shared" si="2"/>
        <v>3</v>
      </c>
    </row>
    <row r="158" spans="2:7" x14ac:dyDescent="0.25">
      <c r="B158" s="58">
        <v>152</v>
      </c>
      <c r="C158" s="59" t="s">
        <v>270</v>
      </c>
      <c r="D158" s="59" t="s">
        <v>273</v>
      </c>
      <c r="E158" s="61">
        <v>44228</v>
      </c>
      <c r="F158" s="58">
        <v>168122</v>
      </c>
      <c r="G158">
        <f t="shared" si="2"/>
        <v>1</v>
      </c>
    </row>
    <row r="159" spans="2:7" x14ac:dyDescent="0.25">
      <c r="B159" s="58">
        <v>153</v>
      </c>
      <c r="C159" s="59" t="s">
        <v>270</v>
      </c>
      <c r="D159" s="59" t="s">
        <v>273</v>
      </c>
      <c r="E159" s="61">
        <v>44531</v>
      </c>
      <c r="F159" s="58">
        <v>151084</v>
      </c>
      <c r="G159">
        <f t="shared" si="2"/>
        <v>4</v>
      </c>
    </row>
    <row r="160" spans="2:7" x14ac:dyDescent="0.25">
      <c r="B160" s="58">
        <v>154</v>
      </c>
      <c r="C160" s="59" t="s">
        <v>278</v>
      </c>
      <c r="D160" s="59" t="s">
        <v>273</v>
      </c>
      <c r="E160" s="61">
        <v>44287</v>
      </c>
      <c r="F160" s="58">
        <v>247904</v>
      </c>
      <c r="G160">
        <f t="shared" si="2"/>
        <v>2</v>
      </c>
    </row>
    <row r="161" spans="2:7" x14ac:dyDescent="0.25">
      <c r="B161" s="58">
        <v>155</v>
      </c>
      <c r="C161" s="59" t="s">
        <v>277</v>
      </c>
      <c r="D161" s="59" t="s">
        <v>271</v>
      </c>
      <c r="E161" s="61">
        <v>44228</v>
      </c>
      <c r="F161" s="58">
        <v>33876</v>
      </c>
      <c r="G161">
        <f t="shared" si="2"/>
        <v>1</v>
      </c>
    </row>
    <row r="162" spans="2:7" x14ac:dyDescent="0.25">
      <c r="B162" s="58">
        <v>156</v>
      </c>
      <c r="C162" s="59" t="s">
        <v>276</v>
      </c>
      <c r="D162" s="59" t="s">
        <v>272</v>
      </c>
      <c r="E162" s="61">
        <v>44348</v>
      </c>
      <c r="F162" s="58">
        <v>95791</v>
      </c>
      <c r="G162">
        <f t="shared" si="2"/>
        <v>2</v>
      </c>
    </row>
    <row r="163" spans="2:7" x14ac:dyDescent="0.25">
      <c r="B163" s="58">
        <v>157</v>
      </c>
      <c r="C163" s="59" t="s">
        <v>278</v>
      </c>
      <c r="D163" s="59" t="s">
        <v>274</v>
      </c>
      <c r="E163" s="61">
        <v>44287</v>
      </c>
      <c r="F163" s="58">
        <v>201120</v>
      </c>
      <c r="G163">
        <f t="shared" si="2"/>
        <v>2</v>
      </c>
    </row>
    <row r="164" spans="2:7" x14ac:dyDescent="0.25">
      <c r="B164" s="58">
        <v>158</v>
      </c>
      <c r="C164" s="59" t="s">
        <v>278</v>
      </c>
      <c r="D164" s="59" t="s">
        <v>275</v>
      </c>
      <c r="E164" s="61">
        <v>44287</v>
      </c>
      <c r="F164" s="58">
        <v>196137</v>
      </c>
      <c r="G164">
        <f t="shared" si="2"/>
        <v>2</v>
      </c>
    </row>
    <row r="165" spans="2:7" x14ac:dyDescent="0.25">
      <c r="B165" s="58">
        <v>159</v>
      </c>
      <c r="C165" s="59" t="s">
        <v>278</v>
      </c>
      <c r="D165" s="59" t="s">
        <v>274</v>
      </c>
      <c r="E165" s="61">
        <v>44197</v>
      </c>
      <c r="F165" s="58">
        <v>6345</v>
      </c>
      <c r="G165">
        <f t="shared" si="2"/>
        <v>1</v>
      </c>
    </row>
    <row r="166" spans="2:7" x14ac:dyDescent="0.25">
      <c r="B166" s="58">
        <v>160</v>
      </c>
      <c r="C166" s="59" t="s">
        <v>278</v>
      </c>
      <c r="D166" s="59" t="s">
        <v>275</v>
      </c>
      <c r="E166" s="61">
        <v>44197</v>
      </c>
      <c r="F166" s="58">
        <v>60394</v>
      </c>
      <c r="G166">
        <f t="shared" si="2"/>
        <v>1</v>
      </c>
    </row>
    <row r="167" spans="2:7" x14ac:dyDescent="0.25">
      <c r="B167" s="58">
        <v>161</v>
      </c>
      <c r="C167" s="59" t="s">
        <v>276</v>
      </c>
      <c r="D167" s="59" t="s">
        <v>273</v>
      </c>
      <c r="E167" s="61">
        <v>44197</v>
      </c>
      <c r="F167" s="58">
        <v>208053</v>
      </c>
      <c r="G167">
        <f t="shared" si="2"/>
        <v>1</v>
      </c>
    </row>
    <row r="168" spans="2:7" x14ac:dyDescent="0.25">
      <c r="B168" s="58">
        <v>162</v>
      </c>
      <c r="C168" s="59" t="s">
        <v>276</v>
      </c>
      <c r="D168" s="59" t="s">
        <v>271</v>
      </c>
      <c r="E168" s="61">
        <v>44287</v>
      </c>
      <c r="F168" s="58">
        <v>216555</v>
      </c>
      <c r="G168">
        <f t="shared" si="2"/>
        <v>2</v>
      </c>
    </row>
    <row r="169" spans="2:7" x14ac:dyDescent="0.25">
      <c r="B169" s="58">
        <v>163</v>
      </c>
      <c r="C169" s="59" t="s">
        <v>278</v>
      </c>
      <c r="D169" s="59" t="s">
        <v>274</v>
      </c>
      <c r="E169" s="61">
        <v>44256</v>
      </c>
      <c r="F169" s="58">
        <v>30219</v>
      </c>
      <c r="G169">
        <f t="shared" si="2"/>
        <v>1</v>
      </c>
    </row>
    <row r="170" spans="2:7" x14ac:dyDescent="0.25">
      <c r="B170" s="58">
        <v>164</v>
      </c>
      <c r="C170" s="59" t="s">
        <v>278</v>
      </c>
      <c r="D170" s="59" t="s">
        <v>272</v>
      </c>
      <c r="E170" s="61">
        <v>44531</v>
      </c>
      <c r="F170" s="58">
        <v>112636</v>
      </c>
      <c r="G170">
        <f t="shared" si="2"/>
        <v>4</v>
      </c>
    </row>
    <row r="171" spans="2:7" x14ac:dyDescent="0.25">
      <c r="B171" s="58">
        <v>165</v>
      </c>
      <c r="C171" s="59" t="s">
        <v>278</v>
      </c>
      <c r="D171" s="59" t="s">
        <v>271</v>
      </c>
      <c r="E171" s="61">
        <v>44317</v>
      </c>
      <c r="F171" s="58">
        <v>232025</v>
      </c>
      <c r="G171">
        <f t="shared" si="2"/>
        <v>2</v>
      </c>
    </row>
    <row r="172" spans="2:7" x14ac:dyDescent="0.25">
      <c r="B172" s="58">
        <v>166</v>
      </c>
      <c r="C172" s="59" t="s">
        <v>279</v>
      </c>
      <c r="D172" s="59" t="s">
        <v>275</v>
      </c>
      <c r="E172" s="61">
        <v>44378</v>
      </c>
      <c r="F172" s="58">
        <v>23560</v>
      </c>
      <c r="G172">
        <f t="shared" si="2"/>
        <v>3</v>
      </c>
    </row>
    <row r="173" spans="2:7" x14ac:dyDescent="0.25">
      <c r="B173" s="58">
        <v>167</v>
      </c>
      <c r="C173" s="59" t="s">
        <v>278</v>
      </c>
      <c r="D173" s="59" t="s">
        <v>272</v>
      </c>
      <c r="E173" s="61">
        <v>44317</v>
      </c>
      <c r="F173" s="58">
        <v>223042</v>
      </c>
      <c r="G173">
        <f t="shared" si="2"/>
        <v>2</v>
      </c>
    </row>
    <row r="174" spans="2:7" x14ac:dyDescent="0.25">
      <c r="B174" s="58">
        <v>168</v>
      </c>
      <c r="C174" s="59" t="s">
        <v>277</v>
      </c>
      <c r="D174" s="59" t="s">
        <v>272</v>
      </c>
      <c r="E174" s="61">
        <v>44378</v>
      </c>
      <c r="F174" s="58">
        <v>185869</v>
      </c>
      <c r="G174">
        <f t="shared" si="2"/>
        <v>3</v>
      </c>
    </row>
    <row r="175" spans="2:7" x14ac:dyDescent="0.25">
      <c r="B175" s="58">
        <v>169</v>
      </c>
      <c r="C175" s="59" t="s">
        <v>277</v>
      </c>
      <c r="D175" s="59" t="s">
        <v>272</v>
      </c>
      <c r="E175" s="61">
        <v>44287</v>
      </c>
      <c r="F175" s="58">
        <v>73394</v>
      </c>
      <c r="G175">
        <f t="shared" si="2"/>
        <v>2</v>
      </c>
    </row>
    <row r="176" spans="2:7" x14ac:dyDescent="0.25">
      <c r="B176" s="58">
        <v>170</v>
      </c>
      <c r="C176" s="59" t="s">
        <v>276</v>
      </c>
      <c r="D176" s="59" t="s">
        <v>272</v>
      </c>
      <c r="E176" s="61">
        <v>44348</v>
      </c>
      <c r="F176" s="58">
        <v>254580</v>
      </c>
      <c r="G176">
        <f t="shared" si="2"/>
        <v>2</v>
      </c>
    </row>
    <row r="177" spans="2:7" x14ac:dyDescent="0.25">
      <c r="B177" s="58">
        <v>171</v>
      </c>
      <c r="C177" s="59" t="s">
        <v>277</v>
      </c>
      <c r="D177" s="59" t="s">
        <v>274</v>
      </c>
      <c r="E177" s="61">
        <v>44470</v>
      </c>
      <c r="F177" s="58">
        <v>175018</v>
      </c>
      <c r="G177">
        <f t="shared" si="2"/>
        <v>4</v>
      </c>
    </row>
    <row r="178" spans="2:7" x14ac:dyDescent="0.25">
      <c r="B178" s="58">
        <v>172</v>
      </c>
      <c r="C178" s="59" t="s">
        <v>277</v>
      </c>
      <c r="D178" s="59" t="s">
        <v>274</v>
      </c>
      <c r="E178" s="61">
        <v>44197</v>
      </c>
      <c r="F178" s="58">
        <v>248756</v>
      </c>
      <c r="G178">
        <f t="shared" si="2"/>
        <v>1</v>
      </c>
    </row>
    <row r="179" spans="2:7" x14ac:dyDescent="0.25">
      <c r="B179" s="58">
        <v>173</v>
      </c>
      <c r="C179" s="59" t="s">
        <v>276</v>
      </c>
      <c r="D179" s="59" t="s">
        <v>275</v>
      </c>
      <c r="E179" s="61">
        <v>44531</v>
      </c>
      <c r="F179" s="58">
        <v>22305</v>
      </c>
      <c r="G179">
        <f t="shared" si="2"/>
        <v>4</v>
      </c>
    </row>
    <row r="180" spans="2:7" x14ac:dyDescent="0.25">
      <c r="B180" s="58">
        <v>174</v>
      </c>
      <c r="C180" s="59" t="s">
        <v>276</v>
      </c>
      <c r="D180" s="59" t="s">
        <v>271</v>
      </c>
      <c r="E180" s="61">
        <v>44228</v>
      </c>
      <c r="F180" s="58">
        <v>5187</v>
      </c>
      <c r="G180">
        <f t="shared" si="2"/>
        <v>1</v>
      </c>
    </row>
    <row r="181" spans="2:7" x14ac:dyDescent="0.25">
      <c r="B181" s="58">
        <v>175</v>
      </c>
      <c r="C181" s="59" t="s">
        <v>277</v>
      </c>
      <c r="D181" s="59" t="s">
        <v>275</v>
      </c>
      <c r="E181" s="61">
        <v>44197</v>
      </c>
      <c r="F181" s="58">
        <v>100486</v>
      </c>
      <c r="G181">
        <f t="shared" si="2"/>
        <v>1</v>
      </c>
    </row>
    <row r="182" spans="2:7" x14ac:dyDescent="0.25">
      <c r="B182" s="58">
        <v>176</v>
      </c>
      <c r="C182" s="59" t="s">
        <v>276</v>
      </c>
      <c r="D182" s="59" t="s">
        <v>272</v>
      </c>
      <c r="E182" s="61">
        <v>44287</v>
      </c>
      <c r="F182" s="58">
        <v>259</v>
      </c>
      <c r="G182">
        <f t="shared" si="2"/>
        <v>2</v>
      </c>
    </row>
    <row r="183" spans="2:7" x14ac:dyDescent="0.25">
      <c r="B183" s="58">
        <v>177</v>
      </c>
      <c r="C183" s="59" t="s">
        <v>278</v>
      </c>
      <c r="D183" s="59" t="s">
        <v>273</v>
      </c>
      <c r="E183" s="61">
        <v>44287</v>
      </c>
      <c r="F183" s="58">
        <v>61230</v>
      </c>
      <c r="G183">
        <f t="shared" si="2"/>
        <v>2</v>
      </c>
    </row>
    <row r="184" spans="2:7" x14ac:dyDescent="0.25">
      <c r="B184" s="58">
        <v>178</v>
      </c>
      <c r="C184" s="59" t="s">
        <v>276</v>
      </c>
      <c r="D184" s="59" t="s">
        <v>273</v>
      </c>
      <c r="E184" s="61">
        <v>44256</v>
      </c>
      <c r="F184" s="58">
        <v>29435</v>
      </c>
      <c r="G184">
        <f t="shared" si="2"/>
        <v>1</v>
      </c>
    </row>
    <row r="185" spans="2:7" x14ac:dyDescent="0.25">
      <c r="B185" s="58">
        <v>179</v>
      </c>
      <c r="C185" s="59" t="s">
        <v>278</v>
      </c>
      <c r="D185" s="59" t="s">
        <v>273</v>
      </c>
      <c r="E185" s="61">
        <v>44228</v>
      </c>
      <c r="F185" s="58">
        <v>74022</v>
      </c>
      <c r="G185">
        <f t="shared" si="2"/>
        <v>1</v>
      </c>
    </row>
    <row r="186" spans="2:7" x14ac:dyDescent="0.25">
      <c r="B186" s="58">
        <v>180</v>
      </c>
      <c r="C186" s="59" t="s">
        <v>279</v>
      </c>
      <c r="D186" s="59" t="s">
        <v>273</v>
      </c>
      <c r="E186" s="61">
        <v>44317</v>
      </c>
      <c r="F186" s="58">
        <v>124153</v>
      </c>
      <c r="G186">
        <f t="shared" si="2"/>
        <v>2</v>
      </c>
    </row>
    <row r="187" spans="2:7" x14ac:dyDescent="0.25">
      <c r="B187" s="58">
        <v>181</v>
      </c>
      <c r="C187" s="59" t="s">
        <v>276</v>
      </c>
      <c r="D187" s="59" t="s">
        <v>275</v>
      </c>
      <c r="E187" s="61">
        <v>44470</v>
      </c>
      <c r="F187" s="58">
        <v>225220</v>
      </c>
      <c r="G187">
        <f t="shared" si="2"/>
        <v>4</v>
      </c>
    </row>
    <row r="188" spans="2:7" x14ac:dyDescent="0.25">
      <c r="B188" s="58">
        <v>182</v>
      </c>
      <c r="C188" s="59" t="s">
        <v>279</v>
      </c>
      <c r="D188" s="59" t="s">
        <v>272</v>
      </c>
      <c r="E188" s="61">
        <v>44317</v>
      </c>
      <c r="F188" s="58">
        <v>164464</v>
      </c>
      <c r="G188">
        <f t="shared" si="2"/>
        <v>2</v>
      </c>
    </row>
    <row r="189" spans="2:7" x14ac:dyDescent="0.25">
      <c r="B189" s="58">
        <v>183</v>
      </c>
      <c r="C189" s="59" t="s">
        <v>276</v>
      </c>
      <c r="D189" s="59" t="s">
        <v>273</v>
      </c>
      <c r="E189" s="61">
        <v>44287</v>
      </c>
      <c r="F189" s="58">
        <v>145328</v>
      </c>
      <c r="G189">
        <f t="shared" si="2"/>
        <v>2</v>
      </c>
    </row>
    <row r="190" spans="2:7" x14ac:dyDescent="0.25">
      <c r="B190" s="58">
        <v>184</v>
      </c>
      <c r="C190" s="59" t="s">
        <v>278</v>
      </c>
      <c r="D190" s="59" t="s">
        <v>274</v>
      </c>
      <c r="E190" s="61">
        <v>44287</v>
      </c>
      <c r="F190" s="58">
        <v>189847</v>
      </c>
      <c r="G190">
        <f t="shared" si="2"/>
        <v>2</v>
      </c>
    </row>
    <row r="191" spans="2:7" x14ac:dyDescent="0.25">
      <c r="B191" s="58">
        <v>185</v>
      </c>
      <c r="C191" s="59" t="s">
        <v>270</v>
      </c>
      <c r="D191" s="59" t="s">
        <v>275</v>
      </c>
      <c r="E191" s="61">
        <v>44317</v>
      </c>
      <c r="F191" s="58">
        <v>240648</v>
      </c>
      <c r="G191">
        <f t="shared" si="2"/>
        <v>2</v>
      </c>
    </row>
    <row r="192" spans="2:7" x14ac:dyDescent="0.25">
      <c r="B192" s="58">
        <v>186</v>
      </c>
      <c r="C192" s="59" t="s">
        <v>270</v>
      </c>
      <c r="D192" s="59" t="s">
        <v>271</v>
      </c>
      <c r="E192" s="61">
        <v>44287</v>
      </c>
      <c r="F192" s="58">
        <v>73163</v>
      </c>
      <c r="G192">
        <f t="shared" si="2"/>
        <v>2</v>
      </c>
    </row>
    <row r="193" spans="2:7" x14ac:dyDescent="0.25">
      <c r="B193" s="58">
        <v>187</v>
      </c>
      <c r="C193" s="59" t="s">
        <v>270</v>
      </c>
      <c r="D193" s="59" t="s">
        <v>274</v>
      </c>
      <c r="E193" s="61">
        <v>44409</v>
      </c>
      <c r="F193" s="58">
        <v>67090</v>
      </c>
      <c r="G193">
        <f t="shared" si="2"/>
        <v>3</v>
      </c>
    </row>
    <row r="194" spans="2:7" x14ac:dyDescent="0.25">
      <c r="B194" s="58">
        <v>188</v>
      </c>
      <c r="C194" s="59" t="s">
        <v>270</v>
      </c>
      <c r="D194" s="59" t="s">
        <v>274</v>
      </c>
      <c r="E194" s="61">
        <v>44440</v>
      </c>
      <c r="F194" s="58">
        <v>13179</v>
      </c>
      <c r="G194">
        <f t="shared" si="2"/>
        <v>3</v>
      </c>
    </row>
    <row r="195" spans="2:7" x14ac:dyDescent="0.25">
      <c r="B195" s="58">
        <v>189</v>
      </c>
      <c r="C195" s="59" t="s">
        <v>270</v>
      </c>
      <c r="D195" s="59" t="s">
        <v>272</v>
      </c>
      <c r="E195" s="61">
        <v>44228</v>
      </c>
      <c r="F195" s="58">
        <v>210276</v>
      </c>
      <c r="G195">
        <f t="shared" si="2"/>
        <v>1</v>
      </c>
    </row>
    <row r="196" spans="2:7" x14ac:dyDescent="0.25">
      <c r="B196" s="58">
        <v>190</v>
      </c>
      <c r="C196" s="59" t="s">
        <v>270</v>
      </c>
      <c r="D196" s="59" t="s">
        <v>272</v>
      </c>
      <c r="E196" s="61">
        <v>44228</v>
      </c>
      <c r="F196" s="58">
        <v>86142</v>
      </c>
      <c r="G196">
        <f t="shared" si="2"/>
        <v>1</v>
      </c>
    </row>
    <row r="197" spans="2:7" x14ac:dyDescent="0.25">
      <c r="B197" s="58">
        <v>191</v>
      </c>
      <c r="C197" s="59" t="s">
        <v>270</v>
      </c>
      <c r="D197" s="59" t="s">
        <v>271</v>
      </c>
      <c r="E197" s="61">
        <v>44287</v>
      </c>
      <c r="F197" s="58">
        <v>203878</v>
      </c>
      <c r="G197">
        <f t="shared" si="2"/>
        <v>2</v>
      </c>
    </row>
    <row r="198" spans="2:7" x14ac:dyDescent="0.25">
      <c r="B198" s="58">
        <v>192</v>
      </c>
      <c r="C198" s="59" t="s">
        <v>270</v>
      </c>
      <c r="D198" s="59" t="s">
        <v>273</v>
      </c>
      <c r="E198" s="61">
        <v>44378</v>
      </c>
      <c r="F198" s="58">
        <v>86843</v>
      </c>
      <c r="G198">
        <f t="shared" si="2"/>
        <v>3</v>
      </c>
    </row>
    <row r="199" spans="2:7" x14ac:dyDescent="0.25">
      <c r="B199" s="58">
        <v>193</v>
      </c>
      <c r="C199" s="59" t="s">
        <v>270</v>
      </c>
      <c r="D199" s="59" t="s">
        <v>273</v>
      </c>
      <c r="E199" s="61">
        <v>44531</v>
      </c>
      <c r="F199" s="58">
        <v>-21877</v>
      </c>
      <c r="G199">
        <f t="shared" si="2"/>
        <v>4</v>
      </c>
    </row>
    <row r="200" spans="2:7" x14ac:dyDescent="0.25">
      <c r="B200" s="58">
        <v>194</v>
      </c>
      <c r="C200" s="59" t="s">
        <v>270</v>
      </c>
      <c r="D200" s="59" t="s">
        <v>273</v>
      </c>
      <c r="E200" s="61">
        <v>44197</v>
      </c>
      <c r="F200" s="58">
        <v>95623</v>
      </c>
      <c r="G200">
        <f t="shared" ref="G200:G263" si="3">ROUNDUP(MONTH(E200)/3,0)</f>
        <v>1</v>
      </c>
    </row>
    <row r="201" spans="2:7" x14ac:dyDescent="0.25">
      <c r="B201" s="58">
        <v>195</v>
      </c>
      <c r="C201" s="59" t="s">
        <v>270</v>
      </c>
      <c r="D201" s="59" t="s">
        <v>274</v>
      </c>
      <c r="E201" s="61">
        <v>44531</v>
      </c>
      <c r="F201" s="58">
        <v>244284</v>
      </c>
      <c r="G201">
        <f t="shared" si="3"/>
        <v>4</v>
      </c>
    </row>
    <row r="202" spans="2:7" x14ac:dyDescent="0.25">
      <c r="B202" s="58">
        <v>196</v>
      </c>
      <c r="C202" s="59" t="s">
        <v>270</v>
      </c>
      <c r="D202" s="59" t="s">
        <v>274</v>
      </c>
      <c r="E202" s="61">
        <v>44378</v>
      </c>
      <c r="F202" s="58">
        <v>103592</v>
      </c>
      <c r="G202">
        <f t="shared" si="3"/>
        <v>3</v>
      </c>
    </row>
    <row r="203" spans="2:7" x14ac:dyDescent="0.25">
      <c r="B203" s="58">
        <v>197</v>
      </c>
      <c r="C203" s="59" t="s">
        <v>270</v>
      </c>
      <c r="D203" s="59" t="s">
        <v>275</v>
      </c>
      <c r="E203" s="61">
        <v>44348</v>
      </c>
      <c r="F203" s="58">
        <v>17150</v>
      </c>
      <c r="G203">
        <f t="shared" si="3"/>
        <v>2</v>
      </c>
    </row>
    <row r="204" spans="2:7" x14ac:dyDescent="0.25">
      <c r="B204" s="58">
        <v>198</v>
      </c>
      <c r="C204" s="59" t="s">
        <v>270</v>
      </c>
      <c r="D204" s="59" t="s">
        <v>271</v>
      </c>
      <c r="E204" s="61">
        <v>44378</v>
      </c>
      <c r="F204" s="58">
        <v>138473</v>
      </c>
      <c r="G204">
        <f t="shared" si="3"/>
        <v>3</v>
      </c>
    </row>
    <row r="205" spans="2:7" x14ac:dyDescent="0.25">
      <c r="B205" s="58">
        <v>199</v>
      </c>
      <c r="C205" s="59" t="s">
        <v>270</v>
      </c>
      <c r="D205" s="59" t="s">
        <v>274</v>
      </c>
      <c r="E205" s="61">
        <v>44287</v>
      </c>
      <c r="F205" s="58">
        <v>81846</v>
      </c>
      <c r="G205">
        <f t="shared" si="3"/>
        <v>2</v>
      </c>
    </row>
    <row r="206" spans="2:7" x14ac:dyDescent="0.25">
      <c r="B206" s="58">
        <v>200</v>
      </c>
      <c r="C206" s="59" t="s">
        <v>270</v>
      </c>
      <c r="D206" s="59" t="s">
        <v>274</v>
      </c>
      <c r="E206" s="61">
        <v>44409</v>
      </c>
      <c r="F206" s="58">
        <v>10877</v>
      </c>
      <c r="G206">
        <f t="shared" si="3"/>
        <v>3</v>
      </c>
    </row>
    <row r="207" spans="2:7" x14ac:dyDescent="0.25">
      <c r="B207" s="58">
        <v>201</v>
      </c>
      <c r="C207" s="59" t="s">
        <v>276</v>
      </c>
      <c r="D207" s="59" t="s">
        <v>271</v>
      </c>
      <c r="E207" s="61">
        <v>44409</v>
      </c>
      <c r="F207" s="58">
        <v>155980</v>
      </c>
      <c r="G207">
        <f t="shared" si="3"/>
        <v>3</v>
      </c>
    </row>
    <row r="208" spans="2:7" x14ac:dyDescent="0.25">
      <c r="B208" s="58">
        <v>202</v>
      </c>
      <c r="C208" s="59" t="s">
        <v>279</v>
      </c>
      <c r="D208" s="59" t="s">
        <v>273</v>
      </c>
      <c r="E208" s="61">
        <v>44409</v>
      </c>
      <c r="F208" s="58">
        <v>23010</v>
      </c>
      <c r="G208">
        <f t="shared" si="3"/>
        <v>3</v>
      </c>
    </row>
    <row r="209" spans="2:7" x14ac:dyDescent="0.25">
      <c r="B209" s="58">
        <v>203</v>
      </c>
      <c r="C209" s="59" t="s">
        <v>279</v>
      </c>
      <c r="D209" s="59" t="s">
        <v>272</v>
      </c>
      <c r="E209" s="61">
        <v>44531</v>
      </c>
      <c r="F209" s="58">
        <v>71529</v>
      </c>
      <c r="G209">
        <f t="shared" si="3"/>
        <v>4</v>
      </c>
    </row>
    <row r="210" spans="2:7" x14ac:dyDescent="0.25">
      <c r="B210" s="58">
        <v>204</v>
      </c>
      <c r="C210" s="59" t="s">
        <v>277</v>
      </c>
      <c r="D210" s="59" t="s">
        <v>271</v>
      </c>
      <c r="E210" s="61">
        <v>44470</v>
      </c>
      <c r="F210" s="58">
        <v>39494</v>
      </c>
      <c r="G210">
        <f t="shared" si="3"/>
        <v>4</v>
      </c>
    </row>
    <row r="211" spans="2:7" x14ac:dyDescent="0.25">
      <c r="B211" s="58">
        <v>205</v>
      </c>
      <c r="C211" s="59" t="s">
        <v>279</v>
      </c>
      <c r="D211" s="59" t="s">
        <v>271</v>
      </c>
      <c r="E211" s="61">
        <v>44228</v>
      </c>
      <c r="F211" s="58">
        <v>157993</v>
      </c>
      <c r="G211">
        <f t="shared" si="3"/>
        <v>1</v>
      </c>
    </row>
    <row r="212" spans="2:7" x14ac:dyDescent="0.25">
      <c r="B212" s="58">
        <v>206</v>
      </c>
      <c r="C212" s="59" t="s">
        <v>277</v>
      </c>
      <c r="D212" s="59" t="s">
        <v>273</v>
      </c>
      <c r="E212" s="61">
        <v>44378</v>
      </c>
      <c r="F212" s="58">
        <v>121986</v>
      </c>
      <c r="G212">
        <f t="shared" si="3"/>
        <v>3</v>
      </c>
    </row>
    <row r="213" spans="2:7" x14ac:dyDescent="0.25">
      <c r="B213" s="58">
        <v>207</v>
      </c>
      <c r="C213" s="59" t="s">
        <v>278</v>
      </c>
      <c r="D213" s="59" t="s">
        <v>272</v>
      </c>
      <c r="E213" s="61">
        <v>44440</v>
      </c>
      <c r="F213" s="58">
        <v>258051</v>
      </c>
      <c r="G213">
        <f t="shared" si="3"/>
        <v>3</v>
      </c>
    </row>
    <row r="214" spans="2:7" x14ac:dyDescent="0.25">
      <c r="B214" s="58">
        <v>208</v>
      </c>
      <c r="C214" s="59" t="s">
        <v>276</v>
      </c>
      <c r="D214" s="59" t="s">
        <v>273</v>
      </c>
      <c r="E214" s="61">
        <v>44197</v>
      </c>
      <c r="F214" s="58">
        <v>6460</v>
      </c>
      <c r="G214">
        <f t="shared" si="3"/>
        <v>1</v>
      </c>
    </row>
    <row r="215" spans="2:7" x14ac:dyDescent="0.25">
      <c r="B215" s="58">
        <v>209</v>
      </c>
      <c r="C215" s="59" t="s">
        <v>278</v>
      </c>
      <c r="D215" s="59" t="s">
        <v>273</v>
      </c>
      <c r="E215" s="61">
        <v>44256</v>
      </c>
      <c r="F215" s="58">
        <v>114470</v>
      </c>
      <c r="G215">
        <f t="shared" si="3"/>
        <v>1</v>
      </c>
    </row>
    <row r="216" spans="2:7" x14ac:dyDescent="0.25">
      <c r="B216" s="58">
        <v>210</v>
      </c>
      <c r="C216" s="59" t="s">
        <v>276</v>
      </c>
      <c r="D216" s="59" t="s">
        <v>275</v>
      </c>
      <c r="E216" s="61">
        <v>44228</v>
      </c>
      <c r="F216" s="58">
        <v>8721</v>
      </c>
      <c r="G216">
        <f t="shared" si="3"/>
        <v>1</v>
      </c>
    </row>
    <row r="217" spans="2:7" x14ac:dyDescent="0.25">
      <c r="B217" s="58">
        <v>211</v>
      </c>
      <c r="C217" s="59" t="s">
        <v>277</v>
      </c>
      <c r="D217" s="59" t="s">
        <v>273</v>
      </c>
      <c r="E217" s="61">
        <v>44440</v>
      </c>
      <c r="F217" s="58">
        <v>160752</v>
      </c>
      <c r="G217">
        <f t="shared" si="3"/>
        <v>3</v>
      </c>
    </row>
    <row r="218" spans="2:7" x14ac:dyDescent="0.25">
      <c r="B218" s="58">
        <v>212</v>
      </c>
      <c r="C218" s="59" t="s">
        <v>277</v>
      </c>
      <c r="D218" s="59" t="s">
        <v>273</v>
      </c>
      <c r="E218" s="61">
        <v>44531</v>
      </c>
      <c r="F218" s="58">
        <v>1365</v>
      </c>
      <c r="G218">
        <f t="shared" si="3"/>
        <v>4</v>
      </c>
    </row>
    <row r="219" spans="2:7" x14ac:dyDescent="0.25">
      <c r="B219" s="58">
        <v>213</v>
      </c>
      <c r="C219" s="59" t="s">
        <v>276</v>
      </c>
      <c r="D219" s="59" t="s">
        <v>274</v>
      </c>
      <c r="E219" s="61">
        <v>44531</v>
      </c>
      <c r="F219" s="58">
        <v>54633</v>
      </c>
      <c r="G219">
        <f t="shared" si="3"/>
        <v>4</v>
      </c>
    </row>
    <row r="220" spans="2:7" x14ac:dyDescent="0.25">
      <c r="B220" s="58">
        <v>214</v>
      </c>
      <c r="C220" s="59" t="s">
        <v>277</v>
      </c>
      <c r="D220" s="59" t="s">
        <v>271</v>
      </c>
      <c r="E220" s="61">
        <v>44348</v>
      </c>
      <c r="F220" s="58">
        <v>130437</v>
      </c>
      <c r="G220">
        <f t="shared" si="3"/>
        <v>2</v>
      </c>
    </row>
    <row r="221" spans="2:7" x14ac:dyDescent="0.25">
      <c r="B221" s="58">
        <v>215</v>
      </c>
      <c r="C221" s="59" t="s">
        <v>276</v>
      </c>
      <c r="D221" s="59" t="s">
        <v>273</v>
      </c>
      <c r="E221" s="61">
        <v>44317</v>
      </c>
      <c r="F221" s="58">
        <v>53266</v>
      </c>
      <c r="G221">
        <f t="shared" si="3"/>
        <v>2</v>
      </c>
    </row>
    <row r="222" spans="2:7" x14ac:dyDescent="0.25">
      <c r="B222" s="58">
        <v>216</v>
      </c>
      <c r="C222" s="59" t="s">
        <v>277</v>
      </c>
      <c r="D222" s="59" t="s">
        <v>274</v>
      </c>
      <c r="E222" s="61">
        <v>44409</v>
      </c>
      <c r="F222" s="58">
        <v>110965</v>
      </c>
      <c r="G222">
        <f t="shared" si="3"/>
        <v>3</v>
      </c>
    </row>
    <row r="223" spans="2:7" x14ac:dyDescent="0.25">
      <c r="B223" s="58">
        <v>217</v>
      </c>
      <c r="C223" s="59" t="s">
        <v>276</v>
      </c>
      <c r="D223" s="59" t="s">
        <v>272</v>
      </c>
      <c r="E223" s="61">
        <v>44348</v>
      </c>
      <c r="F223" s="58">
        <v>159478</v>
      </c>
      <c r="G223">
        <f t="shared" si="3"/>
        <v>2</v>
      </c>
    </row>
    <row r="224" spans="2:7" x14ac:dyDescent="0.25">
      <c r="B224" s="58">
        <v>218</v>
      </c>
      <c r="C224" s="59" t="s">
        <v>277</v>
      </c>
      <c r="D224" s="59" t="s">
        <v>271</v>
      </c>
      <c r="E224" s="61">
        <v>44348</v>
      </c>
      <c r="F224" s="58">
        <v>96983</v>
      </c>
      <c r="G224">
        <f t="shared" si="3"/>
        <v>2</v>
      </c>
    </row>
    <row r="225" spans="2:7" x14ac:dyDescent="0.25">
      <c r="B225" s="58">
        <v>219</v>
      </c>
      <c r="C225" s="59" t="s">
        <v>276</v>
      </c>
      <c r="D225" s="59" t="s">
        <v>271</v>
      </c>
      <c r="E225" s="61">
        <v>44228</v>
      </c>
      <c r="F225" s="58">
        <v>15238</v>
      </c>
      <c r="G225">
        <f t="shared" si="3"/>
        <v>1</v>
      </c>
    </row>
    <row r="226" spans="2:7" x14ac:dyDescent="0.25">
      <c r="B226" s="58">
        <v>220</v>
      </c>
      <c r="C226" s="59" t="s">
        <v>278</v>
      </c>
      <c r="D226" s="59" t="s">
        <v>272</v>
      </c>
      <c r="E226" s="61">
        <v>44287</v>
      </c>
      <c r="F226" s="58">
        <v>89649</v>
      </c>
      <c r="G226">
        <f t="shared" si="3"/>
        <v>2</v>
      </c>
    </row>
    <row r="227" spans="2:7" x14ac:dyDescent="0.25">
      <c r="B227" s="58">
        <v>221</v>
      </c>
      <c r="C227" s="59" t="s">
        <v>279</v>
      </c>
      <c r="D227" s="59" t="s">
        <v>272</v>
      </c>
      <c r="E227" s="61">
        <v>44287</v>
      </c>
      <c r="F227" s="58">
        <v>42319</v>
      </c>
      <c r="G227">
        <f t="shared" si="3"/>
        <v>2</v>
      </c>
    </row>
    <row r="228" spans="2:7" x14ac:dyDescent="0.25">
      <c r="B228" s="58">
        <v>222</v>
      </c>
      <c r="C228" s="59" t="s">
        <v>277</v>
      </c>
      <c r="D228" s="59" t="s">
        <v>272</v>
      </c>
      <c r="E228" s="61">
        <v>44317</v>
      </c>
      <c r="F228" s="58">
        <v>1519</v>
      </c>
      <c r="G228">
        <f t="shared" si="3"/>
        <v>2</v>
      </c>
    </row>
    <row r="229" spans="2:7" x14ac:dyDescent="0.25">
      <c r="B229" s="58">
        <v>223</v>
      </c>
      <c r="C229" s="59" t="s">
        <v>276</v>
      </c>
      <c r="D229" s="59" t="s">
        <v>271</v>
      </c>
      <c r="E229" s="61">
        <v>44409</v>
      </c>
      <c r="F229" s="58">
        <v>78549</v>
      </c>
      <c r="G229">
        <f t="shared" si="3"/>
        <v>3</v>
      </c>
    </row>
    <row r="230" spans="2:7" x14ac:dyDescent="0.25">
      <c r="B230" s="58">
        <v>224</v>
      </c>
      <c r="C230" s="59" t="s">
        <v>279</v>
      </c>
      <c r="D230" s="59" t="s">
        <v>271</v>
      </c>
      <c r="E230" s="61">
        <v>44317</v>
      </c>
      <c r="F230" s="58">
        <v>1696</v>
      </c>
      <c r="G230">
        <f t="shared" si="3"/>
        <v>2</v>
      </c>
    </row>
    <row r="231" spans="2:7" x14ac:dyDescent="0.25">
      <c r="B231" s="58">
        <v>225</v>
      </c>
      <c r="C231" s="59" t="s">
        <v>276</v>
      </c>
      <c r="D231" s="59" t="s">
        <v>275</v>
      </c>
      <c r="E231" s="61">
        <v>44228</v>
      </c>
      <c r="F231" s="58">
        <v>252387</v>
      </c>
      <c r="G231">
        <f t="shared" si="3"/>
        <v>1</v>
      </c>
    </row>
    <row r="232" spans="2:7" x14ac:dyDescent="0.25">
      <c r="B232" s="58">
        <v>226</v>
      </c>
      <c r="C232" s="59" t="s">
        <v>279</v>
      </c>
      <c r="D232" s="59" t="s">
        <v>271</v>
      </c>
      <c r="E232" s="61">
        <v>44228</v>
      </c>
      <c r="F232" s="58">
        <v>27849</v>
      </c>
      <c r="G232">
        <f t="shared" si="3"/>
        <v>1</v>
      </c>
    </row>
    <row r="233" spans="2:7" x14ac:dyDescent="0.25">
      <c r="B233" s="58">
        <v>227</v>
      </c>
      <c r="C233" s="59" t="s">
        <v>276</v>
      </c>
      <c r="D233" s="59" t="s">
        <v>275</v>
      </c>
      <c r="E233" s="61">
        <v>44287</v>
      </c>
      <c r="F233" s="58">
        <v>173334</v>
      </c>
      <c r="G233">
        <f t="shared" si="3"/>
        <v>2</v>
      </c>
    </row>
    <row r="234" spans="2:7" x14ac:dyDescent="0.25">
      <c r="B234" s="58">
        <v>228</v>
      </c>
      <c r="C234" s="59" t="s">
        <v>277</v>
      </c>
      <c r="D234" s="59" t="s">
        <v>274</v>
      </c>
      <c r="E234" s="61">
        <v>44287</v>
      </c>
      <c r="F234" s="58">
        <v>221658</v>
      </c>
      <c r="G234">
        <f t="shared" si="3"/>
        <v>2</v>
      </c>
    </row>
    <row r="235" spans="2:7" x14ac:dyDescent="0.25">
      <c r="B235" s="58">
        <v>229</v>
      </c>
      <c r="C235" s="59" t="s">
        <v>279</v>
      </c>
      <c r="D235" s="59" t="s">
        <v>272</v>
      </c>
      <c r="E235" s="61">
        <v>44531</v>
      </c>
      <c r="F235" s="58">
        <v>12709</v>
      </c>
      <c r="G235">
        <f t="shared" si="3"/>
        <v>4</v>
      </c>
    </row>
    <row r="236" spans="2:7" x14ac:dyDescent="0.25">
      <c r="B236" s="58">
        <v>230</v>
      </c>
      <c r="C236" s="59" t="s">
        <v>277</v>
      </c>
      <c r="D236" s="59" t="s">
        <v>273</v>
      </c>
      <c r="E236" s="61">
        <v>44256</v>
      </c>
      <c r="F236" s="58">
        <v>6845</v>
      </c>
      <c r="G236">
        <f t="shared" si="3"/>
        <v>1</v>
      </c>
    </row>
    <row r="237" spans="2:7" x14ac:dyDescent="0.25">
      <c r="B237" s="58">
        <v>231</v>
      </c>
      <c r="C237" s="59" t="s">
        <v>278</v>
      </c>
      <c r="D237" s="59" t="s">
        <v>272</v>
      </c>
      <c r="E237" s="61">
        <v>44501</v>
      </c>
      <c r="F237" s="58">
        <v>39271</v>
      </c>
      <c r="G237">
        <f t="shared" si="3"/>
        <v>4</v>
      </c>
    </row>
    <row r="238" spans="2:7" x14ac:dyDescent="0.25">
      <c r="B238" s="58">
        <v>232</v>
      </c>
      <c r="C238" s="59" t="s">
        <v>278</v>
      </c>
      <c r="D238" s="59" t="s">
        <v>271</v>
      </c>
      <c r="E238" s="61">
        <v>44440</v>
      </c>
      <c r="F238" s="58">
        <v>208038</v>
      </c>
      <c r="G238">
        <f t="shared" si="3"/>
        <v>3</v>
      </c>
    </row>
    <row r="239" spans="2:7" x14ac:dyDescent="0.25">
      <c r="B239" s="58">
        <v>233</v>
      </c>
      <c r="C239" s="59" t="s">
        <v>276</v>
      </c>
      <c r="D239" s="59" t="s">
        <v>271</v>
      </c>
      <c r="E239" s="61">
        <v>44378</v>
      </c>
      <c r="F239" s="58">
        <v>12894</v>
      </c>
      <c r="G239">
        <f t="shared" si="3"/>
        <v>3</v>
      </c>
    </row>
    <row r="240" spans="2:7" x14ac:dyDescent="0.25">
      <c r="B240" s="58">
        <v>234</v>
      </c>
      <c r="C240" s="59" t="s">
        <v>279</v>
      </c>
      <c r="D240" s="59" t="s">
        <v>272</v>
      </c>
      <c r="E240" s="61">
        <v>44470</v>
      </c>
      <c r="F240" s="58">
        <v>236531</v>
      </c>
      <c r="G240">
        <f t="shared" si="3"/>
        <v>4</v>
      </c>
    </row>
    <row r="241" spans="2:7" x14ac:dyDescent="0.25">
      <c r="B241" s="58">
        <v>235</v>
      </c>
      <c r="C241" s="59" t="s">
        <v>276</v>
      </c>
      <c r="D241" s="59" t="s">
        <v>272</v>
      </c>
      <c r="E241" s="61">
        <v>44470</v>
      </c>
      <c r="F241" s="58">
        <v>128249</v>
      </c>
      <c r="G241">
        <f t="shared" si="3"/>
        <v>4</v>
      </c>
    </row>
    <row r="242" spans="2:7" x14ac:dyDescent="0.25">
      <c r="B242" s="58">
        <v>236</v>
      </c>
      <c r="C242" s="59" t="s">
        <v>279</v>
      </c>
      <c r="D242" s="59" t="s">
        <v>272</v>
      </c>
      <c r="E242" s="61">
        <v>44531</v>
      </c>
      <c r="F242" s="58">
        <v>210352</v>
      </c>
      <c r="G242">
        <f t="shared" si="3"/>
        <v>4</v>
      </c>
    </row>
    <row r="243" spans="2:7" x14ac:dyDescent="0.25">
      <c r="B243" s="58">
        <v>237</v>
      </c>
      <c r="C243" s="59" t="s">
        <v>276</v>
      </c>
      <c r="D243" s="59" t="s">
        <v>273</v>
      </c>
      <c r="E243" s="61">
        <v>44256</v>
      </c>
      <c r="F243" s="58">
        <v>133951</v>
      </c>
      <c r="G243">
        <f t="shared" si="3"/>
        <v>1</v>
      </c>
    </row>
    <row r="244" spans="2:7" x14ac:dyDescent="0.25">
      <c r="B244" s="58">
        <v>238</v>
      </c>
      <c r="C244" s="59" t="s">
        <v>276</v>
      </c>
      <c r="D244" s="59" t="s">
        <v>272</v>
      </c>
      <c r="E244" s="61">
        <v>44256</v>
      </c>
      <c r="F244" s="58">
        <v>117440</v>
      </c>
      <c r="G244">
        <f t="shared" si="3"/>
        <v>1</v>
      </c>
    </row>
    <row r="245" spans="2:7" x14ac:dyDescent="0.25">
      <c r="B245" s="58">
        <v>239</v>
      </c>
      <c r="C245" s="59" t="s">
        <v>277</v>
      </c>
      <c r="D245" s="59" t="s">
        <v>275</v>
      </c>
      <c r="E245" s="61">
        <v>44440</v>
      </c>
      <c r="F245" s="58">
        <v>256402</v>
      </c>
      <c r="G245">
        <f t="shared" si="3"/>
        <v>3</v>
      </c>
    </row>
    <row r="246" spans="2:7" x14ac:dyDescent="0.25">
      <c r="B246" s="58">
        <v>240</v>
      </c>
      <c r="C246" s="59" t="s">
        <v>270</v>
      </c>
      <c r="D246" s="59" t="s">
        <v>272</v>
      </c>
      <c r="E246" s="61">
        <v>44197</v>
      </c>
      <c r="F246" s="58">
        <v>151301</v>
      </c>
      <c r="G246">
        <f t="shared" si="3"/>
        <v>1</v>
      </c>
    </row>
    <row r="247" spans="2:7" x14ac:dyDescent="0.25">
      <c r="B247" s="58">
        <v>241</v>
      </c>
      <c r="C247" s="59" t="s">
        <v>270</v>
      </c>
      <c r="D247" s="59" t="s">
        <v>273</v>
      </c>
      <c r="E247" s="61">
        <v>44501</v>
      </c>
      <c r="F247" s="58">
        <v>74813</v>
      </c>
      <c r="G247">
        <f t="shared" si="3"/>
        <v>4</v>
      </c>
    </row>
    <row r="248" spans="2:7" x14ac:dyDescent="0.25">
      <c r="B248" s="58">
        <v>242</v>
      </c>
      <c r="C248" s="59" t="s">
        <v>270</v>
      </c>
      <c r="D248" s="59" t="s">
        <v>273</v>
      </c>
      <c r="E248" s="61">
        <v>44197</v>
      </c>
      <c r="F248" s="58">
        <v>161532</v>
      </c>
      <c r="G248">
        <f t="shared" si="3"/>
        <v>1</v>
      </c>
    </row>
    <row r="249" spans="2:7" x14ac:dyDescent="0.25">
      <c r="B249" s="58">
        <v>243</v>
      </c>
      <c r="C249" s="59" t="s">
        <v>270</v>
      </c>
      <c r="D249" s="59" t="s">
        <v>275</v>
      </c>
      <c r="E249" s="61">
        <v>44501</v>
      </c>
      <c r="F249" s="58">
        <v>63494</v>
      </c>
      <c r="G249">
        <f t="shared" si="3"/>
        <v>4</v>
      </c>
    </row>
    <row r="250" spans="2:7" x14ac:dyDescent="0.25">
      <c r="B250" s="58">
        <v>244</v>
      </c>
      <c r="C250" s="59" t="s">
        <v>270</v>
      </c>
      <c r="D250" s="59" t="s">
        <v>271</v>
      </c>
      <c r="E250" s="61">
        <v>44501</v>
      </c>
      <c r="F250" s="58">
        <v>8463</v>
      </c>
      <c r="G250">
        <f t="shared" si="3"/>
        <v>4</v>
      </c>
    </row>
    <row r="251" spans="2:7" x14ac:dyDescent="0.25">
      <c r="B251" s="58">
        <v>245</v>
      </c>
      <c r="C251" s="59" t="s">
        <v>270</v>
      </c>
      <c r="D251" s="59" t="s">
        <v>271</v>
      </c>
      <c r="E251" s="61">
        <v>44531</v>
      </c>
      <c r="F251" s="58">
        <v>9630</v>
      </c>
      <c r="G251">
        <f t="shared" si="3"/>
        <v>4</v>
      </c>
    </row>
    <row r="252" spans="2:7" x14ac:dyDescent="0.25">
      <c r="B252" s="58">
        <v>246</v>
      </c>
      <c r="C252" s="59" t="s">
        <v>270</v>
      </c>
      <c r="D252" s="59" t="s">
        <v>274</v>
      </c>
      <c r="E252" s="61">
        <v>44470</v>
      </c>
      <c r="F252" s="58">
        <v>139432</v>
      </c>
      <c r="G252">
        <f t="shared" si="3"/>
        <v>4</v>
      </c>
    </row>
    <row r="253" spans="2:7" x14ac:dyDescent="0.25">
      <c r="B253" s="58">
        <v>247</v>
      </c>
      <c r="C253" s="59" t="s">
        <v>270</v>
      </c>
      <c r="D253" s="59" t="s">
        <v>274</v>
      </c>
      <c r="E253" s="61">
        <v>44440</v>
      </c>
      <c r="F253" s="58">
        <v>261354</v>
      </c>
      <c r="G253">
        <f t="shared" si="3"/>
        <v>3</v>
      </c>
    </row>
    <row r="254" spans="2:7" x14ac:dyDescent="0.25">
      <c r="B254" s="58">
        <v>248</v>
      </c>
      <c r="C254" s="59" t="s">
        <v>270</v>
      </c>
      <c r="D254" s="59" t="s">
        <v>272</v>
      </c>
      <c r="E254" s="61">
        <v>44378</v>
      </c>
      <c r="F254" s="58">
        <v>89802</v>
      </c>
      <c r="G254">
        <f t="shared" si="3"/>
        <v>3</v>
      </c>
    </row>
    <row r="255" spans="2:7" x14ac:dyDescent="0.25">
      <c r="B255" s="58">
        <v>249</v>
      </c>
      <c r="C255" s="59" t="s">
        <v>270</v>
      </c>
      <c r="D255" s="59" t="s">
        <v>272</v>
      </c>
      <c r="E255" s="61">
        <v>44409</v>
      </c>
      <c r="F255" s="58">
        <v>23250</v>
      </c>
      <c r="G255">
        <f t="shared" si="3"/>
        <v>3</v>
      </c>
    </row>
    <row r="256" spans="2:7" x14ac:dyDescent="0.25">
      <c r="B256" s="58">
        <v>250</v>
      </c>
      <c r="C256" s="59" t="s">
        <v>270</v>
      </c>
      <c r="D256" s="59" t="s">
        <v>274</v>
      </c>
      <c r="E256" s="61">
        <v>44501</v>
      </c>
      <c r="F256" s="58">
        <v>156072</v>
      </c>
      <c r="G256">
        <f t="shared" si="3"/>
        <v>4</v>
      </c>
    </row>
    <row r="257" spans="2:7" x14ac:dyDescent="0.25">
      <c r="B257" s="58">
        <v>251</v>
      </c>
      <c r="C257" s="59" t="s">
        <v>270</v>
      </c>
      <c r="D257" s="59" t="s">
        <v>274</v>
      </c>
      <c r="E257" s="61">
        <v>44378</v>
      </c>
      <c r="F257" s="58">
        <v>52513</v>
      </c>
      <c r="G257">
        <f t="shared" si="3"/>
        <v>3</v>
      </c>
    </row>
    <row r="258" spans="2:7" x14ac:dyDescent="0.25">
      <c r="B258" s="58">
        <v>252</v>
      </c>
      <c r="C258" s="59" t="s">
        <v>270</v>
      </c>
      <c r="D258" s="59" t="s">
        <v>274</v>
      </c>
      <c r="E258" s="61">
        <v>44197</v>
      </c>
      <c r="F258" s="58">
        <v>25860</v>
      </c>
      <c r="G258">
        <f t="shared" si="3"/>
        <v>1</v>
      </c>
    </row>
    <row r="259" spans="2:7" x14ac:dyDescent="0.25">
      <c r="B259" s="58">
        <v>253</v>
      </c>
      <c r="C259" s="59" t="s">
        <v>270</v>
      </c>
      <c r="D259" s="59" t="s">
        <v>275</v>
      </c>
      <c r="E259" s="61">
        <v>44287</v>
      </c>
      <c r="F259" s="58">
        <v>244904</v>
      </c>
      <c r="G259">
        <f t="shared" si="3"/>
        <v>2</v>
      </c>
    </row>
    <row r="260" spans="2:7" x14ac:dyDescent="0.25">
      <c r="B260" s="58">
        <v>254</v>
      </c>
      <c r="C260" s="59" t="s">
        <v>270</v>
      </c>
      <c r="D260" s="59" t="s">
        <v>275</v>
      </c>
      <c r="E260" s="61">
        <v>44378</v>
      </c>
      <c r="F260" s="58">
        <v>159745</v>
      </c>
      <c r="G260">
        <f t="shared" si="3"/>
        <v>3</v>
      </c>
    </row>
    <row r="261" spans="2:7" x14ac:dyDescent="0.25">
      <c r="B261" s="58">
        <v>255</v>
      </c>
      <c r="C261" s="59" t="s">
        <v>270</v>
      </c>
      <c r="D261" s="59" t="s">
        <v>274</v>
      </c>
      <c r="E261" s="61">
        <v>44197</v>
      </c>
      <c r="F261" s="58">
        <v>6256</v>
      </c>
      <c r="G261">
        <f t="shared" si="3"/>
        <v>1</v>
      </c>
    </row>
    <row r="262" spans="2:7" x14ac:dyDescent="0.25">
      <c r="B262" s="58">
        <v>256</v>
      </c>
      <c r="C262" s="59" t="s">
        <v>270</v>
      </c>
      <c r="D262" s="59" t="s">
        <v>271</v>
      </c>
      <c r="E262" s="61">
        <v>44228</v>
      </c>
      <c r="F262" s="58">
        <v>194150</v>
      </c>
      <c r="G262">
        <f t="shared" si="3"/>
        <v>1</v>
      </c>
    </row>
    <row r="263" spans="2:7" x14ac:dyDescent="0.25">
      <c r="B263" s="58">
        <v>257</v>
      </c>
      <c r="C263" s="59" t="s">
        <v>270</v>
      </c>
      <c r="D263" s="59" t="s">
        <v>272</v>
      </c>
      <c r="E263" s="61">
        <v>44409</v>
      </c>
      <c r="F263" s="58">
        <v>7382</v>
      </c>
      <c r="G263">
        <f t="shared" si="3"/>
        <v>3</v>
      </c>
    </row>
    <row r="264" spans="2:7" x14ac:dyDescent="0.25">
      <c r="B264" s="58">
        <v>258</v>
      </c>
      <c r="C264" s="59" t="s">
        <v>270</v>
      </c>
      <c r="D264" s="59" t="s">
        <v>274</v>
      </c>
      <c r="E264" s="61">
        <v>44317</v>
      </c>
      <c r="F264" s="58">
        <v>26172</v>
      </c>
      <c r="G264">
        <f t="shared" ref="G264:G319" si="4">ROUNDUP(MONTH(E264)/3,0)</f>
        <v>2</v>
      </c>
    </row>
    <row r="265" spans="2:7" x14ac:dyDescent="0.25">
      <c r="B265" s="58">
        <v>259</v>
      </c>
      <c r="C265" s="59" t="s">
        <v>270</v>
      </c>
      <c r="D265" s="59" t="s">
        <v>274</v>
      </c>
      <c r="E265" s="61">
        <v>44501</v>
      </c>
      <c r="F265" s="58">
        <v>223295</v>
      </c>
      <c r="G265">
        <f t="shared" si="4"/>
        <v>4</v>
      </c>
    </row>
    <row r="266" spans="2:7" x14ac:dyDescent="0.25">
      <c r="B266" s="58">
        <v>260</v>
      </c>
      <c r="C266" s="59" t="s">
        <v>270</v>
      </c>
      <c r="D266" s="59" t="s">
        <v>275</v>
      </c>
      <c r="E266" s="61">
        <v>44348</v>
      </c>
      <c r="F266" s="58">
        <v>213069</v>
      </c>
      <c r="G266">
        <f t="shared" si="4"/>
        <v>2</v>
      </c>
    </row>
    <row r="267" spans="2:7" x14ac:dyDescent="0.25">
      <c r="B267" s="58">
        <v>261</v>
      </c>
      <c r="C267" s="59" t="s">
        <v>270</v>
      </c>
      <c r="D267" s="59" t="s">
        <v>272</v>
      </c>
      <c r="E267" s="61">
        <v>44348</v>
      </c>
      <c r="F267" s="58">
        <v>7190</v>
      </c>
      <c r="G267">
        <f t="shared" si="4"/>
        <v>2</v>
      </c>
    </row>
    <row r="268" spans="2:7" x14ac:dyDescent="0.25">
      <c r="B268" s="58">
        <v>262</v>
      </c>
      <c r="C268" s="59" t="s">
        <v>270</v>
      </c>
      <c r="D268" s="59" t="s">
        <v>275</v>
      </c>
      <c r="E268" s="61">
        <v>44256</v>
      </c>
      <c r="F268" s="58">
        <v>51626</v>
      </c>
      <c r="G268">
        <f t="shared" si="4"/>
        <v>1</v>
      </c>
    </row>
    <row r="269" spans="2:7" x14ac:dyDescent="0.25">
      <c r="B269" s="58">
        <v>263</v>
      </c>
      <c r="C269" s="59" t="s">
        <v>270</v>
      </c>
      <c r="D269" s="59" t="s">
        <v>273</v>
      </c>
      <c r="E269" s="61">
        <v>44440</v>
      </c>
      <c r="F269" s="58">
        <v>200584</v>
      </c>
      <c r="G269">
        <f t="shared" si="4"/>
        <v>3</v>
      </c>
    </row>
    <row r="270" spans="2:7" x14ac:dyDescent="0.25">
      <c r="B270" s="58">
        <v>264</v>
      </c>
      <c r="C270" s="59" t="s">
        <v>270</v>
      </c>
      <c r="D270" s="59" t="s">
        <v>271</v>
      </c>
      <c r="E270" s="61">
        <v>44378</v>
      </c>
      <c r="F270" s="58">
        <v>235104</v>
      </c>
      <c r="G270">
        <f t="shared" si="4"/>
        <v>3</v>
      </c>
    </row>
    <row r="271" spans="2:7" x14ac:dyDescent="0.25">
      <c r="B271" s="58">
        <v>265</v>
      </c>
      <c r="C271" s="59" t="s">
        <v>270</v>
      </c>
      <c r="D271" s="59" t="s">
        <v>275</v>
      </c>
      <c r="E271" s="61">
        <v>44440</v>
      </c>
      <c r="F271" s="58">
        <v>55991</v>
      </c>
      <c r="G271">
        <f t="shared" si="4"/>
        <v>3</v>
      </c>
    </row>
    <row r="272" spans="2:7" x14ac:dyDescent="0.25">
      <c r="B272" s="58">
        <v>266</v>
      </c>
      <c r="C272" s="59" t="s">
        <v>270</v>
      </c>
      <c r="D272" s="59" t="s">
        <v>272</v>
      </c>
      <c r="E272" s="61">
        <v>44228</v>
      </c>
      <c r="F272" s="58">
        <v>134107</v>
      </c>
      <c r="G272">
        <f t="shared" si="4"/>
        <v>1</v>
      </c>
    </row>
    <row r="273" spans="2:7" x14ac:dyDescent="0.25">
      <c r="B273" s="58">
        <v>267</v>
      </c>
      <c r="C273" s="59" t="s">
        <v>270</v>
      </c>
      <c r="D273" s="59" t="s">
        <v>273</v>
      </c>
      <c r="E273" s="61">
        <v>44470</v>
      </c>
      <c r="F273" s="58">
        <v>104379</v>
      </c>
      <c r="G273">
        <f t="shared" si="4"/>
        <v>4</v>
      </c>
    </row>
    <row r="274" spans="2:7" x14ac:dyDescent="0.25">
      <c r="B274" s="58">
        <v>268</v>
      </c>
      <c r="C274" s="59" t="s">
        <v>270</v>
      </c>
      <c r="D274" s="59" t="s">
        <v>271</v>
      </c>
      <c r="E274" s="61">
        <v>44470</v>
      </c>
      <c r="F274" s="58">
        <v>22810</v>
      </c>
      <c r="G274">
        <f t="shared" si="4"/>
        <v>4</v>
      </c>
    </row>
    <row r="275" spans="2:7" x14ac:dyDescent="0.25">
      <c r="B275" s="58">
        <v>269</v>
      </c>
      <c r="C275" s="59" t="s">
        <v>270</v>
      </c>
      <c r="D275" s="59" t="s">
        <v>272</v>
      </c>
      <c r="E275" s="61">
        <v>44197</v>
      </c>
      <c r="F275" s="58">
        <v>28289</v>
      </c>
      <c r="G275">
        <f t="shared" si="4"/>
        <v>1</v>
      </c>
    </row>
    <row r="276" spans="2:7" x14ac:dyDescent="0.25">
      <c r="B276" s="58">
        <v>270</v>
      </c>
      <c r="C276" s="59" t="s">
        <v>270</v>
      </c>
      <c r="D276" s="59" t="s">
        <v>271</v>
      </c>
      <c r="E276" s="61">
        <v>44348</v>
      </c>
      <c r="F276" s="58">
        <v>65162</v>
      </c>
      <c r="G276">
        <f t="shared" si="4"/>
        <v>2</v>
      </c>
    </row>
    <row r="277" spans="2:7" x14ac:dyDescent="0.25">
      <c r="B277" s="58">
        <v>271</v>
      </c>
      <c r="C277" s="59" t="s">
        <v>276</v>
      </c>
      <c r="D277" s="59" t="s">
        <v>271</v>
      </c>
      <c r="E277" s="61">
        <v>44256</v>
      </c>
      <c r="F277" s="58">
        <v>201340</v>
      </c>
      <c r="G277">
        <f t="shared" si="4"/>
        <v>1</v>
      </c>
    </row>
    <row r="278" spans="2:7" x14ac:dyDescent="0.25">
      <c r="B278" s="58">
        <v>272</v>
      </c>
      <c r="C278" s="59" t="s">
        <v>278</v>
      </c>
      <c r="D278" s="59" t="s">
        <v>273</v>
      </c>
      <c r="E278" s="61">
        <v>44501</v>
      </c>
      <c r="F278" s="58">
        <v>55433</v>
      </c>
      <c r="G278">
        <f t="shared" si="4"/>
        <v>4</v>
      </c>
    </row>
    <row r="279" spans="2:7" x14ac:dyDescent="0.25">
      <c r="B279" s="58">
        <v>273</v>
      </c>
      <c r="C279" s="59" t="s">
        <v>279</v>
      </c>
      <c r="D279" s="59" t="s">
        <v>275</v>
      </c>
      <c r="E279" s="61">
        <v>44378</v>
      </c>
      <c r="F279" s="58">
        <v>104422</v>
      </c>
      <c r="G279">
        <f t="shared" si="4"/>
        <v>3</v>
      </c>
    </row>
    <row r="280" spans="2:7" x14ac:dyDescent="0.25">
      <c r="B280" s="58">
        <v>274</v>
      </c>
      <c r="C280" s="59" t="s">
        <v>276</v>
      </c>
      <c r="D280" s="59" t="s">
        <v>272</v>
      </c>
      <c r="E280" s="61">
        <v>44531</v>
      </c>
      <c r="F280" s="58">
        <v>100956</v>
      </c>
      <c r="G280">
        <f t="shared" si="4"/>
        <v>4</v>
      </c>
    </row>
    <row r="281" spans="2:7" x14ac:dyDescent="0.25">
      <c r="B281" s="58">
        <v>275</v>
      </c>
      <c r="C281" s="59" t="s">
        <v>276</v>
      </c>
      <c r="D281" s="59" t="s">
        <v>273</v>
      </c>
      <c r="E281" s="61">
        <v>44287</v>
      </c>
      <c r="F281" s="58">
        <v>135272</v>
      </c>
      <c r="G281">
        <f t="shared" si="4"/>
        <v>2</v>
      </c>
    </row>
    <row r="282" spans="2:7" x14ac:dyDescent="0.25">
      <c r="B282" s="58">
        <v>276</v>
      </c>
      <c r="C282" s="59" t="s">
        <v>278</v>
      </c>
      <c r="D282" s="59" t="s">
        <v>274</v>
      </c>
      <c r="E282" s="61">
        <v>44378</v>
      </c>
      <c r="F282" s="58">
        <v>59920</v>
      </c>
      <c r="G282">
        <f t="shared" si="4"/>
        <v>3</v>
      </c>
    </row>
    <row r="283" spans="2:7" x14ac:dyDescent="0.25">
      <c r="B283" s="58">
        <v>277</v>
      </c>
      <c r="C283" s="59" t="s">
        <v>276</v>
      </c>
      <c r="D283" s="59" t="s">
        <v>274</v>
      </c>
      <c r="E283" s="61">
        <v>44470</v>
      </c>
      <c r="F283" s="58">
        <v>163127</v>
      </c>
      <c r="G283">
        <f t="shared" si="4"/>
        <v>4</v>
      </c>
    </row>
    <row r="284" spans="2:7" x14ac:dyDescent="0.25">
      <c r="B284" s="58">
        <v>278</v>
      </c>
      <c r="C284" s="59" t="s">
        <v>278</v>
      </c>
      <c r="D284" s="59" t="s">
        <v>275</v>
      </c>
      <c r="E284" s="61">
        <v>44531</v>
      </c>
      <c r="F284" s="58">
        <v>232472</v>
      </c>
      <c r="G284">
        <f t="shared" si="4"/>
        <v>4</v>
      </c>
    </row>
    <row r="285" spans="2:7" x14ac:dyDescent="0.25">
      <c r="B285" s="58">
        <v>279</v>
      </c>
      <c r="C285" s="59" t="s">
        <v>279</v>
      </c>
      <c r="D285" s="59" t="s">
        <v>274</v>
      </c>
      <c r="E285" s="61">
        <v>44501</v>
      </c>
      <c r="F285" s="58">
        <v>28110</v>
      </c>
      <c r="G285">
        <f t="shared" si="4"/>
        <v>4</v>
      </c>
    </row>
    <row r="286" spans="2:7" x14ac:dyDescent="0.25">
      <c r="B286" s="58">
        <v>280</v>
      </c>
      <c r="C286" s="59" t="s">
        <v>279</v>
      </c>
      <c r="D286" s="59" t="s">
        <v>275</v>
      </c>
      <c r="E286" s="61">
        <v>44197</v>
      </c>
      <c r="F286" s="58">
        <v>40778</v>
      </c>
      <c r="G286">
        <f t="shared" si="4"/>
        <v>1</v>
      </c>
    </row>
    <row r="287" spans="2:7" x14ac:dyDescent="0.25">
      <c r="B287" s="58">
        <v>281</v>
      </c>
      <c r="C287" s="59" t="s">
        <v>277</v>
      </c>
      <c r="D287" s="59" t="s">
        <v>271</v>
      </c>
      <c r="E287" s="61">
        <v>44197</v>
      </c>
      <c r="F287" s="58">
        <v>219774</v>
      </c>
      <c r="G287">
        <f t="shared" si="4"/>
        <v>1</v>
      </c>
    </row>
    <row r="288" spans="2:7" x14ac:dyDescent="0.25">
      <c r="B288" s="58">
        <v>282</v>
      </c>
      <c r="C288" s="59" t="s">
        <v>277</v>
      </c>
      <c r="D288" s="59" t="s">
        <v>275</v>
      </c>
      <c r="E288" s="61">
        <v>44409</v>
      </c>
      <c r="F288" s="58">
        <v>216458</v>
      </c>
      <c r="G288">
        <f t="shared" si="4"/>
        <v>3</v>
      </c>
    </row>
    <row r="289" spans="2:7" x14ac:dyDescent="0.25">
      <c r="B289" s="58">
        <v>283</v>
      </c>
      <c r="C289" s="59" t="s">
        <v>277</v>
      </c>
      <c r="D289" s="59" t="s">
        <v>273</v>
      </c>
      <c r="E289" s="61">
        <v>44256</v>
      </c>
      <c r="F289" s="58">
        <v>39973</v>
      </c>
      <c r="G289">
        <f t="shared" si="4"/>
        <v>1</v>
      </c>
    </row>
    <row r="290" spans="2:7" x14ac:dyDescent="0.25">
      <c r="B290" s="58">
        <v>284</v>
      </c>
      <c r="C290" s="59" t="s">
        <v>278</v>
      </c>
      <c r="D290" s="59" t="s">
        <v>272</v>
      </c>
      <c r="E290" s="61">
        <v>44501</v>
      </c>
      <c r="F290" s="58">
        <v>195638</v>
      </c>
      <c r="G290">
        <f t="shared" si="4"/>
        <v>4</v>
      </c>
    </row>
    <row r="291" spans="2:7" x14ac:dyDescent="0.25">
      <c r="B291" s="58">
        <v>285</v>
      </c>
      <c r="C291" s="59" t="s">
        <v>278</v>
      </c>
      <c r="D291" s="59" t="s">
        <v>273</v>
      </c>
      <c r="E291" s="61">
        <v>44197</v>
      </c>
      <c r="F291" s="58">
        <v>256329</v>
      </c>
      <c r="G291">
        <f t="shared" si="4"/>
        <v>1</v>
      </c>
    </row>
    <row r="292" spans="2:7" x14ac:dyDescent="0.25">
      <c r="B292" s="58">
        <v>286</v>
      </c>
      <c r="C292" s="59" t="s">
        <v>277</v>
      </c>
      <c r="D292" s="59" t="s">
        <v>271</v>
      </c>
      <c r="E292" s="61">
        <v>44348</v>
      </c>
      <c r="F292" s="58">
        <v>11238</v>
      </c>
      <c r="G292">
        <f t="shared" si="4"/>
        <v>2</v>
      </c>
    </row>
    <row r="293" spans="2:7" x14ac:dyDescent="0.25">
      <c r="B293" s="58">
        <v>287</v>
      </c>
      <c r="C293" s="59" t="s">
        <v>276</v>
      </c>
      <c r="D293" s="59" t="s">
        <v>273</v>
      </c>
      <c r="E293" s="61">
        <v>44501</v>
      </c>
      <c r="F293" s="58">
        <v>20238</v>
      </c>
      <c r="G293">
        <f t="shared" si="4"/>
        <v>4</v>
      </c>
    </row>
    <row r="294" spans="2:7" x14ac:dyDescent="0.25">
      <c r="B294" s="58">
        <v>288</v>
      </c>
      <c r="C294" s="59" t="s">
        <v>277</v>
      </c>
      <c r="D294" s="59" t="s">
        <v>271</v>
      </c>
      <c r="E294" s="61">
        <v>44378</v>
      </c>
      <c r="F294" s="58">
        <v>226327</v>
      </c>
      <c r="G294">
        <f t="shared" si="4"/>
        <v>3</v>
      </c>
    </row>
    <row r="295" spans="2:7" x14ac:dyDescent="0.25">
      <c r="B295" s="58">
        <v>289</v>
      </c>
      <c r="C295" s="59" t="s">
        <v>278</v>
      </c>
      <c r="D295" s="59" t="s">
        <v>274</v>
      </c>
      <c r="E295" s="61">
        <v>44228</v>
      </c>
      <c r="F295" s="58">
        <v>192728</v>
      </c>
      <c r="G295">
        <f t="shared" si="4"/>
        <v>1</v>
      </c>
    </row>
    <row r="296" spans="2:7" x14ac:dyDescent="0.25">
      <c r="B296" s="58">
        <v>290</v>
      </c>
      <c r="C296" s="59" t="s">
        <v>277</v>
      </c>
      <c r="D296" s="59" t="s">
        <v>274</v>
      </c>
      <c r="E296" s="61">
        <v>44470</v>
      </c>
      <c r="F296" s="58">
        <v>245470</v>
      </c>
      <c r="G296">
        <f t="shared" si="4"/>
        <v>4</v>
      </c>
    </row>
    <row r="297" spans="2:7" x14ac:dyDescent="0.25">
      <c r="B297" s="58">
        <v>291</v>
      </c>
      <c r="C297" s="59" t="s">
        <v>277</v>
      </c>
      <c r="D297" s="59" t="s">
        <v>274</v>
      </c>
      <c r="E297" s="61">
        <v>44440</v>
      </c>
      <c r="F297" s="58">
        <v>12156</v>
      </c>
      <c r="G297">
        <f t="shared" si="4"/>
        <v>3</v>
      </c>
    </row>
    <row r="298" spans="2:7" x14ac:dyDescent="0.25">
      <c r="B298" s="58">
        <v>292</v>
      </c>
      <c r="C298" s="59" t="s">
        <v>276</v>
      </c>
      <c r="D298" s="59" t="s">
        <v>272</v>
      </c>
      <c r="E298" s="61">
        <v>44228</v>
      </c>
      <c r="F298" s="58">
        <v>11682</v>
      </c>
      <c r="G298">
        <f t="shared" si="4"/>
        <v>1</v>
      </c>
    </row>
    <row r="299" spans="2:7" x14ac:dyDescent="0.25">
      <c r="B299" s="58">
        <v>293</v>
      </c>
      <c r="C299" s="59" t="s">
        <v>279</v>
      </c>
      <c r="D299" s="59" t="s">
        <v>275</v>
      </c>
      <c r="E299" s="61">
        <v>44501</v>
      </c>
      <c r="F299" s="58">
        <v>161110</v>
      </c>
      <c r="G299">
        <f t="shared" si="4"/>
        <v>4</v>
      </c>
    </row>
    <row r="300" spans="2:7" x14ac:dyDescent="0.25">
      <c r="B300" s="58">
        <v>294</v>
      </c>
      <c r="C300" s="59" t="s">
        <v>278</v>
      </c>
      <c r="D300" s="59" t="s">
        <v>271</v>
      </c>
      <c r="E300" s="61">
        <v>44256</v>
      </c>
      <c r="F300" s="58">
        <v>155535</v>
      </c>
      <c r="G300">
        <f t="shared" si="4"/>
        <v>1</v>
      </c>
    </row>
    <row r="301" spans="2:7" x14ac:dyDescent="0.25">
      <c r="B301" s="58">
        <v>295</v>
      </c>
      <c r="C301" s="59" t="s">
        <v>278</v>
      </c>
      <c r="D301" s="59" t="s">
        <v>273</v>
      </c>
      <c r="E301" s="61">
        <v>44348</v>
      </c>
      <c r="F301" s="58">
        <v>223894</v>
      </c>
      <c r="G301">
        <f t="shared" si="4"/>
        <v>2</v>
      </c>
    </row>
    <row r="302" spans="2:7" x14ac:dyDescent="0.25">
      <c r="B302" s="58">
        <v>296</v>
      </c>
      <c r="C302" s="59" t="s">
        <v>276</v>
      </c>
      <c r="D302" s="59" t="s">
        <v>271</v>
      </c>
      <c r="E302" s="61">
        <v>44287</v>
      </c>
      <c r="F302" s="58">
        <v>22839</v>
      </c>
      <c r="G302">
        <f t="shared" si="4"/>
        <v>2</v>
      </c>
    </row>
    <row r="303" spans="2:7" x14ac:dyDescent="0.25">
      <c r="B303" s="58">
        <v>297</v>
      </c>
      <c r="C303" s="59" t="s">
        <v>278</v>
      </c>
      <c r="D303" s="59" t="s">
        <v>275</v>
      </c>
      <c r="E303" s="61">
        <v>44348</v>
      </c>
      <c r="F303" s="58">
        <v>-14202</v>
      </c>
      <c r="G303">
        <f t="shared" si="4"/>
        <v>2</v>
      </c>
    </row>
    <row r="304" spans="2:7" x14ac:dyDescent="0.25">
      <c r="B304" s="58">
        <v>298</v>
      </c>
      <c r="C304" s="59" t="s">
        <v>276</v>
      </c>
      <c r="D304" s="59" t="s">
        <v>274</v>
      </c>
      <c r="E304" s="61">
        <v>44440</v>
      </c>
      <c r="F304" s="58">
        <v>98246</v>
      </c>
      <c r="G304">
        <f t="shared" si="4"/>
        <v>3</v>
      </c>
    </row>
    <row r="305" spans="2:7" x14ac:dyDescent="0.25">
      <c r="B305" s="58">
        <v>299</v>
      </c>
      <c r="C305" s="59" t="s">
        <v>277</v>
      </c>
      <c r="D305" s="59" t="s">
        <v>275</v>
      </c>
      <c r="E305" s="61">
        <v>44317</v>
      </c>
      <c r="F305" s="58">
        <v>111998</v>
      </c>
      <c r="G305">
        <f t="shared" si="4"/>
        <v>2</v>
      </c>
    </row>
    <row r="306" spans="2:7" x14ac:dyDescent="0.25">
      <c r="B306" s="58">
        <v>300</v>
      </c>
      <c r="C306" s="59" t="s">
        <v>278</v>
      </c>
      <c r="D306" s="59" t="s">
        <v>274</v>
      </c>
      <c r="E306" s="61">
        <v>44440</v>
      </c>
      <c r="F306" s="58">
        <v>74093</v>
      </c>
      <c r="G306">
        <f t="shared" si="4"/>
        <v>3</v>
      </c>
    </row>
    <row r="307" spans="2:7" x14ac:dyDescent="0.25">
      <c r="B307" s="58">
        <v>301</v>
      </c>
      <c r="C307" s="59" t="s">
        <v>276</v>
      </c>
      <c r="D307" s="59" t="s">
        <v>275</v>
      </c>
      <c r="E307" s="61">
        <v>44501</v>
      </c>
      <c r="F307" s="58">
        <v>40179</v>
      </c>
      <c r="G307">
        <f t="shared" si="4"/>
        <v>4</v>
      </c>
    </row>
    <row r="308" spans="2:7" x14ac:dyDescent="0.25">
      <c r="B308" s="58">
        <v>302</v>
      </c>
      <c r="C308" s="59" t="s">
        <v>279</v>
      </c>
      <c r="D308" s="59" t="s">
        <v>271</v>
      </c>
      <c r="E308" s="61">
        <v>44409</v>
      </c>
      <c r="F308" s="58">
        <v>75634</v>
      </c>
      <c r="G308">
        <f t="shared" si="4"/>
        <v>3</v>
      </c>
    </row>
    <row r="309" spans="2:7" x14ac:dyDescent="0.25">
      <c r="B309" s="58">
        <v>303</v>
      </c>
      <c r="C309" s="59" t="s">
        <v>277</v>
      </c>
      <c r="D309" s="59" t="s">
        <v>275</v>
      </c>
      <c r="E309" s="61">
        <v>44228</v>
      </c>
      <c r="F309" s="58">
        <v>-11610</v>
      </c>
      <c r="G309">
        <f t="shared" si="4"/>
        <v>1</v>
      </c>
    </row>
    <row r="310" spans="2:7" x14ac:dyDescent="0.25">
      <c r="B310" s="58">
        <v>304</v>
      </c>
      <c r="C310" s="59" t="s">
        <v>279</v>
      </c>
      <c r="D310" s="59" t="s">
        <v>275</v>
      </c>
      <c r="E310" s="61">
        <v>44348</v>
      </c>
      <c r="F310" s="58">
        <v>34080</v>
      </c>
      <c r="G310">
        <f t="shared" si="4"/>
        <v>2</v>
      </c>
    </row>
    <row r="311" spans="2:7" x14ac:dyDescent="0.25">
      <c r="B311" s="58">
        <v>305</v>
      </c>
      <c r="C311" s="59" t="s">
        <v>277</v>
      </c>
      <c r="D311" s="59" t="s">
        <v>271</v>
      </c>
      <c r="E311" s="61">
        <v>44317</v>
      </c>
      <c r="F311" s="58">
        <v>239368</v>
      </c>
      <c r="G311">
        <f t="shared" si="4"/>
        <v>2</v>
      </c>
    </row>
    <row r="312" spans="2:7" x14ac:dyDescent="0.25">
      <c r="B312" s="58">
        <v>306</v>
      </c>
      <c r="C312" s="59" t="s">
        <v>276</v>
      </c>
      <c r="D312" s="59" t="s">
        <v>272</v>
      </c>
      <c r="E312" s="61">
        <v>44470</v>
      </c>
      <c r="F312" s="58">
        <v>86076</v>
      </c>
      <c r="G312">
        <f t="shared" si="4"/>
        <v>4</v>
      </c>
    </row>
    <row r="313" spans="2:7" x14ac:dyDescent="0.25">
      <c r="B313" s="58">
        <v>307</v>
      </c>
      <c r="C313" s="59" t="s">
        <v>279</v>
      </c>
      <c r="D313" s="59" t="s">
        <v>274</v>
      </c>
      <c r="E313" s="61">
        <v>44256</v>
      </c>
      <c r="F313" s="58">
        <v>75969</v>
      </c>
      <c r="G313">
        <f t="shared" si="4"/>
        <v>1</v>
      </c>
    </row>
    <row r="314" spans="2:7" x14ac:dyDescent="0.25">
      <c r="B314" s="58">
        <v>308</v>
      </c>
      <c r="C314" s="59" t="s">
        <v>276</v>
      </c>
      <c r="D314" s="59" t="s">
        <v>274</v>
      </c>
      <c r="E314" s="61">
        <v>44378</v>
      </c>
      <c r="F314" s="58">
        <v>-39689</v>
      </c>
      <c r="G314">
        <f t="shared" si="4"/>
        <v>3</v>
      </c>
    </row>
    <row r="315" spans="2:7" x14ac:dyDescent="0.25">
      <c r="B315" s="58">
        <v>309</v>
      </c>
      <c r="C315" s="59" t="s">
        <v>276</v>
      </c>
      <c r="D315" s="59" t="s">
        <v>272</v>
      </c>
      <c r="E315" s="61">
        <v>44287</v>
      </c>
      <c r="F315" s="58">
        <v>51383</v>
      </c>
      <c r="G315">
        <f t="shared" si="4"/>
        <v>2</v>
      </c>
    </row>
    <row r="316" spans="2:7" x14ac:dyDescent="0.25">
      <c r="B316" s="58">
        <v>310</v>
      </c>
      <c r="C316" s="59" t="s">
        <v>278</v>
      </c>
      <c r="D316" s="59" t="s">
        <v>274</v>
      </c>
      <c r="E316" s="61">
        <v>44378</v>
      </c>
      <c r="F316" s="58">
        <v>252080</v>
      </c>
      <c r="G316">
        <f t="shared" si="4"/>
        <v>3</v>
      </c>
    </row>
    <row r="317" spans="2:7" x14ac:dyDescent="0.25">
      <c r="B317" s="58">
        <v>311</v>
      </c>
      <c r="C317" s="59" t="s">
        <v>276</v>
      </c>
      <c r="D317" s="59" t="s">
        <v>272</v>
      </c>
      <c r="E317" s="61">
        <v>44378</v>
      </c>
      <c r="F317" s="58">
        <v>176652</v>
      </c>
      <c r="G317">
        <f t="shared" si="4"/>
        <v>3</v>
      </c>
    </row>
    <row r="318" spans="2:7" x14ac:dyDescent="0.25">
      <c r="B318" s="58">
        <v>312</v>
      </c>
      <c r="C318" s="59" t="s">
        <v>277</v>
      </c>
      <c r="D318" s="59" t="s">
        <v>274</v>
      </c>
      <c r="E318" s="61">
        <v>44317</v>
      </c>
      <c r="F318" s="58">
        <v>125616</v>
      </c>
      <c r="G318">
        <f t="shared" si="4"/>
        <v>2</v>
      </c>
    </row>
    <row r="319" spans="2:7" x14ac:dyDescent="0.25">
      <c r="B319" s="58">
        <v>313</v>
      </c>
      <c r="C319" s="59" t="s">
        <v>279</v>
      </c>
      <c r="D319" s="59" t="s">
        <v>273</v>
      </c>
      <c r="E319" s="61">
        <v>44409</v>
      </c>
      <c r="F319" s="58">
        <v>7269</v>
      </c>
      <c r="G319">
        <f t="shared" si="4"/>
        <v>3</v>
      </c>
    </row>
  </sheetData>
  <mergeCells count="3">
    <mergeCell ref="B1:H2"/>
    <mergeCell ref="B3:H3"/>
    <mergeCell ref="B4:H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DC85-F79B-427E-8D39-A649C08BD463}">
  <dimension ref="A1:O48"/>
  <sheetViews>
    <sheetView workbookViewId="0">
      <selection activeCell="J13" sqref="J13"/>
    </sheetView>
  </sheetViews>
  <sheetFormatPr defaultRowHeight="15" x14ac:dyDescent="0.25"/>
  <cols>
    <col min="4" max="4" width="13.28515625" customWidth="1"/>
    <col min="9" max="9" width="10.42578125" customWidth="1"/>
    <col min="10" max="10" width="13.7109375" customWidth="1"/>
  </cols>
  <sheetData>
    <row r="1" spans="1:15" ht="15.75" x14ac:dyDescent="0.25">
      <c r="B1" s="176" t="s">
        <v>280</v>
      </c>
      <c r="C1" s="176"/>
      <c r="D1" s="176"/>
      <c r="E1" s="176"/>
      <c r="F1" s="176"/>
      <c r="G1" s="176"/>
      <c r="H1" s="176"/>
      <c r="I1" s="176"/>
      <c r="J1" s="176"/>
      <c r="K1" s="176"/>
      <c r="L1" s="176"/>
    </row>
    <row r="2" spans="1:15" x14ac:dyDescent="0.25">
      <c r="A2" s="62">
        <v>1</v>
      </c>
      <c r="B2" s="175" t="s">
        <v>281</v>
      </c>
      <c r="C2" s="175"/>
      <c r="D2" s="175"/>
      <c r="E2" s="175"/>
      <c r="F2" s="175"/>
      <c r="G2" s="175"/>
      <c r="H2" s="175"/>
      <c r="I2" s="175"/>
      <c r="J2" s="175"/>
      <c r="K2" s="175"/>
      <c r="L2" s="175"/>
    </row>
    <row r="3" spans="1:15" x14ac:dyDescent="0.25">
      <c r="A3" s="62">
        <v>2</v>
      </c>
      <c r="B3" s="175" t="s">
        <v>282</v>
      </c>
      <c r="C3" s="175"/>
      <c r="D3" s="175"/>
      <c r="E3" s="175"/>
      <c r="F3" s="175"/>
      <c r="G3" s="175"/>
      <c r="H3" s="175"/>
      <c r="I3" s="175"/>
      <c r="J3" s="175"/>
      <c r="K3" s="175"/>
      <c r="L3" s="175"/>
    </row>
    <row r="4" spans="1:15" x14ac:dyDescent="0.25">
      <c r="A4" s="62">
        <v>3</v>
      </c>
      <c r="B4" s="175" t="s">
        <v>283</v>
      </c>
      <c r="C4" s="175"/>
      <c r="D4" s="175"/>
      <c r="E4" s="175"/>
      <c r="F4" s="175"/>
      <c r="G4" s="175"/>
      <c r="H4" s="175"/>
      <c r="I4" s="175"/>
      <c r="J4" s="175"/>
      <c r="K4" s="175"/>
      <c r="L4" s="175"/>
    </row>
    <row r="5" spans="1:15" x14ac:dyDescent="0.25">
      <c r="A5" s="62">
        <v>4</v>
      </c>
      <c r="B5" s="175" t="s">
        <v>284</v>
      </c>
      <c r="C5" s="175"/>
      <c r="D5" s="175"/>
      <c r="E5" s="175"/>
      <c r="F5" s="175"/>
      <c r="G5" s="175"/>
      <c r="H5" s="175"/>
      <c r="I5" s="175"/>
      <c r="J5" s="175"/>
      <c r="K5" s="175"/>
      <c r="L5" s="175"/>
    </row>
    <row r="6" spans="1:15" x14ac:dyDescent="0.25">
      <c r="A6" s="62">
        <v>5</v>
      </c>
      <c r="B6" s="175" t="s">
        <v>285</v>
      </c>
      <c r="C6" s="175"/>
      <c r="D6" s="175"/>
      <c r="E6" s="175"/>
      <c r="F6" s="175"/>
      <c r="G6" s="175"/>
      <c r="H6" s="175"/>
      <c r="I6" s="175"/>
      <c r="J6" s="175"/>
      <c r="K6" s="175"/>
      <c r="L6" s="175"/>
    </row>
    <row r="7" spans="1:15" x14ac:dyDescent="0.25">
      <c r="A7" s="62">
        <v>6</v>
      </c>
      <c r="B7" s="175" t="s">
        <v>286</v>
      </c>
      <c r="C7" s="175"/>
      <c r="D7" s="175"/>
      <c r="E7" s="175"/>
      <c r="F7" s="175"/>
      <c r="G7" s="175"/>
      <c r="H7" s="175"/>
      <c r="I7" s="175"/>
      <c r="J7" s="175"/>
      <c r="K7" s="175"/>
      <c r="L7" s="175"/>
    </row>
    <row r="10" spans="1:15" x14ac:dyDescent="0.25">
      <c r="A10" s="1" t="s">
        <v>6</v>
      </c>
      <c r="B10" s="1" t="s">
        <v>7</v>
      </c>
      <c r="C10" s="1" t="s">
        <v>8</v>
      </c>
      <c r="D10" s="1" t="s">
        <v>287</v>
      </c>
      <c r="E10" s="1" t="s">
        <v>10</v>
      </c>
      <c r="F10" s="1" t="s">
        <v>11</v>
      </c>
      <c r="G10" s="1" t="s">
        <v>12</v>
      </c>
      <c r="H10" s="1" t="s">
        <v>14</v>
      </c>
      <c r="I10" s="1" t="s">
        <v>13</v>
      </c>
      <c r="J10" s="63">
        <v>1</v>
      </c>
      <c r="K10" s="63">
        <v>2</v>
      </c>
      <c r="L10" s="63">
        <v>3</v>
      </c>
      <c r="M10" s="63">
        <v>4</v>
      </c>
      <c r="N10" s="63">
        <v>5</v>
      </c>
      <c r="O10" s="63">
        <v>6</v>
      </c>
    </row>
    <row r="11" spans="1:15" x14ac:dyDescent="0.25">
      <c r="A11" s="4">
        <v>150773</v>
      </c>
      <c r="B11" s="5" t="s">
        <v>96</v>
      </c>
      <c r="C11" s="5" t="s">
        <v>97</v>
      </c>
      <c r="D11" s="6">
        <v>26860</v>
      </c>
      <c r="E11" s="7" t="s">
        <v>32</v>
      </c>
      <c r="F11" s="5" t="s">
        <v>19</v>
      </c>
      <c r="G11" s="5" t="s">
        <v>82</v>
      </c>
      <c r="H11" s="2">
        <v>85000</v>
      </c>
      <c r="I11" s="5" t="s">
        <v>21</v>
      </c>
      <c r="J11" s="64" t="str">
        <f>IF(AND(E11="Female",H11&lt;50000),"Eligible for Gift","")</f>
        <v/>
      </c>
      <c r="K11" s="65" t="str">
        <f>IF(AND(G11="CCD",H11&lt;30000),9000,"")</f>
        <v/>
      </c>
      <c r="L11" s="65" t="str">
        <f>IF(YEAR(D11)&lt;1980,"Retired","")</f>
        <v>Retired</v>
      </c>
      <c r="M11" s="65" t="str">
        <f>IF(AND(H11&lt;45000,OR(G11="Sales",G11="Marketing")),25000,"")</f>
        <v/>
      </c>
      <c r="N11" s="65"/>
      <c r="O11" s="66" cm="1">
        <f t="array" ref="O11">_xlfn.IFS(I11="North", 5000, I11="South", 4000, I11="East", 4200, I11="Mid West", 3800,TRUE, "")</f>
        <v>5000</v>
      </c>
    </row>
    <row r="12" spans="1:15" x14ac:dyDescent="0.25">
      <c r="A12" s="4">
        <v>150777</v>
      </c>
      <c r="B12" s="5" t="s">
        <v>36</v>
      </c>
      <c r="C12" s="5" t="s">
        <v>37</v>
      </c>
      <c r="D12" s="6">
        <v>21123</v>
      </c>
      <c r="E12" s="7" t="s">
        <v>32</v>
      </c>
      <c r="F12" s="5" t="s">
        <v>19</v>
      </c>
      <c r="G12" s="5" t="s">
        <v>38</v>
      </c>
      <c r="H12" s="2">
        <v>22000</v>
      </c>
      <c r="I12" s="5" t="s">
        <v>21</v>
      </c>
      <c r="J12" s="64" t="str">
        <f t="shared" ref="J12:J48" si="0">IF(AND(E12="Female",H12&lt;50000),"Eligible for Gift","")</f>
        <v/>
      </c>
      <c r="K12" s="65" t="str">
        <f t="shared" ref="K12:K48" si="1">IF(AND(G12="CCD",H12&lt;30000),9000,"")</f>
        <v/>
      </c>
      <c r="L12" s="65" t="str">
        <f t="shared" ref="L12:L48" si="2">IF(YEAR(D12)&lt;1980,"Retired","")</f>
        <v>Retired</v>
      </c>
      <c r="M12" s="65">
        <f t="shared" ref="M12:M48" si="3">IF(AND(H12&lt;45000,OR(G12="Sales",G12="Marketing")),25000,"")</f>
        <v>25000</v>
      </c>
      <c r="N12" s="65"/>
      <c r="O12" s="66" cm="1">
        <f t="array" ref="O12">_xlfn.IFS(I12="North", 5000, I12="South", 4000, I12="East", 4200, I12="Mid West", 3800,TRUE, "")</f>
        <v>5000</v>
      </c>
    </row>
    <row r="13" spans="1:15" x14ac:dyDescent="0.25">
      <c r="A13" s="4">
        <v>150784</v>
      </c>
      <c r="B13" s="5" t="s">
        <v>23</v>
      </c>
      <c r="C13" s="5" t="s">
        <v>24</v>
      </c>
      <c r="D13" s="6">
        <v>28365</v>
      </c>
      <c r="E13" s="7" t="s">
        <v>18</v>
      </c>
      <c r="F13" s="5" t="s">
        <v>25</v>
      </c>
      <c r="G13" s="5" t="s">
        <v>26</v>
      </c>
      <c r="H13" s="2">
        <v>35000</v>
      </c>
      <c r="I13" s="5" t="s">
        <v>21</v>
      </c>
      <c r="J13" s="64" t="str">
        <f t="shared" si="0"/>
        <v>Eligible for Gift</v>
      </c>
      <c r="K13" s="65" t="str">
        <f t="shared" si="1"/>
        <v/>
      </c>
      <c r="L13" s="65" t="str">
        <f t="shared" si="2"/>
        <v>Retired</v>
      </c>
      <c r="M13" s="65" t="str">
        <f t="shared" si="3"/>
        <v/>
      </c>
      <c r="N13" s="65"/>
      <c r="O13" s="66" cm="1">
        <f t="array" ref="O13">_xlfn.IFS(I13="North", 5000, I13="South", 4000, I13="East", 4200, I13="Mid West", 3800,TRUE, "")</f>
        <v>5000</v>
      </c>
    </row>
    <row r="14" spans="1:15" x14ac:dyDescent="0.25">
      <c r="A14" s="4">
        <v>150791</v>
      </c>
      <c r="B14" s="5" t="s">
        <v>28</v>
      </c>
      <c r="C14" s="5" t="s">
        <v>29</v>
      </c>
      <c r="D14" s="6">
        <v>23346</v>
      </c>
      <c r="E14" s="7" t="s">
        <v>18</v>
      </c>
      <c r="F14" s="5" t="s">
        <v>19</v>
      </c>
      <c r="G14" s="5" t="s">
        <v>26</v>
      </c>
      <c r="H14" s="2">
        <v>67000</v>
      </c>
      <c r="I14" s="5" t="s">
        <v>34</v>
      </c>
      <c r="J14" s="64" t="str">
        <f t="shared" si="0"/>
        <v/>
      </c>
      <c r="K14" s="65" t="str">
        <f t="shared" si="1"/>
        <v/>
      </c>
      <c r="L14" s="65" t="str">
        <f t="shared" si="2"/>
        <v>Retired</v>
      </c>
      <c r="M14" s="65" t="str">
        <f t="shared" si="3"/>
        <v/>
      </c>
      <c r="N14" s="65"/>
      <c r="O14" s="66" cm="1">
        <f t="array" ref="O14">_xlfn.IFS(I14="North", 5000, I14="South", 4000, I14="East", 4200, I14="Mid West", 3800,TRUE, "")</f>
        <v>4000</v>
      </c>
    </row>
    <row r="15" spans="1:15" x14ac:dyDescent="0.25">
      <c r="A15" s="4">
        <v>150798</v>
      </c>
      <c r="B15" s="5" t="s">
        <v>104</v>
      </c>
      <c r="C15" s="5" t="s">
        <v>101</v>
      </c>
      <c r="D15" s="6">
        <v>28276</v>
      </c>
      <c r="E15" s="7" t="s">
        <v>18</v>
      </c>
      <c r="F15" s="5" t="s">
        <v>19</v>
      </c>
      <c r="G15" s="5" t="s">
        <v>26</v>
      </c>
      <c r="H15" s="2">
        <v>81000</v>
      </c>
      <c r="I15" s="5" t="s">
        <v>21</v>
      </c>
      <c r="J15" s="64" t="str">
        <f t="shared" si="0"/>
        <v/>
      </c>
      <c r="K15" s="65" t="str">
        <f t="shared" si="1"/>
        <v/>
      </c>
      <c r="L15" s="65" t="str">
        <f t="shared" si="2"/>
        <v>Retired</v>
      </c>
      <c r="M15" s="65" t="str">
        <f t="shared" si="3"/>
        <v/>
      </c>
      <c r="N15" s="65"/>
      <c r="O15" s="66" cm="1">
        <f t="array" ref="O15">_xlfn.IFS(I15="North", 5000, I15="South", 4000, I15="East", 4200, I15="Mid West", 3800,TRUE, "")</f>
        <v>5000</v>
      </c>
    </row>
    <row r="16" spans="1:15" x14ac:dyDescent="0.25">
      <c r="A16" s="4">
        <v>150805</v>
      </c>
      <c r="B16" s="5" t="s">
        <v>28</v>
      </c>
      <c r="C16" s="5" t="s">
        <v>40</v>
      </c>
      <c r="D16" s="6">
        <v>26172</v>
      </c>
      <c r="E16" s="7" t="s">
        <v>32</v>
      </c>
      <c r="F16" s="5" t="s">
        <v>19</v>
      </c>
      <c r="G16" s="5" t="s">
        <v>41</v>
      </c>
      <c r="H16" s="2">
        <v>91000</v>
      </c>
      <c r="I16" s="5" t="s">
        <v>21</v>
      </c>
      <c r="J16" s="64" t="str">
        <f t="shared" si="0"/>
        <v/>
      </c>
      <c r="K16" s="65" t="str">
        <f t="shared" si="1"/>
        <v/>
      </c>
      <c r="L16" s="65" t="str">
        <f t="shared" si="2"/>
        <v>Retired</v>
      </c>
      <c r="M16" s="65" t="str">
        <f t="shared" si="3"/>
        <v/>
      </c>
      <c r="N16" s="65"/>
      <c r="O16" s="66" cm="1">
        <f t="array" ref="O16">_xlfn.IFS(I16="North", 5000, I16="South", 4000, I16="East", 4200, I16="Mid West", 3800,TRUE, "")</f>
        <v>5000</v>
      </c>
    </row>
    <row r="17" spans="1:15" x14ac:dyDescent="0.25">
      <c r="A17" s="4">
        <v>150814</v>
      </c>
      <c r="B17" s="5" t="s">
        <v>54</v>
      </c>
      <c r="C17" s="5" t="s">
        <v>55</v>
      </c>
      <c r="D17" s="6">
        <v>26246</v>
      </c>
      <c r="E17" s="7" t="s">
        <v>32</v>
      </c>
      <c r="F17" s="5" t="s">
        <v>19</v>
      </c>
      <c r="G17" s="5" t="s">
        <v>33</v>
      </c>
      <c r="H17" s="2">
        <v>50000</v>
      </c>
      <c r="I17" s="5" t="s">
        <v>46</v>
      </c>
      <c r="J17" s="64" t="str">
        <f t="shared" si="0"/>
        <v/>
      </c>
      <c r="K17" s="65" t="str">
        <f t="shared" si="1"/>
        <v/>
      </c>
      <c r="L17" s="65" t="str">
        <f t="shared" si="2"/>
        <v>Retired</v>
      </c>
      <c r="M17" s="65" t="str">
        <f t="shared" si="3"/>
        <v/>
      </c>
      <c r="N17" s="65"/>
      <c r="O17" s="66" cm="1">
        <f t="array" ref="O17">_xlfn.IFS(I17="North", 5000, I17="South", 4000, I17="East", 4200, I17="Mid West", 3800,TRUE, "")</f>
        <v>3800</v>
      </c>
    </row>
    <row r="18" spans="1:15" x14ac:dyDescent="0.25">
      <c r="A18" s="4">
        <v>150821</v>
      </c>
      <c r="B18" s="5" t="s">
        <v>111</v>
      </c>
      <c r="C18" s="5" t="s">
        <v>112</v>
      </c>
      <c r="D18" s="6">
        <v>29966</v>
      </c>
      <c r="E18" s="7" t="s">
        <v>32</v>
      </c>
      <c r="F18" s="5" t="s">
        <v>25</v>
      </c>
      <c r="G18" s="5" t="s">
        <v>65</v>
      </c>
      <c r="H18" s="2">
        <v>26000</v>
      </c>
      <c r="I18" s="5" t="s">
        <v>46</v>
      </c>
      <c r="J18" s="64" t="str">
        <f t="shared" si="0"/>
        <v/>
      </c>
      <c r="K18" s="65">
        <f t="shared" si="1"/>
        <v>9000</v>
      </c>
      <c r="L18" s="65" t="str">
        <f t="shared" si="2"/>
        <v/>
      </c>
      <c r="M18" s="65" t="str">
        <f t="shared" si="3"/>
        <v/>
      </c>
      <c r="N18" s="65"/>
      <c r="O18" s="66" cm="1">
        <f t="array" ref="O18">_xlfn.IFS(I18="North", 5000, I18="South", 4000, I18="East", 4200, I18="Mid West", 3800,TRUE, "")</f>
        <v>3800</v>
      </c>
    </row>
    <row r="19" spans="1:15" x14ac:dyDescent="0.25">
      <c r="A19" s="4">
        <v>150830</v>
      </c>
      <c r="B19" s="5" t="s">
        <v>105</v>
      </c>
      <c r="C19" s="5" t="s">
        <v>106</v>
      </c>
      <c r="D19" s="6">
        <v>29037</v>
      </c>
      <c r="E19" s="7" t="s">
        <v>18</v>
      </c>
      <c r="F19" s="5" t="s">
        <v>19</v>
      </c>
      <c r="G19" s="5" t="s">
        <v>93</v>
      </c>
      <c r="H19" s="2">
        <v>52000</v>
      </c>
      <c r="I19" s="5" t="s">
        <v>52</v>
      </c>
      <c r="J19" s="64" t="str">
        <f t="shared" si="0"/>
        <v/>
      </c>
      <c r="K19" s="65" t="str">
        <f t="shared" si="1"/>
        <v/>
      </c>
      <c r="L19" s="65" t="str">
        <f t="shared" si="2"/>
        <v>Retired</v>
      </c>
      <c r="M19" s="65" t="str">
        <f t="shared" si="3"/>
        <v/>
      </c>
      <c r="N19" s="65"/>
      <c r="O19" s="66" cm="1">
        <f t="array" ref="O19">_xlfn.IFS(I19="North", 5000, I19="South", 4000, I19="East", 4200, I19="Mid West", 3800,TRUE, "")</f>
        <v>4200</v>
      </c>
    </row>
    <row r="20" spans="1:15" x14ac:dyDescent="0.25">
      <c r="A20" s="4">
        <v>150834</v>
      </c>
      <c r="B20" s="5" t="s">
        <v>16</v>
      </c>
      <c r="C20" s="5" t="s">
        <v>17</v>
      </c>
      <c r="D20" s="6">
        <v>31199</v>
      </c>
      <c r="E20" s="7" t="s">
        <v>18</v>
      </c>
      <c r="F20" s="5" t="s">
        <v>19</v>
      </c>
      <c r="G20" s="5" t="s">
        <v>20</v>
      </c>
      <c r="H20" s="2">
        <v>48000</v>
      </c>
      <c r="I20" s="5" t="s">
        <v>21</v>
      </c>
      <c r="J20" s="64" t="str">
        <f t="shared" si="0"/>
        <v>Eligible for Gift</v>
      </c>
      <c r="K20" s="65" t="str">
        <f t="shared" si="1"/>
        <v/>
      </c>
      <c r="L20" s="65" t="str">
        <f t="shared" si="2"/>
        <v/>
      </c>
      <c r="M20" s="65" t="str">
        <f t="shared" si="3"/>
        <v/>
      </c>
      <c r="N20" s="65"/>
      <c r="O20" s="66" cm="1">
        <f t="array" ref="O20">_xlfn.IFS(I20="North", 5000, I20="South", 4000, I20="East", 4200, I20="Mid West", 3800,TRUE, "")</f>
        <v>5000</v>
      </c>
    </row>
    <row r="21" spans="1:15" x14ac:dyDescent="0.25">
      <c r="A21" s="4">
        <v>150840</v>
      </c>
      <c r="B21" s="5" t="s">
        <v>66</v>
      </c>
      <c r="C21" s="5" t="s">
        <v>98</v>
      </c>
      <c r="D21" s="6">
        <v>23136</v>
      </c>
      <c r="E21" s="7" t="s">
        <v>18</v>
      </c>
      <c r="F21" s="5" t="s">
        <v>19</v>
      </c>
      <c r="G21" s="5" t="s">
        <v>33</v>
      </c>
      <c r="H21" s="2">
        <v>20000</v>
      </c>
      <c r="I21" s="5" t="s">
        <v>34</v>
      </c>
      <c r="J21" s="64" t="str">
        <f t="shared" si="0"/>
        <v>Eligible for Gift</v>
      </c>
      <c r="K21" s="65" t="str">
        <f t="shared" si="1"/>
        <v/>
      </c>
      <c r="L21" s="65" t="str">
        <f t="shared" si="2"/>
        <v>Retired</v>
      </c>
      <c r="M21" s="65" t="str">
        <f t="shared" si="3"/>
        <v/>
      </c>
      <c r="N21" s="65"/>
      <c r="O21" s="66" cm="1">
        <f t="array" ref="O21">_xlfn.IFS(I21="North", 5000, I21="South", 4000, I21="East", 4200, I21="Mid West", 3800,TRUE, "")</f>
        <v>4000</v>
      </c>
    </row>
    <row r="22" spans="1:15" x14ac:dyDescent="0.25">
      <c r="A22" s="4">
        <v>150850</v>
      </c>
      <c r="B22" s="5" t="s">
        <v>57</v>
      </c>
      <c r="C22" s="5" t="s">
        <v>99</v>
      </c>
      <c r="D22" s="6">
        <v>32027</v>
      </c>
      <c r="E22" s="7" t="s">
        <v>32</v>
      </c>
      <c r="F22" s="5" t="s">
        <v>19</v>
      </c>
      <c r="G22" s="5" t="s">
        <v>65</v>
      </c>
      <c r="H22" s="2">
        <v>47000</v>
      </c>
      <c r="I22" s="5" t="s">
        <v>52</v>
      </c>
      <c r="J22" s="64" t="str">
        <f t="shared" si="0"/>
        <v/>
      </c>
      <c r="K22" s="65" t="str">
        <f t="shared" si="1"/>
        <v/>
      </c>
      <c r="L22" s="65" t="str">
        <f t="shared" si="2"/>
        <v/>
      </c>
      <c r="M22" s="65" t="str">
        <f t="shared" si="3"/>
        <v/>
      </c>
      <c r="N22" s="65"/>
      <c r="O22" s="66" cm="1">
        <f t="array" ref="O22">_xlfn.IFS(I22="North", 5000, I22="South", 4000, I22="East", 4200, I22="Mid West", 3800,TRUE, "")</f>
        <v>4200</v>
      </c>
    </row>
    <row r="23" spans="1:15" x14ac:dyDescent="0.25">
      <c r="A23" s="4">
        <v>150851</v>
      </c>
      <c r="B23" s="5" t="s">
        <v>83</v>
      </c>
      <c r="C23" s="5" t="s">
        <v>84</v>
      </c>
      <c r="D23" s="6">
        <v>29368</v>
      </c>
      <c r="E23" s="7" t="s">
        <v>32</v>
      </c>
      <c r="F23" s="5" t="s">
        <v>25</v>
      </c>
      <c r="G23" s="5" t="s">
        <v>33</v>
      </c>
      <c r="H23" s="2">
        <v>75000</v>
      </c>
      <c r="I23" s="5" t="s">
        <v>52</v>
      </c>
      <c r="J23" s="64" t="str">
        <f t="shared" si="0"/>
        <v/>
      </c>
      <c r="K23" s="65" t="str">
        <f t="shared" si="1"/>
        <v/>
      </c>
      <c r="L23" s="65" t="str">
        <f t="shared" si="2"/>
        <v/>
      </c>
      <c r="M23" s="65" t="str">
        <f t="shared" si="3"/>
        <v/>
      </c>
      <c r="N23" s="65"/>
      <c r="O23" s="66" cm="1">
        <f t="array" ref="O23">_xlfn.IFS(I23="North", 5000, I23="South", 4000, I23="East", 4200, I23="Mid West", 3800,TRUE, "")</f>
        <v>4200</v>
      </c>
    </row>
    <row r="24" spans="1:15" x14ac:dyDescent="0.25">
      <c r="A24" s="4">
        <v>150858</v>
      </c>
      <c r="B24" s="5" t="s">
        <v>63</v>
      </c>
      <c r="C24" s="5" t="s">
        <v>64</v>
      </c>
      <c r="D24" s="6">
        <v>34846</v>
      </c>
      <c r="E24" s="7" t="s">
        <v>32</v>
      </c>
      <c r="F24" s="5" t="s">
        <v>19</v>
      </c>
      <c r="G24" s="5" t="s">
        <v>65</v>
      </c>
      <c r="H24" s="2">
        <v>34000</v>
      </c>
      <c r="I24" s="5" t="s">
        <v>52</v>
      </c>
      <c r="J24" s="64" t="str">
        <f t="shared" si="0"/>
        <v/>
      </c>
      <c r="K24" s="65" t="str">
        <f t="shared" si="1"/>
        <v/>
      </c>
      <c r="L24" s="65" t="str">
        <f t="shared" si="2"/>
        <v/>
      </c>
      <c r="M24" s="65" t="str">
        <f t="shared" si="3"/>
        <v/>
      </c>
      <c r="N24" s="65"/>
      <c r="O24" s="66" cm="1">
        <f t="array" ref="O24">_xlfn.IFS(I24="North", 5000, I24="South", 4000, I24="East", 4200, I24="Mid West", 3800,TRUE, "")</f>
        <v>4200</v>
      </c>
    </row>
    <row r="25" spans="1:15" x14ac:dyDescent="0.25">
      <c r="A25" s="4">
        <v>150865</v>
      </c>
      <c r="B25" s="5" t="s">
        <v>61</v>
      </c>
      <c r="C25" s="5" t="s">
        <v>60</v>
      </c>
      <c r="D25" s="6">
        <v>31279</v>
      </c>
      <c r="E25" s="7" t="s">
        <v>18</v>
      </c>
      <c r="F25" s="5" t="s">
        <v>19</v>
      </c>
      <c r="G25" s="5" t="s">
        <v>62</v>
      </c>
      <c r="H25" s="2">
        <v>90000</v>
      </c>
      <c r="I25" s="5" t="s">
        <v>34</v>
      </c>
      <c r="J25" s="64" t="str">
        <f t="shared" si="0"/>
        <v/>
      </c>
      <c r="K25" s="65" t="str">
        <f t="shared" si="1"/>
        <v/>
      </c>
      <c r="L25" s="65" t="str">
        <f t="shared" si="2"/>
        <v/>
      </c>
      <c r="M25" s="65" t="str">
        <f t="shared" si="3"/>
        <v/>
      </c>
      <c r="N25" s="65"/>
      <c r="O25" s="66" cm="1">
        <f t="array" ref="O25">_xlfn.IFS(I25="North", 5000, I25="South", 4000, I25="East", 4200, I25="Mid West", 3800,TRUE, "")</f>
        <v>4000</v>
      </c>
    </row>
    <row r="26" spans="1:15" x14ac:dyDescent="0.25">
      <c r="A26" s="4">
        <v>150867</v>
      </c>
      <c r="B26" s="5" t="s">
        <v>85</v>
      </c>
      <c r="C26" s="5" t="s">
        <v>86</v>
      </c>
      <c r="D26" s="6">
        <v>29028</v>
      </c>
      <c r="E26" s="7" t="s">
        <v>18</v>
      </c>
      <c r="F26" s="5" t="s">
        <v>25</v>
      </c>
      <c r="G26" s="5" t="s">
        <v>82</v>
      </c>
      <c r="H26" s="2">
        <v>49000</v>
      </c>
      <c r="I26" s="5" t="s">
        <v>34</v>
      </c>
      <c r="J26" s="64" t="str">
        <f t="shared" si="0"/>
        <v>Eligible for Gift</v>
      </c>
      <c r="K26" s="65" t="str">
        <f t="shared" si="1"/>
        <v/>
      </c>
      <c r="L26" s="65" t="str">
        <f t="shared" si="2"/>
        <v>Retired</v>
      </c>
      <c r="M26" s="65" t="str">
        <f t="shared" si="3"/>
        <v/>
      </c>
      <c r="N26" s="65"/>
      <c r="O26" s="66" cm="1">
        <f t="array" ref="O26">_xlfn.IFS(I26="North", 5000, I26="South", 4000, I26="East", 4200, I26="Mid West", 3800,TRUE, "")</f>
        <v>4000</v>
      </c>
    </row>
    <row r="27" spans="1:15" x14ac:dyDescent="0.25">
      <c r="A27" s="4">
        <v>150874</v>
      </c>
      <c r="B27" s="5" t="s">
        <v>103</v>
      </c>
      <c r="C27" s="5" t="s">
        <v>101</v>
      </c>
      <c r="D27" s="6">
        <v>37890</v>
      </c>
      <c r="E27" s="7" t="s">
        <v>18</v>
      </c>
      <c r="F27" s="5" t="s">
        <v>19</v>
      </c>
      <c r="G27" s="5" t="s">
        <v>38</v>
      </c>
      <c r="H27" s="2">
        <v>27000</v>
      </c>
      <c r="I27" s="5" t="s">
        <v>34</v>
      </c>
      <c r="J27" s="64" t="str">
        <f t="shared" si="0"/>
        <v>Eligible for Gift</v>
      </c>
      <c r="K27" s="65" t="str">
        <f t="shared" si="1"/>
        <v/>
      </c>
      <c r="L27" s="65" t="str">
        <f t="shared" si="2"/>
        <v/>
      </c>
      <c r="M27" s="65">
        <f t="shared" si="3"/>
        <v>25000</v>
      </c>
      <c r="N27" s="65"/>
      <c r="O27" s="66" cm="1">
        <f t="array" ref="O27">_xlfn.IFS(I27="North", 5000, I27="South", 4000, I27="East", 4200, I27="Mid West", 3800,TRUE, "")</f>
        <v>4000</v>
      </c>
    </row>
    <row r="28" spans="1:15" x14ac:dyDescent="0.25">
      <c r="A28" s="4">
        <v>150881</v>
      </c>
      <c r="B28" s="5" t="s">
        <v>50</v>
      </c>
      <c r="C28" s="5" t="s">
        <v>51</v>
      </c>
      <c r="D28" s="6">
        <v>30337</v>
      </c>
      <c r="E28" s="7" t="s">
        <v>32</v>
      </c>
      <c r="F28" s="5" t="s">
        <v>25</v>
      </c>
      <c r="G28" s="5" t="s">
        <v>26</v>
      </c>
      <c r="H28" s="2">
        <v>92000</v>
      </c>
      <c r="I28" s="5" t="s">
        <v>34</v>
      </c>
      <c r="J28" s="64" t="str">
        <f t="shared" si="0"/>
        <v/>
      </c>
      <c r="K28" s="65" t="str">
        <f t="shared" si="1"/>
        <v/>
      </c>
      <c r="L28" s="65" t="str">
        <f t="shared" si="2"/>
        <v/>
      </c>
      <c r="M28" s="65" t="str">
        <f t="shared" si="3"/>
        <v/>
      </c>
      <c r="N28" s="65"/>
      <c r="O28" s="66" cm="1">
        <f t="array" ref="O28">_xlfn.IFS(I28="North", 5000, I28="South", 4000, I28="East", 4200, I28="Mid West", 3800,TRUE, "")</f>
        <v>4000</v>
      </c>
    </row>
    <row r="29" spans="1:15" x14ac:dyDescent="0.25">
      <c r="A29" s="4">
        <v>150888</v>
      </c>
      <c r="B29" s="5" t="s">
        <v>59</v>
      </c>
      <c r="C29" s="5" t="s">
        <v>60</v>
      </c>
      <c r="D29" s="6">
        <v>29221</v>
      </c>
      <c r="E29" s="7" t="s">
        <v>32</v>
      </c>
      <c r="F29" s="5" t="s">
        <v>19</v>
      </c>
      <c r="G29" s="5" t="s">
        <v>45</v>
      </c>
      <c r="H29" s="2">
        <v>43000</v>
      </c>
      <c r="I29" s="5" t="s">
        <v>46</v>
      </c>
      <c r="J29" s="64" t="str">
        <f t="shared" si="0"/>
        <v/>
      </c>
      <c r="K29" s="65" t="str">
        <f t="shared" si="1"/>
        <v/>
      </c>
      <c r="L29" s="65" t="str">
        <f t="shared" si="2"/>
        <v/>
      </c>
      <c r="M29" s="65" t="str">
        <f t="shared" si="3"/>
        <v/>
      </c>
      <c r="N29" s="65"/>
      <c r="O29" s="66" cm="1">
        <f t="array" ref="O29">_xlfn.IFS(I29="North", 5000, I29="South", 4000, I29="East", 4200, I29="Mid West", 3800,TRUE, "")</f>
        <v>3800</v>
      </c>
    </row>
    <row r="30" spans="1:15" x14ac:dyDescent="0.25">
      <c r="A30" s="4">
        <v>150894</v>
      </c>
      <c r="B30" s="5" t="s">
        <v>69</v>
      </c>
      <c r="C30" s="5" t="s">
        <v>70</v>
      </c>
      <c r="D30" s="6">
        <v>37124</v>
      </c>
      <c r="E30" s="7" t="s">
        <v>32</v>
      </c>
      <c r="F30" s="5" t="s">
        <v>19</v>
      </c>
      <c r="G30" s="5" t="s">
        <v>33</v>
      </c>
      <c r="H30" s="2">
        <v>67000</v>
      </c>
      <c r="I30" s="5" t="s">
        <v>34</v>
      </c>
      <c r="J30" s="64" t="str">
        <f t="shared" si="0"/>
        <v/>
      </c>
      <c r="K30" s="65" t="str">
        <f t="shared" si="1"/>
        <v/>
      </c>
      <c r="L30" s="65" t="str">
        <f t="shared" si="2"/>
        <v/>
      </c>
      <c r="M30" s="65" t="str">
        <f t="shared" si="3"/>
        <v/>
      </c>
      <c r="N30" s="65"/>
      <c r="O30" s="66" cm="1">
        <f t="array" ref="O30">_xlfn.IFS(I30="North", 5000, I30="South", 4000, I30="East", 4200, I30="Mid West", 3800,TRUE, "")</f>
        <v>4000</v>
      </c>
    </row>
    <row r="31" spans="1:15" x14ac:dyDescent="0.25">
      <c r="A31" s="4">
        <v>150899</v>
      </c>
      <c r="B31" s="5" t="s">
        <v>87</v>
      </c>
      <c r="C31" s="5" t="s">
        <v>88</v>
      </c>
      <c r="D31" s="6">
        <v>37400</v>
      </c>
      <c r="E31" s="7" t="s">
        <v>32</v>
      </c>
      <c r="F31" s="5" t="s">
        <v>19</v>
      </c>
      <c r="G31" s="5" t="s">
        <v>65</v>
      </c>
      <c r="H31" s="2">
        <v>50000</v>
      </c>
      <c r="I31" s="5" t="s">
        <v>34</v>
      </c>
      <c r="J31" s="64" t="str">
        <f t="shared" si="0"/>
        <v/>
      </c>
      <c r="K31" s="65" t="str">
        <f t="shared" si="1"/>
        <v/>
      </c>
      <c r="L31" s="65" t="str">
        <f t="shared" si="2"/>
        <v/>
      </c>
      <c r="M31" s="65" t="str">
        <f t="shared" si="3"/>
        <v/>
      </c>
      <c r="N31" s="65"/>
      <c r="O31" s="66" cm="1">
        <f t="array" ref="O31">_xlfn.IFS(I31="North", 5000, I31="South", 4000, I31="East", 4200, I31="Mid West", 3800,TRUE, "")</f>
        <v>4000</v>
      </c>
    </row>
    <row r="32" spans="1:15" x14ac:dyDescent="0.25">
      <c r="A32" s="4">
        <v>150901</v>
      </c>
      <c r="B32" s="5" t="s">
        <v>91</v>
      </c>
      <c r="C32" s="5" t="s">
        <v>92</v>
      </c>
      <c r="D32" s="6">
        <v>32946</v>
      </c>
      <c r="E32" s="7" t="s">
        <v>18</v>
      </c>
      <c r="F32" s="5" t="s">
        <v>19</v>
      </c>
      <c r="G32" s="5" t="s">
        <v>93</v>
      </c>
      <c r="H32" s="2">
        <v>53000</v>
      </c>
      <c r="I32" s="5" t="s">
        <v>52</v>
      </c>
      <c r="J32" s="64" t="str">
        <f t="shared" si="0"/>
        <v/>
      </c>
      <c r="K32" s="65" t="str">
        <f t="shared" si="1"/>
        <v/>
      </c>
      <c r="L32" s="65" t="str">
        <f t="shared" si="2"/>
        <v/>
      </c>
      <c r="M32" s="65" t="str">
        <f t="shared" si="3"/>
        <v/>
      </c>
      <c r="N32" s="65"/>
      <c r="O32" s="66" cm="1">
        <f t="array" ref="O32">_xlfn.IFS(I32="North", 5000, I32="South", 4000, I32="East", 4200, I32="Mid West", 3800,TRUE, "")</f>
        <v>4200</v>
      </c>
    </row>
    <row r="33" spans="1:15" x14ac:dyDescent="0.25">
      <c r="A33" s="4">
        <v>150905</v>
      </c>
      <c r="B33" s="5" t="s">
        <v>73</v>
      </c>
      <c r="C33" s="5" t="s">
        <v>74</v>
      </c>
      <c r="D33" s="6">
        <v>30819</v>
      </c>
      <c r="E33" s="7" t="s">
        <v>18</v>
      </c>
      <c r="F33" s="5" t="s">
        <v>25</v>
      </c>
      <c r="G33" s="5" t="s">
        <v>20</v>
      </c>
      <c r="H33" s="2">
        <v>62000</v>
      </c>
      <c r="I33" s="5" t="s">
        <v>52</v>
      </c>
      <c r="J33" s="64" t="str">
        <f t="shared" si="0"/>
        <v/>
      </c>
      <c r="K33" s="65" t="str">
        <f t="shared" si="1"/>
        <v/>
      </c>
      <c r="L33" s="65" t="str">
        <f t="shared" si="2"/>
        <v/>
      </c>
      <c r="M33" s="65" t="str">
        <f t="shared" si="3"/>
        <v/>
      </c>
      <c r="N33" s="65"/>
      <c r="O33" s="66" cm="1">
        <f t="array" ref="O33">_xlfn.IFS(I33="North", 5000, I33="South", 4000, I33="East", 4200, I33="Mid West", 3800,TRUE, "")</f>
        <v>4200</v>
      </c>
    </row>
    <row r="34" spans="1:15" x14ac:dyDescent="0.25">
      <c r="A34" s="4">
        <v>150912</v>
      </c>
      <c r="B34" s="5" t="s">
        <v>77</v>
      </c>
      <c r="C34" s="5" t="s">
        <v>78</v>
      </c>
      <c r="D34" s="6">
        <v>37629</v>
      </c>
      <c r="E34" s="7" t="s">
        <v>18</v>
      </c>
      <c r="F34" s="5" t="s">
        <v>19</v>
      </c>
      <c r="G34" s="5" t="s">
        <v>79</v>
      </c>
      <c r="H34" s="2">
        <v>81000</v>
      </c>
      <c r="I34" s="5" t="s">
        <v>34</v>
      </c>
      <c r="J34" s="64" t="str">
        <f t="shared" si="0"/>
        <v/>
      </c>
      <c r="K34" s="65" t="str">
        <f t="shared" si="1"/>
        <v/>
      </c>
      <c r="L34" s="65" t="str">
        <f t="shared" si="2"/>
        <v/>
      </c>
      <c r="M34" s="65" t="str">
        <f t="shared" si="3"/>
        <v/>
      </c>
      <c r="N34" s="65"/>
      <c r="O34" s="66" cm="1">
        <f t="array" ref="O34">_xlfn.IFS(I34="North", 5000, I34="South", 4000, I34="East", 4200, I34="Mid West", 3800,TRUE, "")</f>
        <v>4000</v>
      </c>
    </row>
    <row r="35" spans="1:15" x14ac:dyDescent="0.25">
      <c r="A35" s="4">
        <v>150921</v>
      </c>
      <c r="B35" s="5" t="s">
        <v>80</v>
      </c>
      <c r="C35" s="5" t="s">
        <v>81</v>
      </c>
      <c r="D35" s="6">
        <v>38092</v>
      </c>
      <c r="E35" s="7" t="s">
        <v>32</v>
      </c>
      <c r="F35" s="5" t="s">
        <v>19</v>
      </c>
      <c r="G35" s="5" t="s">
        <v>82</v>
      </c>
      <c r="H35" s="2">
        <v>19000</v>
      </c>
      <c r="I35" s="5" t="s">
        <v>46</v>
      </c>
      <c r="J35" s="64" t="str">
        <f t="shared" si="0"/>
        <v/>
      </c>
      <c r="K35" s="65" t="str">
        <f t="shared" si="1"/>
        <v/>
      </c>
      <c r="L35" s="65" t="str">
        <f t="shared" si="2"/>
        <v/>
      </c>
      <c r="M35" s="65" t="str">
        <f t="shared" si="3"/>
        <v/>
      </c>
      <c r="N35" s="65"/>
      <c r="O35" s="66" cm="1">
        <f t="array" ref="O35">_xlfn.IFS(I35="North", 5000, I35="South", 4000, I35="East", 4200, I35="Mid West", 3800,TRUE, "")</f>
        <v>3800</v>
      </c>
    </row>
    <row r="36" spans="1:15" x14ac:dyDescent="0.25">
      <c r="A36" s="4">
        <v>150929</v>
      </c>
      <c r="B36" s="5" t="s">
        <v>107</v>
      </c>
      <c r="C36" s="5" t="s">
        <v>108</v>
      </c>
      <c r="D36" s="6">
        <v>26739</v>
      </c>
      <c r="E36" s="7" t="s">
        <v>32</v>
      </c>
      <c r="F36" s="5" t="s">
        <v>19</v>
      </c>
      <c r="G36" s="5" t="s">
        <v>38</v>
      </c>
      <c r="H36" s="2">
        <v>58000</v>
      </c>
      <c r="I36" s="5" t="s">
        <v>34</v>
      </c>
      <c r="J36" s="64" t="str">
        <f t="shared" si="0"/>
        <v/>
      </c>
      <c r="K36" s="65" t="str">
        <f t="shared" si="1"/>
        <v/>
      </c>
      <c r="L36" s="65" t="str">
        <f t="shared" si="2"/>
        <v>Retired</v>
      </c>
      <c r="M36" s="65" t="str">
        <f t="shared" si="3"/>
        <v/>
      </c>
      <c r="N36" s="65"/>
      <c r="O36" s="66" cm="1">
        <f t="array" ref="O36">_xlfn.IFS(I36="North", 5000, I36="South", 4000, I36="East", 4200, I36="Mid West", 3800,TRUE, "")</f>
        <v>4000</v>
      </c>
    </row>
    <row r="37" spans="1:15" x14ac:dyDescent="0.25">
      <c r="A37" s="4">
        <v>150930</v>
      </c>
      <c r="B37" s="5" t="s">
        <v>66</v>
      </c>
      <c r="C37" s="5" t="s">
        <v>67</v>
      </c>
      <c r="D37" s="6">
        <v>37027</v>
      </c>
      <c r="E37" s="7" t="s">
        <v>32</v>
      </c>
      <c r="F37" s="5" t="s">
        <v>19</v>
      </c>
      <c r="G37" s="5" t="s">
        <v>26</v>
      </c>
      <c r="H37" s="2">
        <v>82000</v>
      </c>
      <c r="I37" s="5" t="s">
        <v>34</v>
      </c>
      <c r="J37" s="64" t="str">
        <f t="shared" si="0"/>
        <v/>
      </c>
      <c r="K37" s="65" t="str">
        <f t="shared" si="1"/>
        <v/>
      </c>
      <c r="L37" s="65" t="str">
        <f t="shared" si="2"/>
        <v/>
      </c>
      <c r="M37" s="65" t="str">
        <f t="shared" si="3"/>
        <v/>
      </c>
      <c r="N37" s="65"/>
      <c r="O37" s="66" cm="1">
        <f t="array" ref="O37">_xlfn.IFS(I37="North", 5000, I37="South", 4000, I37="East", 4200, I37="Mid West", 3800,TRUE, "")</f>
        <v>4000</v>
      </c>
    </row>
    <row r="38" spans="1:15" x14ac:dyDescent="0.25">
      <c r="A38" s="4">
        <v>150937</v>
      </c>
      <c r="B38" s="5" t="s">
        <v>57</v>
      </c>
      <c r="C38" s="5" t="s">
        <v>58</v>
      </c>
      <c r="D38" s="6">
        <v>24700</v>
      </c>
      <c r="E38" s="7" t="s">
        <v>32</v>
      </c>
      <c r="F38" s="5" t="s">
        <v>19</v>
      </c>
      <c r="G38" s="5" t="s">
        <v>45</v>
      </c>
      <c r="H38" s="2">
        <v>37000</v>
      </c>
      <c r="I38" s="5" t="s">
        <v>21</v>
      </c>
      <c r="J38" s="64" t="str">
        <f t="shared" si="0"/>
        <v/>
      </c>
      <c r="K38" s="65" t="str">
        <f t="shared" si="1"/>
        <v/>
      </c>
      <c r="L38" s="65" t="str">
        <f t="shared" si="2"/>
        <v>Retired</v>
      </c>
      <c r="M38" s="65" t="str">
        <f t="shared" si="3"/>
        <v/>
      </c>
      <c r="N38" s="65"/>
      <c r="O38" s="66" cm="1">
        <f t="array" ref="O38">_xlfn.IFS(I38="North", 5000, I38="South", 4000, I38="East", 4200, I38="Mid West", 3800,TRUE, "")</f>
        <v>5000</v>
      </c>
    </row>
    <row r="39" spans="1:15" x14ac:dyDescent="0.25">
      <c r="A39" s="4">
        <v>150940</v>
      </c>
      <c r="B39" s="5" t="s">
        <v>30</v>
      </c>
      <c r="C39" s="5" t="s">
        <v>31</v>
      </c>
      <c r="D39" s="6">
        <v>26906</v>
      </c>
      <c r="E39" s="7" t="s">
        <v>32</v>
      </c>
      <c r="F39" s="5" t="s">
        <v>25</v>
      </c>
      <c r="G39" s="5" t="s">
        <v>33</v>
      </c>
      <c r="H39" s="2">
        <v>87000</v>
      </c>
      <c r="I39" s="5" t="s">
        <v>52</v>
      </c>
      <c r="J39" s="64" t="str">
        <f t="shared" si="0"/>
        <v/>
      </c>
      <c r="K39" s="65" t="str">
        <f t="shared" si="1"/>
        <v/>
      </c>
      <c r="L39" s="65" t="str">
        <f t="shared" si="2"/>
        <v>Retired</v>
      </c>
      <c r="M39" s="65" t="str">
        <f t="shared" si="3"/>
        <v/>
      </c>
      <c r="N39" s="65"/>
      <c r="O39" s="66" cm="1">
        <f t="array" ref="O39">_xlfn.IFS(I39="North", 5000, I39="South", 4000, I39="East", 4200, I39="Mid West", 3800,TRUE, "")</f>
        <v>4200</v>
      </c>
    </row>
    <row r="40" spans="1:15" x14ac:dyDescent="0.25">
      <c r="A40" s="4">
        <v>150947</v>
      </c>
      <c r="B40" s="5" t="s">
        <v>71</v>
      </c>
      <c r="C40" s="5" t="s">
        <v>72</v>
      </c>
      <c r="D40" s="6">
        <v>33449</v>
      </c>
      <c r="E40" s="7" t="s">
        <v>18</v>
      </c>
      <c r="F40" s="5" t="s">
        <v>19</v>
      </c>
      <c r="G40" s="5" t="s">
        <v>65</v>
      </c>
      <c r="H40" s="2">
        <v>85000</v>
      </c>
      <c r="I40" s="5" t="s">
        <v>52</v>
      </c>
      <c r="J40" s="64" t="str">
        <f t="shared" si="0"/>
        <v/>
      </c>
      <c r="K40" s="65" t="str">
        <f t="shared" si="1"/>
        <v/>
      </c>
      <c r="L40" s="65" t="str">
        <f t="shared" si="2"/>
        <v/>
      </c>
      <c r="M40" s="65" t="str">
        <f t="shared" si="3"/>
        <v/>
      </c>
      <c r="N40" s="65"/>
      <c r="O40" s="66" cm="1">
        <f t="array" ref="O40">_xlfn.IFS(I40="North", 5000, I40="South", 4000, I40="East", 4200, I40="Mid West", 3800,TRUE, "")</f>
        <v>4200</v>
      </c>
    </row>
    <row r="41" spans="1:15" x14ac:dyDescent="0.25">
      <c r="A41" s="4">
        <v>150954</v>
      </c>
      <c r="B41" s="5" t="s">
        <v>102</v>
      </c>
      <c r="C41" s="5" t="s">
        <v>101</v>
      </c>
      <c r="D41" s="6">
        <v>35495</v>
      </c>
      <c r="E41" s="7" t="s">
        <v>18</v>
      </c>
      <c r="F41" s="5" t="s">
        <v>19</v>
      </c>
      <c r="G41" s="5" t="s">
        <v>93</v>
      </c>
      <c r="H41" s="2">
        <v>57000</v>
      </c>
      <c r="I41" s="5" t="s">
        <v>34</v>
      </c>
      <c r="J41" s="64" t="str">
        <f t="shared" si="0"/>
        <v/>
      </c>
      <c r="K41" s="65" t="str">
        <f t="shared" si="1"/>
        <v/>
      </c>
      <c r="L41" s="65" t="str">
        <f t="shared" si="2"/>
        <v/>
      </c>
      <c r="M41" s="65" t="str">
        <f t="shared" si="3"/>
        <v/>
      </c>
      <c r="N41" s="65"/>
      <c r="O41" s="66" cm="1">
        <f t="array" ref="O41">_xlfn.IFS(I41="North", 5000, I41="South", 4000, I41="East", 4200, I41="Mid West", 3800,TRUE, "")</f>
        <v>4000</v>
      </c>
    </row>
    <row r="42" spans="1:15" x14ac:dyDescent="0.25">
      <c r="A42" s="4">
        <v>150962</v>
      </c>
      <c r="B42" s="5" t="s">
        <v>100</v>
      </c>
      <c r="C42" s="5" t="s">
        <v>101</v>
      </c>
      <c r="D42" s="6">
        <v>37773</v>
      </c>
      <c r="E42" s="7" t="s">
        <v>18</v>
      </c>
      <c r="F42" s="5" t="s">
        <v>19</v>
      </c>
      <c r="G42" s="5" t="s">
        <v>41</v>
      </c>
      <c r="H42" s="2">
        <v>87000</v>
      </c>
      <c r="I42" s="5" t="s">
        <v>34</v>
      </c>
      <c r="J42" s="64" t="str">
        <f t="shared" si="0"/>
        <v/>
      </c>
      <c r="K42" s="65" t="str">
        <f t="shared" si="1"/>
        <v/>
      </c>
      <c r="L42" s="65" t="str">
        <f t="shared" si="2"/>
        <v/>
      </c>
      <c r="M42" s="65" t="str">
        <f t="shared" si="3"/>
        <v/>
      </c>
      <c r="N42" s="65"/>
      <c r="O42" s="66" cm="1">
        <f t="array" ref="O42">_xlfn.IFS(I42="North", 5000, I42="South", 4000, I42="East", 4200, I42="Mid West", 3800,TRUE, "")</f>
        <v>4000</v>
      </c>
    </row>
    <row r="43" spans="1:15" x14ac:dyDescent="0.25">
      <c r="A43" s="4">
        <v>150968</v>
      </c>
      <c r="B43" s="5" t="s">
        <v>94</v>
      </c>
      <c r="C43" s="5" t="s">
        <v>95</v>
      </c>
      <c r="D43" s="6">
        <v>37208</v>
      </c>
      <c r="E43" s="7" t="s">
        <v>32</v>
      </c>
      <c r="F43" s="5" t="s">
        <v>19</v>
      </c>
      <c r="G43" s="5" t="s">
        <v>79</v>
      </c>
      <c r="H43" s="2">
        <v>65000</v>
      </c>
      <c r="I43" s="5" t="s">
        <v>52</v>
      </c>
      <c r="J43" s="64" t="str">
        <f t="shared" si="0"/>
        <v/>
      </c>
      <c r="K43" s="65" t="str">
        <f t="shared" si="1"/>
        <v/>
      </c>
      <c r="L43" s="65" t="str">
        <f t="shared" si="2"/>
        <v/>
      </c>
      <c r="M43" s="65" t="str">
        <f t="shared" si="3"/>
        <v/>
      </c>
      <c r="N43" s="65"/>
      <c r="O43" s="66" cm="1">
        <f t="array" ref="O43">_xlfn.IFS(I43="North", 5000, I43="South", 4000, I43="East", 4200, I43="Mid West", 3800,TRUE, "")</f>
        <v>4200</v>
      </c>
    </row>
    <row r="44" spans="1:15" x14ac:dyDescent="0.25">
      <c r="A44" s="4">
        <v>150975</v>
      </c>
      <c r="B44" s="5" t="s">
        <v>89</v>
      </c>
      <c r="C44" s="5" t="s">
        <v>90</v>
      </c>
      <c r="D44" s="6">
        <v>31478</v>
      </c>
      <c r="E44" s="7" t="s">
        <v>32</v>
      </c>
      <c r="F44" s="5" t="s">
        <v>19</v>
      </c>
      <c r="G44" s="5" t="s">
        <v>82</v>
      </c>
      <c r="H44" s="2">
        <v>83000</v>
      </c>
      <c r="I44" s="5" t="s">
        <v>21</v>
      </c>
      <c r="J44" s="64" t="str">
        <f t="shared" si="0"/>
        <v/>
      </c>
      <c r="K44" s="65" t="str">
        <f t="shared" si="1"/>
        <v/>
      </c>
      <c r="L44" s="65" t="str">
        <f t="shared" si="2"/>
        <v/>
      </c>
      <c r="M44" s="65" t="str">
        <f t="shared" si="3"/>
        <v/>
      </c>
      <c r="N44" s="65"/>
      <c r="O44" s="66" cm="1">
        <f t="array" ref="O44">_xlfn.IFS(I44="North", 5000, I44="South", 4000, I44="East", 4200, I44="Mid West", 3800,TRUE, "")</f>
        <v>5000</v>
      </c>
    </row>
    <row r="45" spans="1:15" x14ac:dyDescent="0.25">
      <c r="A45" s="4">
        <v>150982</v>
      </c>
      <c r="B45" s="5" t="s">
        <v>109</v>
      </c>
      <c r="C45" s="5" t="s">
        <v>110</v>
      </c>
      <c r="D45" s="6">
        <v>35574</v>
      </c>
      <c r="E45" s="7" t="s">
        <v>32</v>
      </c>
      <c r="F45" s="5" t="s">
        <v>19</v>
      </c>
      <c r="G45" s="5" t="s">
        <v>38</v>
      </c>
      <c r="H45" s="2">
        <v>47000</v>
      </c>
      <c r="I45" s="5" t="s">
        <v>21</v>
      </c>
      <c r="J45" s="64" t="str">
        <f t="shared" si="0"/>
        <v/>
      </c>
      <c r="K45" s="65" t="str">
        <f t="shared" si="1"/>
        <v/>
      </c>
      <c r="L45" s="65" t="str">
        <f t="shared" si="2"/>
        <v/>
      </c>
      <c r="M45" s="65" t="str">
        <f t="shared" si="3"/>
        <v/>
      </c>
      <c r="N45" s="65"/>
      <c r="O45" s="66" cm="1">
        <f t="array" ref="O45">_xlfn.IFS(I45="North", 5000, I45="South", 4000, I45="East", 4200, I45="Mid West", 3800,TRUE, "")</f>
        <v>5000</v>
      </c>
    </row>
    <row r="46" spans="1:15" x14ac:dyDescent="0.25">
      <c r="A46" s="4">
        <v>150989</v>
      </c>
      <c r="B46" s="5" t="s">
        <v>48</v>
      </c>
      <c r="C46" s="5" t="s">
        <v>44</v>
      </c>
      <c r="D46" s="6">
        <v>33113</v>
      </c>
      <c r="E46" s="7" t="s">
        <v>32</v>
      </c>
      <c r="F46" s="5" t="s">
        <v>19</v>
      </c>
      <c r="G46" s="5" t="s">
        <v>26</v>
      </c>
      <c r="H46" s="2">
        <v>45000</v>
      </c>
      <c r="I46" s="5" t="s">
        <v>34</v>
      </c>
      <c r="J46" s="64" t="str">
        <f t="shared" si="0"/>
        <v/>
      </c>
      <c r="K46" s="65" t="str">
        <f t="shared" si="1"/>
        <v/>
      </c>
      <c r="L46" s="65" t="str">
        <f t="shared" si="2"/>
        <v/>
      </c>
      <c r="M46" s="65" t="str">
        <f t="shared" si="3"/>
        <v/>
      </c>
      <c r="N46" s="65"/>
      <c r="O46" s="66" cm="1">
        <f t="array" ref="O46">_xlfn.IFS(I46="North", 5000, I46="South", 4000, I46="East", 4200, I46="Mid West", 3800,TRUE, "")</f>
        <v>4000</v>
      </c>
    </row>
    <row r="47" spans="1:15" x14ac:dyDescent="0.25">
      <c r="A47" s="4">
        <v>150990</v>
      </c>
      <c r="B47" s="5" t="s">
        <v>43</v>
      </c>
      <c r="C47" s="5" t="s">
        <v>44</v>
      </c>
      <c r="D47" s="6">
        <v>36400</v>
      </c>
      <c r="E47" s="7" t="s">
        <v>32</v>
      </c>
      <c r="F47" s="5" t="s">
        <v>19</v>
      </c>
      <c r="G47" s="5" t="s">
        <v>45</v>
      </c>
      <c r="H47" s="2">
        <v>77000</v>
      </c>
      <c r="I47" s="5" t="s">
        <v>46</v>
      </c>
      <c r="J47" s="64" t="str">
        <f t="shared" si="0"/>
        <v/>
      </c>
      <c r="K47" s="65" t="str">
        <f t="shared" si="1"/>
        <v/>
      </c>
      <c r="L47" s="65" t="str">
        <f t="shared" si="2"/>
        <v/>
      </c>
      <c r="M47" s="65" t="str">
        <f t="shared" si="3"/>
        <v/>
      </c>
      <c r="N47" s="65"/>
      <c r="O47" s="66" cm="1">
        <f t="array" ref="O47">_xlfn.IFS(I47="North", 5000, I47="South", 4000, I47="East", 4200, I47="Mid West", 3800,TRUE, "")</f>
        <v>3800</v>
      </c>
    </row>
    <row r="48" spans="1:15" x14ac:dyDescent="0.25">
      <c r="A48" s="4">
        <v>150995</v>
      </c>
      <c r="B48" s="5" t="s">
        <v>75</v>
      </c>
      <c r="C48" s="5" t="s">
        <v>76</v>
      </c>
      <c r="D48" s="6">
        <v>35330</v>
      </c>
      <c r="E48" s="7" t="s">
        <v>32</v>
      </c>
      <c r="F48" s="5" t="s">
        <v>19</v>
      </c>
      <c r="G48" s="5" t="s">
        <v>33</v>
      </c>
      <c r="H48" s="2">
        <v>15000</v>
      </c>
      <c r="I48" s="5" t="s">
        <v>21</v>
      </c>
      <c r="J48" s="64" t="str">
        <f t="shared" si="0"/>
        <v/>
      </c>
      <c r="K48" s="65" t="str">
        <f t="shared" si="1"/>
        <v/>
      </c>
      <c r="L48" s="65" t="str">
        <f t="shared" si="2"/>
        <v/>
      </c>
      <c r="M48" s="65" t="str">
        <f t="shared" si="3"/>
        <v/>
      </c>
      <c r="N48" s="65"/>
      <c r="O48" s="66" cm="1">
        <f t="array" ref="O48">_xlfn.IFS(I48="North", 5000, I48="South", 4000, I48="East", 4200, I48="Mid West", 3800,TRUE, "")</f>
        <v>5000</v>
      </c>
    </row>
  </sheetData>
  <mergeCells count="7">
    <mergeCell ref="B7:L7"/>
    <mergeCell ref="B1:L1"/>
    <mergeCell ref="B2:L2"/>
    <mergeCell ref="B3:L3"/>
    <mergeCell ref="B4:L4"/>
    <mergeCell ref="B5:L5"/>
    <mergeCell ref="B6:L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F167-9730-4FCD-ACE2-ACE9310D82D1}">
  <dimension ref="A1:I17"/>
  <sheetViews>
    <sheetView workbookViewId="0">
      <selection activeCell="I6" sqref="I6"/>
    </sheetView>
  </sheetViews>
  <sheetFormatPr defaultRowHeight="15" x14ac:dyDescent="0.25"/>
  <cols>
    <col min="9" max="9" width="17.42578125" customWidth="1"/>
  </cols>
  <sheetData>
    <row r="1" spans="1:9" x14ac:dyDescent="0.25">
      <c r="A1" s="177" t="s">
        <v>288</v>
      </c>
      <c r="B1" s="177"/>
      <c r="C1" s="177"/>
      <c r="D1" s="177"/>
      <c r="E1" s="177"/>
      <c r="F1" s="177"/>
    </row>
    <row r="5" spans="1:9" x14ac:dyDescent="0.25">
      <c r="B5" s="51" t="s">
        <v>289</v>
      </c>
      <c r="C5" s="51" t="s">
        <v>290</v>
      </c>
      <c r="D5" s="51" t="s">
        <v>291</v>
      </c>
      <c r="E5" s="51" t="s">
        <v>292</v>
      </c>
      <c r="F5" s="51" t="s">
        <v>293</v>
      </c>
      <c r="G5" s="51" t="s">
        <v>294</v>
      </c>
      <c r="H5" s="51" t="s">
        <v>295</v>
      </c>
      <c r="I5" s="51" t="s">
        <v>296</v>
      </c>
    </row>
    <row r="6" spans="1:9" x14ac:dyDescent="0.25">
      <c r="B6" s="67" t="s">
        <v>297</v>
      </c>
      <c r="C6" s="2">
        <v>38.99</v>
      </c>
      <c r="D6" s="2">
        <v>48.6</v>
      </c>
      <c r="E6" s="2">
        <v>43.53</v>
      </c>
      <c r="F6" s="2">
        <v>40.08</v>
      </c>
      <c r="G6" s="2">
        <v>47.92</v>
      </c>
      <c r="H6" s="68">
        <f>MIN(C6:G6)</f>
        <v>38.99</v>
      </c>
      <c r="I6" s="69" t="str">
        <f t="shared" ref="I6:I17" si="0">INDEX(Head, MATCH(H6, C6:G6, 0))</f>
        <v>Vendor1</v>
      </c>
    </row>
    <row r="7" spans="1:9" x14ac:dyDescent="0.25">
      <c r="B7" s="67" t="s">
        <v>298</v>
      </c>
      <c r="C7" s="2">
        <v>57.68</v>
      </c>
      <c r="D7" s="2">
        <v>31.8</v>
      </c>
      <c r="E7" s="2">
        <v>52.78</v>
      </c>
      <c r="F7" s="2">
        <v>31.42</v>
      </c>
      <c r="G7" s="2">
        <v>55.19</v>
      </c>
      <c r="H7" s="68">
        <f t="shared" ref="H7:H17" si="1">MIN(C7:G7)</f>
        <v>31.42</v>
      </c>
      <c r="I7" s="69" t="str">
        <f t="shared" si="0"/>
        <v>Vendor4</v>
      </c>
    </row>
    <row r="8" spans="1:9" x14ac:dyDescent="0.25">
      <c r="B8" s="67" t="s">
        <v>299</v>
      </c>
      <c r="C8" s="2">
        <v>53.32</v>
      </c>
      <c r="D8" s="2">
        <v>32.64</v>
      </c>
      <c r="E8" s="2">
        <v>37.69</v>
      </c>
      <c r="F8" s="2">
        <v>48.29</v>
      </c>
      <c r="G8" s="2">
        <v>41.59</v>
      </c>
      <c r="H8" s="68">
        <f t="shared" si="1"/>
        <v>32.64</v>
      </c>
      <c r="I8" s="69" t="str">
        <f t="shared" si="0"/>
        <v>Vendor2</v>
      </c>
    </row>
    <row r="9" spans="1:9" x14ac:dyDescent="0.25">
      <c r="B9" s="67" t="s">
        <v>300</v>
      </c>
      <c r="C9" s="2">
        <v>35.200000000000003</v>
      </c>
      <c r="D9" s="2">
        <v>40.549999999999997</v>
      </c>
      <c r="E9" s="2">
        <v>32.65</v>
      </c>
      <c r="F9" s="2">
        <v>36.81</v>
      </c>
      <c r="G9" s="2">
        <v>41.14</v>
      </c>
      <c r="H9" s="68">
        <f t="shared" si="1"/>
        <v>32.65</v>
      </c>
      <c r="I9" s="69" t="str">
        <f t="shared" si="0"/>
        <v>Vendor3</v>
      </c>
    </row>
    <row r="10" spans="1:9" x14ac:dyDescent="0.25">
      <c r="B10" s="67" t="s">
        <v>301</v>
      </c>
      <c r="C10" s="2">
        <v>56.72</v>
      </c>
      <c r="D10" s="2">
        <v>47.16</v>
      </c>
      <c r="E10" s="2">
        <v>36.42</v>
      </c>
      <c r="F10" s="2">
        <v>49.56</v>
      </c>
      <c r="G10" s="2">
        <v>39.25</v>
      </c>
      <c r="H10" s="68">
        <f t="shared" si="1"/>
        <v>36.42</v>
      </c>
      <c r="I10" s="69" t="str">
        <f t="shared" si="0"/>
        <v>Vendor3</v>
      </c>
    </row>
    <row r="11" spans="1:9" x14ac:dyDescent="0.25">
      <c r="B11" s="67" t="s">
        <v>302</v>
      </c>
      <c r="C11" s="2">
        <v>47.91</v>
      </c>
      <c r="D11" s="2">
        <v>35.08</v>
      </c>
      <c r="E11" s="2">
        <v>51.129999999999995</v>
      </c>
      <c r="F11" s="2">
        <v>49.84</v>
      </c>
      <c r="G11" s="2">
        <v>42.12</v>
      </c>
      <c r="H11" s="68">
        <f t="shared" si="1"/>
        <v>35.08</v>
      </c>
      <c r="I11" s="69" t="str">
        <f t="shared" si="0"/>
        <v>Vendor2</v>
      </c>
    </row>
    <row r="12" spans="1:9" x14ac:dyDescent="0.25">
      <c r="B12" s="67" t="s">
        <v>303</v>
      </c>
      <c r="C12" s="2">
        <v>34.81</v>
      </c>
      <c r="D12" s="2">
        <v>35.11</v>
      </c>
      <c r="E12" s="2">
        <v>48.629999999999995</v>
      </c>
      <c r="F12" s="2">
        <v>33.32</v>
      </c>
      <c r="G12" s="2">
        <v>37.83</v>
      </c>
      <c r="H12" s="68">
        <f t="shared" si="1"/>
        <v>33.32</v>
      </c>
      <c r="I12" s="69" t="str">
        <f t="shared" si="0"/>
        <v>Vendor4</v>
      </c>
    </row>
    <row r="13" spans="1:9" x14ac:dyDescent="0.25">
      <c r="B13" s="67" t="s">
        <v>304</v>
      </c>
      <c r="C13" s="2">
        <v>42.25</v>
      </c>
      <c r="D13" s="2">
        <v>35.76</v>
      </c>
      <c r="E13" s="2">
        <v>58.6</v>
      </c>
      <c r="F13" s="2">
        <v>46.28</v>
      </c>
      <c r="G13" s="2">
        <v>40.53</v>
      </c>
      <c r="H13" s="68">
        <f t="shared" si="1"/>
        <v>35.76</v>
      </c>
      <c r="I13" s="69" t="str">
        <f t="shared" si="0"/>
        <v>Vendor2</v>
      </c>
    </row>
    <row r="14" spans="1:9" x14ac:dyDescent="0.25">
      <c r="B14" s="67" t="s">
        <v>305</v>
      </c>
      <c r="C14" s="2">
        <v>40.14</v>
      </c>
      <c r="D14" s="2">
        <v>42.31</v>
      </c>
      <c r="E14" s="2">
        <v>37.619999999999997</v>
      </c>
      <c r="F14" s="2">
        <v>59.97</v>
      </c>
      <c r="G14" s="2">
        <v>42.57</v>
      </c>
      <c r="H14" s="68">
        <f t="shared" si="1"/>
        <v>37.619999999999997</v>
      </c>
      <c r="I14" s="69" t="str">
        <f t="shared" si="0"/>
        <v>Vendor3</v>
      </c>
    </row>
    <row r="15" spans="1:9" x14ac:dyDescent="0.25">
      <c r="B15" s="67" t="s">
        <v>306</v>
      </c>
      <c r="C15" s="2">
        <v>36.480000000000004</v>
      </c>
      <c r="D15" s="2">
        <v>40.79</v>
      </c>
      <c r="E15" s="2">
        <v>53.239999999999995</v>
      </c>
      <c r="F15" s="2">
        <v>51.010000000000005</v>
      </c>
      <c r="G15" s="2">
        <v>51.239999999999995</v>
      </c>
      <c r="H15" s="68">
        <f t="shared" si="1"/>
        <v>36.480000000000004</v>
      </c>
      <c r="I15" s="69" t="str">
        <f t="shared" si="0"/>
        <v>Vendor1</v>
      </c>
    </row>
    <row r="16" spans="1:9" x14ac:dyDescent="0.25">
      <c r="B16" s="67" t="s">
        <v>307</v>
      </c>
      <c r="C16" s="2">
        <v>38.57</v>
      </c>
      <c r="D16" s="2">
        <v>40.06</v>
      </c>
      <c r="E16" s="2">
        <v>54.71</v>
      </c>
      <c r="F16" s="2">
        <v>39.700000000000003</v>
      </c>
      <c r="G16" s="2">
        <v>54.730000000000004</v>
      </c>
      <c r="H16" s="68">
        <f t="shared" si="1"/>
        <v>38.57</v>
      </c>
      <c r="I16" s="69" t="str">
        <f t="shared" si="0"/>
        <v>Vendor1</v>
      </c>
    </row>
    <row r="17" spans="2:9" x14ac:dyDescent="0.25">
      <c r="B17" s="67" t="s">
        <v>308</v>
      </c>
      <c r="C17" s="2">
        <v>52.66</v>
      </c>
      <c r="D17" s="2">
        <v>43.61</v>
      </c>
      <c r="E17" s="2">
        <v>59.980000000000004</v>
      </c>
      <c r="F17" s="2">
        <v>34.61</v>
      </c>
      <c r="G17" s="2">
        <v>52.65</v>
      </c>
      <c r="H17" s="68">
        <f t="shared" si="1"/>
        <v>34.61</v>
      </c>
      <c r="I17" s="69" t="str">
        <f t="shared" si="0"/>
        <v>Vendor4</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C156-8174-461C-8E7A-174F760A21AA}">
  <dimension ref="B1:G28"/>
  <sheetViews>
    <sheetView workbookViewId="0">
      <selection activeCell="C5" sqref="C5"/>
    </sheetView>
  </sheetViews>
  <sheetFormatPr defaultRowHeight="15" x14ac:dyDescent="0.25"/>
  <cols>
    <col min="2" max="2" width="17.42578125" customWidth="1"/>
    <col min="3" max="3" width="14.42578125" customWidth="1"/>
    <col min="4" max="4" width="18.85546875" customWidth="1"/>
    <col min="5" max="5" width="38.85546875" customWidth="1"/>
    <col min="7" max="7" width="14" customWidth="1"/>
  </cols>
  <sheetData>
    <row r="1" spans="2:5" x14ac:dyDescent="0.25">
      <c r="B1" s="178" t="s">
        <v>309</v>
      </c>
      <c r="C1" s="178"/>
      <c r="D1" s="178"/>
      <c r="E1" s="178"/>
    </row>
    <row r="2" spans="2:5" x14ac:dyDescent="0.25">
      <c r="B2" s="179" t="s">
        <v>310</v>
      </c>
      <c r="C2" s="179"/>
      <c r="D2" s="179"/>
      <c r="E2" s="179"/>
    </row>
    <row r="5" spans="2:5" x14ac:dyDescent="0.25">
      <c r="B5" s="70" t="s">
        <v>311</v>
      </c>
      <c r="C5" s="71" t="s">
        <v>231</v>
      </c>
    </row>
    <row r="6" spans="2:5" ht="15.75" thickBot="1" x14ac:dyDescent="0.3"/>
    <row r="7" spans="2:5" x14ac:dyDescent="0.25">
      <c r="B7" s="180" t="s">
        <v>312</v>
      </c>
      <c r="C7" s="181"/>
      <c r="D7" s="182"/>
    </row>
    <row r="8" spans="2:5" x14ac:dyDescent="0.25">
      <c r="B8" s="72" t="s">
        <v>242</v>
      </c>
      <c r="C8" s="73" t="s">
        <v>313</v>
      </c>
      <c r="D8" s="74" t="s">
        <v>314</v>
      </c>
    </row>
    <row r="9" spans="2:5" x14ac:dyDescent="0.25">
      <c r="B9" s="75" t="s">
        <v>315</v>
      </c>
      <c r="C9" s="76">
        <v>87423</v>
      </c>
      <c r="D9" s="77" t="str">
        <f>INDEX($C$21:$G$28, MATCH(C9,$B$21:$B$28, 0), MATCH($C$5, $C$20:$G$20, 0))</f>
        <v>Puri, Om</v>
      </c>
    </row>
    <row r="10" spans="2:5" x14ac:dyDescent="0.25">
      <c r="B10" s="75" t="s">
        <v>316</v>
      </c>
      <c r="C10" s="76">
        <v>78312</v>
      </c>
      <c r="D10" s="77" t="str">
        <f t="shared" ref="D10:D16" si="0">INDEX($C$21:$G$28, MATCH(C10,$B$21:$B$28, 0), MATCH($C$5, $C$20:$G$20, 0))</f>
        <v>Puri, Om</v>
      </c>
    </row>
    <row r="11" spans="2:5" x14ac:dyDescent="0.25">
      <c r="B11" s="75" t="s">
        <v>317</v>
      </c>
      <c r="C11" s="76">
        <v>98722</v>
      </c>
      <c r="D11" s="77" t="str">
        <f t="shared" si="0"/>
        <v>Londo, Mollari</v>
      </c>
    </row>
    <row r="12" spans="2:5" x14ac:dyDescent="0.25">
      <c r="B12" s="75" t="s">
        <v>318</v>
      </c>
      <c r="C12" s="76">
        <v>12235</v>
      </c>
      <c r="D12" s="77" t="str">
        <f t="shared" si="0"/>
        <v>Londo, Mollari</v>
      </c>
    </row>
    <row r="13" spans="2:5" x14ac:dyDescent="0.25">
      <c r="B13" s="75" t="s">
        <v>319</v>
      </c>
      <c r="C13" s="76">
        <v>23972</v>
      </c>
      <c r="D13" s="77" t="str">
        <f t="shared" si="0"/>
        <v>Londo, Mollari</v>
      </c>
    </row>
    <row r="14" spans="2:5" x14ac:dyDescent="0.25">
      <c r="B14" s="78" t="s">
        <v>320</v>
      </c>
      <c r="C14" s="76">
        <v>56431</v>
      </c>
      <c r="D14" s="77" t="str">
        <f t="shared" si="0"/>
        <v>Londo, Mollari</v>
      </c>
    </row>
    <row r="15" spans="2:5" x14ac:dyDescent="0.25">
      <c r="B15" s="75" t="s">
        <v>321</v>
      </c>
      <c r="C15" s="76">
        <v>98362</v>
      </c>
      <c r="D15" s="77" t="str">
        <f t="shared" si="0"/>
        <v>Puri, Om</v>
      </c>
    </row>
    <row r="16" spans="2:5" ht="15.75" thickBot="1" x14ac:dyDescent="0.3">
      <c r="B16" s="79" t="s">
        <v>322</v>
      </c>
      <c r="C16" s="80">
        <v>18739</v>
      </c>
      <c r="D16" s="77" t="str">
        <f t="shared" si="0"/>
        <v>Puri, Om</v>
      </c>
    </row>
    <row r="18" spans="2:7" ht="15.75" thickBot="1" x14ac:dyDescent="0.3"/>
    <row r="19" spans="2:7" x14ac:dyDescent="0.25">
      <c r="B19" s="183" t="s">
        <v>323</v>
      </c>
      <c r="C19" s="184"/>
      <c r="D19" s="81"/>
      <c r="E19" s="81"/>
      <c r="F19" s="81"/>
      <c r="G19" s="82"/>
    </row>
    <row r="20" spans="2:7" x14ac:dyDescent="0.25">
      <c r="B20" s="83" t="s">
        <v>324</v>
      </c>
      <c r="C20" s="84" t="s">
        <v>230</v>
      </c>
      <c r="D20" s="84" t="s">
        <v>231</v>
      </c>
      <c r="E20" s="84" t="s">
        <v>229</v>
      </c>
      <c r="F20" s="84" t="s">
        <v>232</v>
      </c>
      <c r="G20" s="85" t="s">
        <v>233</v>
      </c>
    </row>
    <row r="21" spans="2:7" x14ac:dyDescent="0.25">
      <c r="B21" s="86">
        <v>98362</v>
      </c>
      <c r="C21" s="87" t="s">
        <v>325</v>
      </c>
      <c r="D21" s="87" t="s">
        <v>326</v>
      </c>
      <c r="E21" s="87" t="s">
        <v>327</v>
      </c>
      <c r="F21" s="87" t="s">
        <v>328</v>
      </c>
      <c r="G21" s="88" t="s">
        <v>329</v>
      </c>
    </row>
    <row r="22" spans="2:7" x14ac:dyDescent="0.25">
      <c r="B22" s="89">
        <v>12235</v>
      </c>
      <c r="C22" s="90" t="s">
        <v>325</v>
      </c>
      <c r="D22" s="90" t="s">
        <v>325</v>
      </c>
      <c r="E22" s="90" t="s">
        <v>325</v>
      </c>
      <c r="F22" s="90" t="s">
        <v>328</v>
      </c>
      <c r="G22" s="91" t="s">
        <v>326</v>
      </c>
    </row>
    <row r="23" spans="2:7" x14ac:dyDescent="0.25">
      <c r="B23" s="89">
        <v>78312</v>
      </c>
      <c r="C23" s="90" t="s">
        <v>325</v>
      </c>
      <c r="D23" s="90" t="s">
        <v>326</v>
      </c>
      <c r="E23" s="90" t="s">
        <v>325</v>
      </c>
      <c r="F23" s="90" t="s">
        <v>330</v>
      </c>
      <c r="G23" s="91" t="s">
        <v>329</v>
      </c>
    </row>
    <row r="24" spans="2:7" x14ac:dyDescent="0.25">
      <c r="B24" s="89">
        <v>98722</v>
      </c>
      <c r="C24" s="90" t="s">
        <v>325</v>
      </c>
      <c r="D24" s="90" t="s">
        <v>325</v>
      </c>
      <c r="E24" s="90" t="s">
        <v>327</v>
      </c>
      <c r="F24" s="90" t="s">
        <v>330</v>
      </c>
      <c r="G24" s="91" t="s">
        <v>329</v>
      </c>
    </row>
    <row r="25" spans="2:7" x14ac:dyDescent="0.25">
      <c r="B25" s="89">
        <v>87423</v>
      </c>
      <c r="C25" s="90" t="s">
        <v>326</v>
      </c>
      <c r="D25" s="90" t="s">
        <v>326</v>
      </c>
      <c r="E25" s="90" t="s">
        <v>327</v>
      </c>
      <c r="F25" s="90" t="s">
        <v>330</v>
      </c>
      <c r="G25" s="91" t="s">
        <v>326</v>
      </c>
    </row>
    <row r="26" spans="2:7" x14ac:dyDescent="0.25">
      <c r="B26" s="89">
        <v>56431</v>
      </c>
      <c r="C26" s="90" t="s">
        <v>326</v>
      </c>
      <c r="D26" s="90" t="s">
        <v>325</v>
      </c>
      <c r="E26" s="90" t="s">
        <v>327</v>
      </c>
      <c r="F26" s="90" t="s">
        <v>328</v>
      </c>
      <c r="G26" s="91" t="s">
        <v>326</v>
      </c>
    </row>
    <row r="27" spans="2:7" x14ac:dyDescent="0.25">
      <c r="B27" s="89">
        <v>23972</v>
      </c>
      <c r="C27" s="90" t="s">
        <v>326</v>
      </c>
      <c r="D27" s="90" t="s">
        <v>325</v>
      </c>
      <c r="E27" s="90" t="s">
        <v>325</v>
      </c>
      <c r="F27" s="90" t="s">
        <v>328</v>
      </c>
      <c r="G27" s="91" t="s">
        <v>329</v>
      </c>
    </row>
    <row r="28" spans="2:7" ht="15.75" thickBot="1" x14ac:dyDescent="0.3">
      <c r="B28" s="92">
        <v>18739</v>
      </c>
      <c r="C28" s="93" t="s">
        <v>326</v>
      </c>
      <c r="D28" s="93" t="s">
        <v>326</v>
      </c>
      <c r="E28" s="93" t="s">
        <v>325</v>
      </c>
      <c r="F28" s="93" t="s">
        <v>330</v>
      </c>
      <c r="G28" s="94" t="s">
        <v>326</v>
      </c>
    </row>
  </sheetData>
  <mergeCells count="4">
    <mergeCell ref="B1:E1"/>
    <mergeCell ref="B2:E2"/>
    <mergeCell ref="B7:D7"/>
    <mergeCell ref="B19:C19"/>
  </mergeCells>
  <dataValidations count="1">
    <dataValidation type="list" allowBlank="1" showInputMessage="1" showErrorMessage="1" sqref="C5" xr:uid="{59A45B74-BC2D-49E8-94E6-6881A601BBA9}">
      <formula1>$C$20:$G$20</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74A1E-51EB-4646-BBA4-897CD2C890C9}">
  <dimension ref="A1:I319"/>
  <sheetViews>
    <sheetView tabSelected="1" workbookViewId="0">
      <selection activeCell="E15" sqref="E15"/>
    </sheetView>
  </sheetViews>
  <sheetFormatPr defaultRowHeight="15" x14ac:dyDescent="0.25"/>
  <cols>
    <col min="3" max="3" width="22.140625" customWidth="1"/>
    <col min="5" max="5" width="14" customWidth="1"/>
    <col min="9" max="9" width="32.42578125" customWidth="1"/>
  </cols>
  <sheetData>
    <row r="1" spans="1:9" x14ac:dyDescent="0.25">
      <c r="A1" s="168" t="s">
        <v>331</v>
      </c>
      <c r="B1" s="168"/>
      <c r="C1" s="168"/>
      <c r="D1" s="168"/>
      <c r="E1" s="168"/>
      <c r="F1" s="168"/>
      <c r="G1" s="168"/>
      <c r="H1" s="168"/>
      <c r="I1" s="168"/>
    </row>
    <row r="2" spans="1:9" x14ac:dyDescent="0.25">
      <c r="A2" s="168" t="s">
        <v>332</v>
      </c>
      <c r="B2" s="168"/>
      <c r="C2" s="168"/>
      <c r="D2" s="168"/>
      <c r="E2" s="168"/>
      <c r="F2" s="168"/>
      <c r="G2" s="168"/>
      <c r="H2" s="168"/>
      <c r="I2" s="168"/>
    </row>
    <row r="6" spans="1:9" x14ac:dyDescent="0.25">
      <c r="B6" s="58" t="s">
        <v>264</v>
      </c>
      <c r="C6" s="59" t="s">
        <v>265</v>
      </c>
      <c r="D6" s="59" t="s">
        <v>266</v>
      </c>
      <c r="E6" s="59" t="s">
        <v>267</v>
      </c>
      <c r="F6" s="59" t="s">
        <v>268</v>
      </c>
    </row>
    <row r="7" spans="1:9" x14ac:dyDescent="0.25">
      <c r="B7" s="58">
        <v>3331</v>
      </c>
      <c r="C7" s="59" t="s">
        <v>278</v>
      </c>
      <c r="D7" s="59" t="s">
        <v>275</v>
      </c>
      <c r="E7" s="61">
        <v>44348</v>
      </c>
      <c r="F7" s="58">
        <v>-14202</v>
      </c>
    </row>
    <row r="8" spans="1:9" x14ac:dyDescent="0.25">
      <c r="B8" s="58">
        <v>695</v>
      </c>
      <c r="C8" s="59" t="s">
        <v>278</v>
      </c>
      <c r="D8" s="59" t="s">
        <v>275</v>
      </c>
      <c r="E8" s="61">
        <v>44348</v>
      </c>
      <c r="F8" s="59">
        <v>17043</v>
      </c>
    </row>
    <row r="9" spans="1:9" x14ac:dyDescent="0.25">
      <c r="B9" s="58">
        <v>526</v>
      </c>
      <c r="C9" s="59" t="s">
        <v>278</v>
      </c>
      <c r="D9" s="59" t="s">
        <v>275</v>
      </c>
      <c r="E9" s="61">
        <v>44409</v>
      </c>
      <c r="F9" s="59">
        <v>55010</v>
      </c>
    </row>
    <row r="10" spans="1:9" x14ac:dyDescent="0.25">
      <c r="B10" s="58">
        <v>1746</v>
      </c>
      <c r="C10" s="59" t="s">
        <v>278</v>
      </c>
      <c r="D10" s="59" t="s">
        <v>275</v>
      </c>
      <c r="E10" s="61">
        <v>44197</v>
      </c>
      <c r="F10" s="58">
        <v>60394</v>
      </c>
    </row>
    <row r="11" spans="1:9" x14ac:dyDescent="0.25">
      <c r="B11" s="58">
        <v>346</v>
      </c>
      <c r="C11" s="59" t="s">
        <v>278</v>
      </c>
      <c r="D11" s="59" t="s">
        <v>275</v>
      </c>
      <c r="E11" s="61">
        <v>44317</v>
      </c>
      <c r="F11" s="59">
        <v>166490</v>
      </c>
    </row>
    <row r="12" spans="1:9" x14ac:dyDescent="0.25">
      <c r="B12" s="58">
        <v>1727</v>
      </c>
      <c r="C12" s="59" t="s">
        <v>278</v>
      </c>
      <c r="D12" s="59" t="s">
        <v>275</v>
      </c>
      <c r="E12" s="61">
        <v>44287</v>
      </c>
      <c r="F12" s="58">
        <v>196137</v>
      </c>
    </row>
    <row r="13" spans="1:9" x14ac:dyDescent="0.25">
      <c r="B13" s="58">
        <v>405</v>
      </c>
      <c r="C13" s="59" t="s">
        <v>278</v>
      </c>
      <c r="D13" s="59" t="s">
        <v>275</v>
      </c>
      <c r="E13" s="61">
        <v>44531</v>
      </c>
      <c r="F13" s="59">
        <v>219249</v>
      </c>
    </row>
    <row r="14" spans="1:9" x14ac:dyDescent="0.25">
      <c r="B14" s="58">
        <v>3127</v>
      </c>
      <c r="C14" s="59" t="s">
        <v>278</v>
      </c>
      <c r="D14" s="59" t="s">
        <v>275</v>
      </c>
      <c r="E14" s="61">
        <v>44531</v>
      </c>
      <c r="F14" s="58">
        <v>232472</v>
      </c>
    </row>
    <row r="15" spans="1:9" x14ac:dyDescent="0.25">
      <c r="B15" s="58">
        <v>2715</v>
      </c>
      <c r="C15" s="59" t="s">
        <v>278</v>
      </c>
      <c r="D15" s="59" t="s">
        <v>272</v>
      </c>
      <c r="E15" s="61">
        <v>44501</v>
      </c>
      <c r="F15" s="58">
        <v>39271</v>
      </c>
    </row>
    <row r="16" spans="1:9" x14ac:dyDescent="0.25">
      <c r="B16" s="58">
        <v>329</v>
      </c>
      <c r="C16" s="59" t="s">
        <v>278</v>
      </c>
      <c r="D16" s="59" t="s">
        <v>272</v>
      </c>
      <c r="E16" s="61">
        <v>44440</v>
      </c>
      <c r="F16" s="59">
        <v>60921</v>
      </c>
    </row>
    <row r="17" spans="2:6" x14ac:dyDescent="0.25">
      <c r="B17" s="58">
        <v>423</v>
      </c>
      <c r="C17" s="59" t="s">
        <v>278</v>
      </c>
      <c r="D17" s="59" t="s">
        <v>272</v>
      </c>
      <c r="E17" s="61">
        <v>44409</v>
      </c>
      <c r="F17" s="59">
        <v>87532</v>
      </c>
    </row>
    <row r="18" spans="2:6" x14ac:dyDescent="0.25">
      <c r="B18" s="58">
        <v>2577</v>
      </c>
      <c r="C18" s="59" t="s">
        <v>278</v>
      </c>
      <c r="D18" s="59" t="s">
        <v>272</v>
      </c>
      <c r="E18" s="61">
        <v>44287</v>
      </c>
      <c r="F18" s="58">
        <v>89649</v>
      </c>
    </row>
    <row r="19" spans="2:6" x14ac:dyDescent="0.25">
      <c r="B19" s="58">
        <v>1783</v>
      </c>
      <c r="C19" s="59" t="s">
        <v>278</v>
      </c>
      <c r="D19" s="59" t="s">
        <v>272</v>
      </c>
      <c r="E19" s="61">
        <v>44531</v>
      </c>
      <c r="F19" s="58">
        <v>112636</v>
      </c>
    </row>
    <row r="20" spans="2:6" x14ac:dyDescent="0.25">
      <c r="B20" s="58">
        <v>3189</v>
      </c>
      <c r="C20" s="59" t="s">
        <v>278</v>
      </c>
      <c r="D20" s="59" t="s">
        <v>272</v>
      </c>
      <c r="E20" s="61">
        <v>44501</v>
      </c>
      <c r="F20" s="58">
        <v>195638</v>
      </c>
    </row>
    <row r="21" spans="2:6" x14ac:dyDescent="0.25">
      <c r="B21" s="58">
        <v>1053</v>
      </c>
      <c r="C21" s="59" t="s">
        <v>278</v>
      </c>
      <c r="D21" s="59" t="s">
        <v>272</v>
      </c>
      <c r="E21" s="61">
        <v>44501</v>
      </c>
      <c r="F21" s="58">
        <v>211082</v>
      </c>
    </row>
    <row r="22" spans="2:6" x14ac:dyDescent="0.25">
      <c r="B22" s="58">
        <v>1823</v>
      </c>
      <c r="C22" s="59" t="s">
        <v>278</v>
      </c>
      <c r="D22" s="59" t="s">
        <v>272</v>
      </c>
      <c r="E22" s="61">
        <v>44317</v>
      </c>
      <c r="F22" s="58">
        <v>223042</v>
      </c>
    </row>
    <row r="23" spans="2:6" x14ac:dyDescent="0.25">
      <c r="B23" s="58">
        <v>2466</v>
      </c>
      <c r="C23" s="59" t="s">
        <v>278</v>
      </c>
      <c r="D23" s="59" t="s">
        <v>272</v>
      </c>
      <c r="E23" s="61">
        <v>44440</v>
      </c>
      <c r="F23" s="58">
        <v>258051</v>
      </c>
    </row>
    <row r="24" spans="2:6" x14ac:dyDescent="0.25">
      <c r="B24" s="58">
        <v>1121</v>
      </c>
      <c r="C24" s="59" t="s">
        <v>278</v>
      </c>
      <c r="D24" s="59" t="s">
        <v>272</v>
      </c>
      <c r="E24" s="61">
        <v>44317</v>
      </c>
      <c r="F24" s="58">
        <v>258583</v>
      </c>
    </row>
    <row r="25" spans="2:6" x14ac:dyDescent="0.25">
      <c r="B25" s="58">
        <v>3106</v>
      </c>
      <c r="C25" s="59" t="s">
        <v>278</v>
      </c>
      <c r="D25" s="59" t="s">
        <v>273</v>
      </c>
      <c r="E25" s="61">
        <v>44501</v>
      </c>
      <c r="F25" s="58">
        <v>55433</v>
      </c>
    </row>
    <row r="26" spans="2:6" x14ac:dyDescent="0.25">
      <c r="B26" s="58">
        <v>1989</v>
      </c>
      <c r="C26" s="59" t="s">
        <v>278</v>
      </c>
      <c r="D26" s="59" t="s">
        <v>273</v>
      </c>
      <c r="E26" s="61">
        <v>44287</v>
      </c>
      <c r="F26" s="58">
        <v>61230</v>
      </c>
    </row>
    <row r="27" spans="2:6" x14ac:dyDescent="0.25">
      <c r="B27" s="58">
        <v>2001</v>
      </c>
      <c r="C27" s="59" t="s">
        <v>278</v>
      </c>
      <c r="D27" s="59" t="s">
        <v>273</v>
      </c>
      <c r="E27" s="61">
        <v>44228</v>
      </c>
      <c r="F27" s="58">
        <v>74022</v>
      </c>
    </row>
    <row r="28" spans="2:6" x14ac:dyDescent="0.25">
      <c r="B28" s="58">
        <v>688</v>
      </c>
      <c r="C28" s="59" t="s">
        <v>278</v>
      </c>
      <c r="D28" s="59" t="s">
        <v>273</v>
      </c>
      <c r="E28" s="61">
        <v>44256</v>
      </c>
      <c r="F28" s="59">
        <v>87460</v>
      </c>
    </row>
    <row r="29" spans="2:6" x14ac:dyDescent="0.25">
      <c r="B29" s="58">
        <v>2475</v>
      </c>
      <c r="C29" s="59" t="s">
        <v>278</v>
      </c>
      <c r="D29" s="59" t="s">
        <v>273</v>
      </c>
      <c r="E29" s="61">
        <v>44256</v>
      </c>
      <c r="F29" s="58">
        <v>114470</v>
      </c>
    </row>
    <row r="30" spans="2:6" x14ac:dyDescent="0.25">
      <c r="B30" s="58">
        <v>3307</v>
      </c>
      <c r="C30" s="59" t="s">
        <v>278</v>
      </c>
      <c r="D30" s="59" t="s">
        <v>273</v>
      </c>
      <c r="E30" s="61">
        <v>44348</v>
      </c>
      <c r="F30" s="58">
        <v>223894</v>
      </c>
    </row>
    <row r="31" spans="2:6" x14ac:dyDescent="0.25">
      <c r="B31" s="58">
        <v>1706</v>
      </c>
      <c r="C31" s="59" t="s">
        <v>278</v>
      </c>
      <c r="D31" s="59" t="s">
        <v>273</v>
      </c>
      <c r="E31" s="61">
        <v>44287</v>
      </c>
      <c r="F31" s="58">
        <v>247904</v>
      </c>
    </row>
    <row r="32" spans="2:6" x14ac:dyDescent="0.25">
      <c r="B32" s="58">
        <v>3224</v>
      </c>
      <c r="C32" s="59" t="s">
        <v>278</v>
      </c>
      <c r="D32" s="59" t="s">
        <v>273</v>
      </c>
      <c r="E32" s="61">
        <v>44197</v>
      </c>
      <c r="F32" s="58">
        <v>256329</v>
      </c>
    </row>
    <row r="33" spans="2:6" x14ac:dyDescent="0.25">
      <c r="B33" s="58">
        <v>686</v>
      </c>
      <c r="C33" s="59" t="s">
        <v>278</v>
      </c>
      <c r="D33" s="59" t="s">
        <v>271</v>
      </c>
      <c r="E33" s="61">
        <v>44470</v>
      </c>
      <c r="F33" s="59">
        <v>18670</v>
      </c>
    </row>
    <row r="34" spans="2:6" x14ac:dyDescent="0.25">
      <c r="B34" s="58">
        <v>3305</v>
      </c>
      <c r="C34" s="59" t="s">
        <v>278</v>
      </c>
      <c r="D34" s="59" t="s">
        <v>271</v>
      </c>
      <c r="E34" s="61">
        <v>44256</v>
      </c>
      <c r="F34" s="58">
        <v>155535</v>
      </c>
    </row>
    <row r="35" spans="2:6" x14ac:dyDescent="0.25">
      <c r="B35" s="58">
        <v>2716</v>
      </c>
      <c r="C35" s="59" t="s">
        <v>278</v>
      </c>
      <c r="D35" s="59" t="s">
        <v>271</v>
      </c>
      <c r="E35" s="61">
        <v>44440</v>
      </c>
      <c r="F35" s="58">
        <v>208038</v>
      </c>
    </row>
    <row r="36" spans="2:6" x14ac:dyDescent="0.25">
      <c r="B36" s="58">
        <v>1244</v>
      </c>
      <c r="C36" s="59" t="s">
        <v>278</v>
      </c>
      <c r="D36" s="59" t="s">
        <v>271</v>
      </c>
      <c r="E36" s="61">
        <v>44378</v>
      </c>
      <c r="F36" s="58">
        <v>219148</v>
      </c>
    </row>
    <row r="37" spans="2:6" x14ac:dyDescent="0.25">
      <c r="B37" s="58">
        <v>1788</v>
      </c>
      <c r="C37" s="59" t="s">
        <v>278</v>
      </c>
      <c r="D37" s="59" t="s">
        <v>271</v>
      </c>
      <c r="E37" s="61">
        <v>44317</v>
      </c>
      <c r="F37" s="58">
        <v>232025</v>
      </c>
    </row>
    <row r="38" spans="2:6" x14ac:dyDescent="0.25">
      <c r="B38" s="58">
        <v>451</v>
      </c>
      <c r="C38" s="59" t="s">
        <v>278</v>
      </c>
      <c r="D38" s="59" t="s">
        <v>271</v>
      </c>
      <c r="E38" s="61">
        <v>44440</v>
      </c>
      <c r="F38" s="59">
        <v>242254</v>
      </c>
    </row>
    <row r="39" spans="2:6" x14ac:dyDescent="0.25">
      <c r="B39" s="58">
        <v>1743</v>
      </c>
      <c r="C39" s="59" t="s">
        <v>278</v>
      </c>
      <c r="D39" s="59" t="s">
        <v>274</v>
      </c>
      <c r="E39" s="61">
        <v>44197</v>
      </c>
      <c r="F39" s="58">
        <v>6345</v>
      </c>
    </row>
    <row r="40" spans="2:6" x14ac:dyDescent="0.25">
      <c r="B40" s="58">
        <v>1782</v>
      </c>
      <c r="C40" s="59" t="s">
        <v>278</v>
      </c>
      <c r="D40" s="59" t="s">
        <v>274</v>
      </c>
      <c r="E40" s="61">
        <v>44256</v>
      </c>
      <c r="F40" s="58">
        <v>30219</v>
      </c>
    </row>
    <row r="41" spans="2:6" x14ac:dyDescent="0.25">
      <c r="B41" s="58">
        <v>1048</v>
      </c>
      <c r="C41" s="59" t="s">
        <v>278</v>
      </c>
      <c r="D41" s="59" t="s">
        <v>274</v>
      </c>
      <c r="E41" s="61">
        <v>44197</v>
      </c>
      <c r="F41" s="58">
        <v>41318</v>
      </c>
    </row>
    <row r="42" spans="2:6" x14ac:dyDescent="0.25">
      <c r="B42" s="58">
        <v>3122</v>
      </c>
      <c r="C42" s="59" t="s">
        <v>278</v>
      </c>
      <c r="D42" s="59" t="s">
        <v>274</v>
      </c>
      <c r="E42" s="61">
        <v>44378</v>
      </c>
      <c r="F42" s="58">
        <v>59920</v>
      </c>
    </row>
    <row r="43" spans="2:6" x14ac:dyDescent="0.25">
      <c r="B43" s="58">
        <v>3379</v>
      </c>
      <c r="C43" s="59" t="s">
        <v>278</v>
      </c>
      <c r="D43" s="59" t="s">
        <v>274</v>
      </c>
      <c r="E43" s="61">
        <v>44440</v>
      </c>
      <c r="F43" s="58">
        <v>74093</v>
      </c>
    </row>
    <row r="44" spans="2:6" x14ac:dyDescent="0.25">
      <c r="B44" s="58">
        <v>1024</v>
      </c>
      <c r="C44" s="59" t="s">
        <v>278</v>
      </c>
      <c r="D44" s="59" t="s">
        <v>274</v>
      </c>
      <c r="E44" s="61">
        <v>44409</v>
      </c>
      <c r="F44" s="58">
        <v>124717</v>
      </c>
    </row>
    <row r="45" spans="2:6" x14ac:dyDescent="0.25">
      <c r="B45" s="58">
        <v>568</v>
      </c>
      <c r="C45" s="59" t="s">
        <v>278</v>
      </c>
      <c r="D45" s="59" t="s">
        <v>274</v>
      </c>
      <c r="E45" s="61">
        <v>44531</v>
      </c>
      <c r="F45" s="59">
        <v>142874</v>
      </c>
    </row>
    <row r="46" spans="2:6" x14ac:dyDescent="0.25">
      <c r="B46" s="58">
        <v>1022</v>
      </c>
      <c r="C46" s="59" t="s">
        <v>278</v>
      </c>
      <c r="D46" s="59" t="s">
        <v>274</v>
      </c>
      <c r="E46" s="61">
        <v>44378</v>
      </c>
      <c r="F46" s="58">
        <v>152936</v>
      </c>
    </row>
    <row r="47" spans="2:6" x14ac:dyDescent="0.25">
      <c r="B47" s="58">
        <v>2100</v>
      </c>
      <c r="C47" s="59" t="s">
        <v>278</v>
      </c>
      <c r="D47" s="59" t="s">
        <v>274</v>
      </c>
      <c r="E47" s="61">
        <v>44287</v>
      </c>
      <c r="F47" s="58">
        <v>189847</v>
      </c>
    </row>
    <row r="48" spans="2:6" x14ac:dyDescent="0.25">
      <c r="B48" s="58">
        <v>3265</v>
      </c>
      <c r="C48" s="59" t="s">
        <v>278</v>
      </c>
      <c r="D48" s="59" t="s">
        <v>274</v>
      </c>
      <c r="E48" s="61">
        <v>44228</v>
      </c>
      <c r="F48" s="58">
        <v>192728</v>
      </c>
    </row>
    <row r="49" spans="2:6" x14ac:dyDescent="0.25">
      <c r="B49" s="58">
        <v>1722</v>
      </c>
      <c r="C49" s="59" t="s">
        <v>278</v>
      </c>
      <c r="D49" s="59" t="s">
        <v>274</v>
      </c>
      <c r="E49" s="61">
        <v>44287</v>
      </c>
      <c r="F49" s="58">
        <v>201120</v>
      </c>
    </row>
    <row r="50" spans="2:6" x14ac:dyDescent="0.25">
      <c r="B50" s="58">
        <v>3469</v>
      </c>
      <c r="C50" s="59" t="s">
        <v>278</v>
      </c>
      <c r="D50" s="59" t="s">
        <v>274</v>
      </c>
      <c r="E50" s="61">
        <v>44378</v>
      </c>
      <c r="F50" s="58">
        <v>252080</v>
      </c>
    </row>
    <row r="51" spans="2:6" x14ac:dyDescent="0.25">
      <c r="B51" s="58">
        <v>1809</v>
      </c>
      <c r="C51" s="59" t="s">
        <v>279</v>
      </c>
      <c r="D51" s="59" t="s">
        <v>275</v>
      </c>
      <c r="E51" s="61">
        <v>44378</v>
      </c>
      <c r="F51" s="58">
        <v>23560</v>
      </c>
    </row>
    <row r="52" spans="2:6" x14ac:dyDescent="0.25">
      <c r="B52" s="58">
        <v>3423</v>
      </c>
      <c r="C52" s="59" t="s">
        <v>279</v>
      </c>
      <c r="D52" s="59" t="s">
        <v>275</v>
      </c>
      <c r="E52" s="61">
        <v>44348</v>
      </c>
      <c r="F52" s="58">
        <v>34080</v>
      </c>
    </row>
    <row r="53" spans="2:6" x14ac:dyDescent="0.25">
      <c r="B53" s="58">
        <v>3145</v>
      </c>
      <c r="C53" s="59" t="s">
        <v>279</v>
      </c>
      <c r="D53" s="59" t="s">
        <v>275</v>
      </c>
      <c r="E53" s="61">
        <v>44197</v>
      </c>
      <c r="F53" s="58">
        <v>40778</v>
      </c>
    </row>
    <row r="54" spans="2:6" x14ac:dyDescent="0.25">
      <c r="B54" s="58">
        <v>1045</v>
      </c>
      <c r="C54" s="59" t="s">
        <v>279</v>
      </c>
      <c r="D54" s="59" t="s">
        <v>275</v>
      </c>
      <c r="E54" s="61">
        <v>44409</v>
      </c>
      <c r="F54" s="58">
        <v>99343</v>
      </c>
    </row>
    <row r="55" spans="2:6" x14ac:dyDescent="0.25">
      <c r="B55" s="58">
        <v>3108</v>
      </c>
      <c r="C55" s="59" t="s">
        <v>279</v>
      </c>
      <c r="D55" s="59" t="s">
        <v>275</v>
      </c>
      <c r="E55" s="61">
        <v>44378</v>
      </c>
      <c r="F55" s="58">
        <v>104422</v>
      </c>
    </row>
    <row r="56" spans="2:6" x14ac:dyDescent="0.25">
      <c r="B56" s="58">
        <v>3295</v>
      </c>
      <c r="C56" s="59" t="s">
        <v>279</v>
      </c>
      <c r="D56" s="59" t="s">
        <v>275</v>
      </c>
      <c r="E56" s="61">
        <v>44501</v>
      </c>
      <c r="F56" s="58">
        <v>161110</v>
      </c>
    </row>
    <row r="57" spans="2:6" x14ac:dyDescent="0.25">
      <c r="B57" s="58">
        <v>2670</v>
      </c>
      <c r="C57" s="59" t="s">
        <v>279</v>
      </c>
      <c r="D57" s="59" t="s">
        <v>272</v>
      </c>
      <c r="E57" s="61">
        <v>44531</v>
      </c>
      <c r="F57" s="58">
        <v>12709</v>
      </c>
    </row>
    <row r="58" spans="2:6" x14ac:dyDescent="0.25">
      <c r="B58" s="58">
        <v>1332</v>
      </c>
      <c r="C58" s="59" t="s">
        <v>279</v>
      </c>
      <c r="D58" s="59" t="s">
        <v>272</v>
      </c>
      <c r="E58" s="61">
        <v>44378</v>
      </c>
      <c r="F58" s="58">
        <v>26819</v>
      </c>
    </row>
    <row r="59" spans="2:6" x14ac:dyDescent="0.25">
      <c r="B59" s="58">
        <v>2580</v>
      </c>
      <c r="C59" s="59" t="s">
        <v>279</v>
      </c>
      <c r="D59" s="59" t="s">
        <v>272</v>
      </c>
      <c r="E59" s="61">
        <v>44287</v>
      </c>
      <c r="F59" s="58">
        <v>42319</v>
      </c>
    </row>
    <row r="60" spans="2:6" x14ac:dyDescent="0.25">
      <c r="B60" s="58">
        <v>1377</v>
      </c>
      <c r="C60" s="59" t="s">
        <v>279</v>
      </c>
      <c r="D60" s="59" t="s">
        <v>272</v>
      </c>
      <c r="E60" s="61">
        <v>44317</v>
      </c>
      <c r="F60" s="58">
        <v>57755</v>
      </c>
    </row>
    <row r="61" spans="2:6" x14ac:dyDescent="0.25">
      <c r="B61" s="58">
        <v>2439</v>
      </c>
      <c r="C61" s="59" t="s">
        <v>279</v>
      </c>
      <c r="D61" s="59" t="s">
        <v>272</v>
      </c>
      <c r="E61" s="61">
        <v>44531</v>
      </c>
      <c r="F61" s="58">
        <v>71529</v>
      </c>
    </row>
    <row r="62" spans="2:6" x14ac:dyDescent="0.25">
      <c r="B62" s="58">
        <v>1210</v>
      </c>
      <c r="C62" s="59" t="s">
        <v>279</v>
      </c>
      <c r="D62" s="59" t="s">
        <v>272</v>
      </c>
      <c r="E62" s="61">
        <v>44409</v>
      </c>
      <c r="F62" s="58">
        <v>109849</v>
      </c>
    </row>
    <row r="63" spans="2:6" x14ac:dyDescent="0.25">
      <c r="B63" s="58">
        <v>2044</v>
      </c>
      <c r="C63" s="59" t="s">
        <v>279</v>
      </c>
      <c r="D63" s="59" t="s">
        <v>272</v>
      </c>
      <c r="E63" s="61">
        <v>44317</v>
      </c>
      <c r="F63" s="58">
        <v>164464</v>
      </c>
    </row>
    <row r="64" spans="2:6" x14ac:dyDescent="0.25">
      <c r="B64" s="58">
        <v>342</v>
      </c>
      <c r="C64" s="59" t="s">
        <v>279</v>
      </c>
      <c r="D64" s="59" t="s">
        <v>272</v>
      </c>
      <c r="E64" s="61">
        <v>44197</v>
      </c>
      <c r="F64" s="59">
        <v>180969</v>
      </c>
    </row>
    <row r="65" spans="2:6" x14ac:dyDescent="0.25">
      <c r="B65" s="58">
        <v>2744</v>
      </c>
      <c r="C65" s="59" t="s">
        <v>279</v>
      </c>
      <c r="D65" s="59" t="s">
        <v>272</v>
      </c>
      <c r="E65" s="61">
        <v>44531</v>
      </c>
      <c r="F65" s="58">
        <v>210352</v>
      </c>
    </row>
    <row r="66" spans="2:6" x14ac:dyDescent="0.25">
      <c r="B66" s="58">
        <v>2739</v>
      </c>
      <c r="C66" s="59" t="s">
        <v>279</v>
      </c>
      <c r="D66" s="59" t="s">
        <v>272</v>
      </c>
      <c r="E66" s="61">
        <v>44470</v>
      </c>
      <c r="F66" s="58">
        <v>236531</v>
      </c>
    </row>
    <row r="67" spans="2:6" x14ac:dyDescent="0.25">
      <c r="B67" s="58">
        <v>3498</v>
      </c>
      <c r="C67" s="59" t="s">
        <v>279</v>
      </c>
      <c r="D67" s="59" t="s">
        <v>273</v>
      </c>
      <c r="E67" s="61">
        <v>44409</v>
      </c>
      <c r="F67" s="58">
        <v>7269</v>
      </c>
    </row>
    <row r="68" spans="2:6" x14ac:dyDescent="0.25">
      <c r="B68" s="58">
        <v>1398</v>
      </c>
      <c r="C68" s="59" t="s">
        <v>279</v>
      </c>
      <c r="D68" s="59" t="s">
        <v>273</v>
      </c>
      <c r="E68" s="61">
        <v>44409</v>
      </c>
      <c r="F68" s="58">
        <v>19002</v>
      </c>
    </row>
    <row r="69" spans="2:6" x14ac:dyDescent="0.25">
      <c r="B69" s="58">
        <v>2423</v>
      </c>
      <c r="C69" s="59" t="s">
        <v>279</v>
      </c>
      <c r="D69" s="59" t="s">
        <v>273</v>
      </c>
      <c r="E69" s="61">
        <v>44409</v>
      </c>
      <c r="F69" s="58">
        <v>23010</v>
      </c>
    </row>
    <row r="70" spans="2:6" x14ac:dyDescent="0.25">
      <c r="B70" s="58">
        <v>1329</v>
      </c>
      <c r="C70" s="59" t="s">
        <v>279</v>
      </c>
      <c r="D70" s="59" t="s">
        <v>273</v>
      </c>
      <c r="E70" s="61">
        <v>44378</v>
      </c>
      <c r="F70" s="58">
        <v>36547</v>
      </c>
    </row>
    <row r="71" spans="2:6" x14ac:dyDescent="0.25">
      <c r="B71" s="58">
        <v>2009</v>
      </c>
      <c r="C71" s="59" t="s">
        <v>279</v>
      </c>
      <c r="D71" s="59" t="s">
        <v>273</v>
      </c>
      <c r="E71" s="61">
        <v>44317</v>
      </c>
      <c r="F71" s="58">
        <v>124153</v>
      </c>
    </row>
    <row r="72" spans="2:6" x14ac:dyDescent="0.25">
      <c r="B72" s="58">
        <v>1107</v>
      </c>
      <c r="C72" s="59" t="s">
        <v>279</v>
      </c>
      <c r="D72" s="59" t="s">
        <v>273</v>
      </c>
      <c r="E72" s="61">
        <v>44256</v>
      </c>
      <c r="F72" s="58">
        <v>126174</v>
      </c>
    </row>
    <row r="73" spans="2:6" x14ac:dyDescent="0.25">
      <c r="B73" s="58">
        <v>1353</v>
      </c>
      <c r="C73" s="59" t="s">
        <v>279</v>
      </c>
      <c r="D73" s="59" t="s">
        <v>273</v>
      </c>
      <c r="E73" s="61">
        <v>44440</v>
      </c>
      <c r="F73" s="58">
        <v>220591</v>
      </c>
    </row>
    <row r="74" spans="2:6" x14ac:dyDescent="0.25">
      <c r="B74" s="58">
        <v>2621</v>
      </c>
      <c r="C74" s="59" t="s">
        <v>279</v>
      </c>
      <c r="D74" s="59" t="s">
        <v>271</v>
      </c>
      <c r="E74" s="61">
        <v>44317</v>
      </c>
      <c r="F74" s="58">
        <v>1696</v>
      </c>
    </row>
    <row r="75" spans="2:6" x14ac:dyDescent="0.25">
      <c r="B75" s="58">
        <v>1307</v>
      </c>
      <c r="C75" s="59" t="s">
        <v>279</v>
      </c>
      <c r="D75" s="59" t="s">
        <v>271</v>
      </c>
      <c r="E75" s="61">
        <v>44228</v>
      </c>
      <c r="F75" s="58">
        <v>13845</v>
      </c>
    </row>
    <row r="76" spans="2:6" x14ac:dyDescent="0.25">
      <c r="B76" s="58">
        <v>2654</v>
      </c>
      <c r="C76" s="59" t="s">
        <v>279</v>
      </c>
      <c r="D76" s="59" t="s">
        <v>271</v>
      </c>
      <c r="E76" s="61">
        <v>44228</v>
      </c>
      <c r="F76" s="58">
        <v>27849</v>
      </c>
    </row>
    <row r="77" spans="2:6" x14ac:dyDescent="0.25">
      <c r="B77" s="58">
        <v>3399</v>
      </c>
      <c r="C77" s="59" t="s">
        <v>279</v>
      </c>
      <c r="D77" s="59" t="s">
        <v>271</v>
      </c>
      <c r="E77" s="61">
        <v>44409</v>
      </c>
      <c r="F77" s="58">
        <v>75634</v>
      </c>
    </row>
    <row r="78" spans="2:6" x14ac:dyDescent="0.25">
      <c r="B78" s="58">
        <v>636</v>
      </c>
      <c r="C78" s="59" t="s">
        <v>279</v>
      </c>
      <c r="D78" s="59" t="s">
        <v>271</v>
      </c>
      <c r="E78" s="61">
        <v>44409</v>
      </c>
      <c r="F78" s="59">
        <v>86220</v>
      </c>
    </row>
    <row r="79" spans="2:6" x14ac:dyDescent="0.25">
      <c r="B79" s="58">
        <v>1256</v>
      </c>
      <c r="C79" s="59" t="s">
        <v>279</v>
      </c>
      <c r="D79" s="59" t="s">
        <v>271</v>
      </c>
      <c r="E79" s="61">
        <v>44348</v>
      </c>
      <c r="F79" s="58">
        <v>91931</v>
      </c>
    </row>
    <row r="80" spans="2:6" x14ac:dyDescent="0.25">
      <c r="B80" s="58">
        <v>2455</v>
      </c>
      <c r="C80" s="59" t="s">
        <v>279</v>
      </c>
      <c r="D80" s="59" t="s">
        <v>271</v>
      </c>
      <c r="E80" s="61">
        <v>44228</v>
      </c>
      <c r="F80" s="58">
        <v>157993</v>
      </c>
    </row>
    <row r="81" spans="2:6" x14ac:dyDescent="0.25">
      <c r="B81" s="58">
        <v>659</v>
      </c>
      <c r="C81" s="59" t="s">
        <v>279</v>
      </c>
      <c r="D81" s="59" t="s">
        <v>271</v>
      </c>
      <c r="E81" s="61">
        <v>44287</v>
      </c>
      <c r="F81" s="59">
        <v>173199</v>
      </c>
    </row>
    <row r="82" spans="2:6" x14ac:dyDescent="0.25">
      <c r="B82" s="58">
        <v>3138</v>
      </c>
      <c r="C82" s="59" t="s">
        <v>279</v>
      </c>
      <c r="D82" s="59" t="s">
        <v>274</v>
      </c>
      <c r="E82" s="61">
        <v>44501</v>
      </c>
      <c r="F82" s="58">
        <v>28110</v>
      </c>
    </row>
    <row r="83" spans="2:6" x14ac:dyDescent="0.25">
      <c r="B83" s="58">
        <v>3443</v>
      </c>
      <c r="C83" s="59" t="s">
        <v>279</v>
      </c>
      <c r="D83" s="59" t="s">
        <v>274</v>
      </c>
      <c r="E83" s="61">
        <v>44256</v>
      </c>
      <c r="F83" s="58">
        <v>75969</v>
      </c>
    </row>
    <row r="84" spans="2:6" x14ac:dyDescent="0.25">
      <c r="B84" s="58">
        <v>1037</v>
      </c>
      <c r="C84" s="59" t="s">
        <v>279</v>
      </c>
      <c r="D84" s="59" t="s">
        <v>274</v>
      </c>
      <c r="E84" s="61">
        <v>44531</v>
      </c>
      <c r="F84" s="58">
        <v>198140</v>
      </c>
    </row>
    <row r="85" spans="2:6" x14ac:dyDescent="0.25">
      <c r="B85" s="58">
        <v>952</v>
      </c>
      <c r="C85" s="59" t="s">
        <v>270</v>
      </c>
      <c r="D85" s="59" t="s">
        <v>275</v>
      </c>
      <c r="E85" s="61">
        <v>44378</v>
      </c>
      <c r="F85" s="58">
        <v>7819</v>
      </c>
    </row>
    <row r="86" spans="2:6" x14ac:dyDescent="0.25">
      <c r="B86" s="58">
        <v>949</v>
      </c>
      <c r="C86" s="59" t="s">
        <v>270</v>
      </c>
      <c r="D86" s="59" t="s">
        <v>275</v>
      </c>
      <c r="E86" s="61">
        <v>44531</v>
      </c>
      <c r="F86" s="58">
        <v>8406</v>
      </c>
    </row>
    <row r="87" spans="2:6" x14ac:dyDescent="0.25">
      <c r="B87" s="58">
        <v>2352</v>
      </c>
      <c r="C87" s="59" t="s">
        <v>270</v>
      </c>
      <c r="D87" s="59" t="s">
        <v>275</v>
      </c>
      <c r="E87" s="61">
        <v>44348</v>
      </c>
      <c r="F87" s="58">
        <v>17150</v>
      </c>
    </row>
    <row r="88" spans="2:6" x14ac:dyDescent="0.25">
      <c r="B88" s="58">
        <v>1505</v>
      </c>
      <c r="C88" s="59" t="s">
        <v>270</v>
      </c>
      <c r="D88" s="59" t="s">
        <v>275</v>
      </c>
      <c r="E88" s="61">
        <v>44470</v>
      </c>
      <c r="F88" s="58">
        <v>24838</v>
      </c>
    </row>
    <row r="89" spans="2:6" x14ac:dyDescent="0.25">
      <c r="B89" s="58">
        <v>950</v>
      </c>
      <c r="C89" s="59" t="s">
        <v>270</v>
      </c>
      <c r="D89" s="59" t="s">
        <v>275</v>
      </c>
      <c r="E89" s="61">
        <v>44348</v>
      </c>
      <c r="F89" s="58">
        <v>27137</v>
      </c>
    </row>
    <row r="90" spans="2:6" x14ac:dyDescent="0.25">
      <c r="B90" s="58">
        <v>825</v>
      </c>
      <c r="C90" s="59" t="s">
        <v>270</v>
      </c>
      <c r="D90" s="59" t="s">
        <v>275</v>
      </c>
      <c r="E90" s="61">
        <v>44348</v>
      </c>
      <c r="F90" s="58">
        <v>32352</v>
      </c>
    </row>
    <row r="91" spans="2:6" x14ac:dyDescent="0.25">
      <c r="B91" s="58">
        <v>88</v>
      </c>
      <c r="C91" s="59" t="s">
        <v>270</v>
      </c>
      <c r="D91" s="59" t="s">
        <v>275</v>
      </c>
      <c r="E91" s="61">
        <v>44197</v>
      </c>
      <c r="F91" s="59">
        <v>36125</v>
      </c>
    </row>
    <row r="92" spans="2:6" x14ac:dyDescent="0.25">
      <c r="B92" s="58">
        <v>3050</v>
      </c>
      <c r="C92" s="59" t="s">
        <v>270</v>
      </c>
      <c r="D92" s="59" t="s">
        <v>275</v>
      </c>
      <c r="E92" s="61">
        <v>44256</v>
      </c>
      <c r="F92" s="58">
        <v>51626</v>
      </c>
    </row>
    <row r="93" spans="2:6" x14ac:dyDescent="0.25">
      <c r="B93" s="58">
        <v>3080</v>
      </c>
      <c r="C93" s="59" t="s">
        <v>270</v>
      </c>
      <c r="D93" s="59" t="s">
        <v>275</v>
      </c>
      <c r="E93" s="61">
        <v>44440</v>
      </c>
      <c r="F93" s="58">
        <v>55991</v>
      </c>
    </row>
    <row r="94" spans="2:6" x14ac:dyDescent="0.25">
      <c r="B94" s="58">
        <v>819</v>
      </c>
      <c r="C94" s="59" t="s">
        <v>270</v>
      </c>
      <c r="D94" s="59" t="s">
        <v>275</v>
      </c>
      <c r="E94" s="61">
        <v>44317</v>
      </c>
      <c r="F94" s="58">
        <v>59423</v>
      </c>
    </row>
    <row r="95" spans="2:6" x14ac:dyDescent="0.25">
      <c r="B95" s="58">
        <v>2839</v>
      </c>
      <c r="C95" s="59" t="s">
        <v>270</v>
      </c>
      <c r="D95" s="59" t="s">
        <v>275</v>
      </c>
      <c r="E95" s="61">
        <v>44501</v>
      </c>
      <c r="F95" s="58">
        <v>63494</v>
      </c>
    </row>
    <row r="96" spans="2:6" x14ac:dyDescent="0.25">
      <c r="B96" s="58">
        <v>1653</v>
      </c>
      <c r="C96" s="59" t="s">
        <v>270</v>
      </c>
      <c r="D96" s="59" t="s">
        <v>275</v>
      </c>
      <c r="E96" s="61">
        <v>44378</v>
      </c>
      <c r="F96" s="58">
        <v>64755</v>
      </c>
    </row>
    <row r="97" spans="2:6" x14ac:dyDescent="0.25">
      <c r="B97" s="58">
        <v>739</v>
      </c>
      <c r="C97" s="59" t="s">
        <v>270</v>
      </c>
      <c r="D97" s="59" t="s">
        <v>275</v>
      </c>
      <c r="E97" s="61">
        <v>44501</v>
      </c>
      <c r="F97" s="58">
        <v>86186</v>
      </c>
    </row>
    <row r="98" spans="2:6" x14ac:dyDescent="0.25">
      <c r="B98" s="58">
        <v>1525</v>
      </c>
      <c r="C98" s="59" t="s">
        <v>270</v>
      </c>
      <c r="D98" s="59" t="s">
        <v>275</v>
      </c>
      <c r="E98" s="61">
        <v>44228</v>
      </c>
      <c r="F98" s="58">
        <v>105602</v>
      </c>
    </row>
    <row r="99" spans="2:6" x14ac:dyDescent="0.25">
      <c r="B99" s="58">
        <v>805</v>
      </c>
      <c r="C99" s="59" t="s">
        <v>270</v>
      </c>
      <c r="D99" s="59" t="s">
        <v>275</v>
      </c>
      <c r="E99" s="61">
        <v>44228</v>
      </c>
      <c r="F99" s="58">
        <v>134977</v>
      </c>
    </row>
    <row r="100" spans="2:6" x14ac:dyDescent="0.25">
      <c r="B100" s="58">
        <v>1415</v>
      </c>
      <c r="C100" s="59" t="s">
        <v>270</v>
      </c>
      <c r="D100" s="59" t="s">
        <v>275</v>
      </c>
      <c r="E100" s="61">
        <v>44531</v>
      </c>
      <c r="F100" s="58">
        <v>135311</v>
      </c>
    </row>
    <row r="101" spans="2:6" x14ac:dyDescent="0.25">
      <c r="B101" s="58">
        <v>1675</v>
      </c>
      <c r="C101" s="59" t="s">
        <v>270</v>
      </c>
      <c r="D101" s="59" t="s">
        <v>275</v>
      </c>
      <c r="E101" s="61">
        <v>44287</v>
      </c>
      <c r="F101" s="58">
        <v>137705</v>
      </c>
    </row>
    <row r="102" spans="2:6" x14ac:dyDescent="0.25">
      <c r="B102" s="58">
        <v>1488</v>
      </c>
      <c r="C102" s="59" t="s">
        <v>270</v>
      </c>
      <c r="D102" s="59" t="s">
        <v>275</v>
      </c>
      <c r="E102" s="61">
        <v>44228</v>
      </c>
      <c r="F102" s="58">
        <v>155266</v>
      </c>
    </row>
    <row r="103" spans="2:6" x14ac:dyDescent="0.25">
      <c r="B103" s="58">
        <v>2925</v>
      </c>
      <c r="C103" s="59" t="s">
        <v>270</v>
      </c>
      <c r="D103" s="59" t="s">
        <v>275</v>
      </c>
      <c r="E103" s="61">
        <v>44378</v>
      </c>
      <c r="F103" s="58">
        <v>159745</v>
      </c>
    </row>
    <row r="104" spans="2:6" x14ac:dyDescent="0.25">
      <c r="B104" s="58">
        <v>1624</v>
      </c>
      <c r="C104" s="59" t="s">
        <v>270</v>
      </c>
      <c r="D104" s="59" t="s">
        <v>275</v>
      </c>
      <c r="E104" s="61">
        <v>44317</v>
      </c>
      <c r="F104" s="58">
        <v>166824</v>
      </c>
    </row>
    <row r="105" spans="2:6" x14ac:dyDescent="0.25">
      <c r="B105" s="58">
        <v>280</v>
      </c>
      <c r="C105" s="59" t="s">
        <v>270</v>
      </c>
      <c r="D105" s="59" t="s">
        <v>275</v>
      </c>
      <c r="E105" s="61">
        <v>44228</v>
      </c>
      <c r="F105" s="59">
        <v>180474</v>
      </c>
    </row>
    <row r="106" spans="2:6" x14ac:dyDescent="0.25">
      <c r="B106" s="58">
        <v>3027</v>
      </c>
      <c r="C106" s="59" t="s">
        <v>270</v>
      </c>
      <c r="D106" s="59" t="s">
        <v>275</v>
      </c>
      <c r="E106" s="61">
        <v>44348</v>
      </c>
      <c r="F106" s="58">
        <v>213069</v>
      </c>
    </row>
    <row r="107" spans="2:6" x14ac:dyDescent="0.25">
      <c r="B107" s="58">
        <v>1615</v>
      </c>
      <c r="C107" s="59" t="s">
        <v>270</v>
      </c>
      <c r="D107" s="59" t="s">
        <v>275</v>
      </c>
      <c r="E107" s="61">
        <v>44409</v>
      </c>
      <c r="F107" s="58">
        <v>217962</v>
      </c>
    </row>
    <row r="108" spans="2:6" x14ac:dyDescent="0.25">
      <c r="B108" s="58">
        <v>870</v>
      </c>
      <c r="C108" s="59" t="s">
        <v>270</v>
      </c>
      <c r="D108" s="59" t="s">
        <v>275</v>
      </c>
      <c r="E108" s="61">
        <v>44501</v>
      </c>
      <c r="F108" s="58">
        <v>222162</v>
      </c>
    </row>
    <row r="109" spans="2:6" x14ac:dyDescent="0.25">
      <c r="B109" s="58">
        <v>2136</v>
      </c>
      <c r="C109" s="59" t="s">
        <v>270</v>
      </c>
      <c r="D109" s="59" t="s">
        <v>275</v>
      </c>
      <c r="E109" s="61">
        <v>44317</v>
      </c>
      <c r="F109" s="58">
        <v>240648</v>
      </c>
    </row>
    <row r="110" spans="2:6" x14ac:dyDescent="0.25">
      <c r="B110" s="58">
        <v>2916</v>
      </c>
      <c r="C110" s="59" t="s">
        <v>270</v>
      </c>
      <c r="D110" s="59" t="s">
        <v>275</v>
      </c>
      <c r="E110" s="61">
        <v>44287</v>
      </c>
      <c r="F110" s="58">
        <v>244904</v>
      </c>
    </row>
    <row r="111" spans="2:6" x14ac:dyDescent="0.25">
      <c r="B111" s="58">
        <v>864</v>
      </c>
      <c r="C111" s="59" t="s">
        <v>270</v>
      </c>
      <c r="D111" s="59" t="s">
        <v>272</v>
      </c>
      <c r="E111" s="61">
        <v>44348</v>
      </c>
      <c r="F111" s="58">
        <v>7110</v>
      </c>
    </row>
    <row r="112" spans="2:6" x14ac:dyDescent="0.25">
      <c r="B112" s="58">
        <v>3036</v>
      </c>
      <c r="C112" s="59" t="s">
        <v>270</v>
      </c>
      <c r="D112" s="59" t="s">
        <v>272</v>
      </c>
      <c r="E112" s="61">
        <v>44348</v>
      </c>
      <c r="F112" s="58">
        <v>7190</v>
      </c>
    </row>
    <row r="113" spans="2:6" x14ac:dyDescent="0.25">
      <c r="B113" s="58">
        <v>2972</v>
      </c>
      <c r="C113" s="59" t="s">
        <v>270</v>
      </c>
      <c r="D113" s="59" t="s">
        <v>272</v>
      </c>
      <c r="E113" s="61">
        <v>44409</v>
      </c>
      <c r="F113" s="58">
        <v>7382</v>
      </c>
    </row>
    <row r="114" spans="2:6" x14ac:dyDescent="0.25">
      <c r="B114" s="58">
        <v>1446</v>
      </c>
      <c r="C114" s="59" t="s">
        <v>270</v>
      </c>
      <c r="D114" s="59" t="s">
        <v>272</v>
      </c>
      <c r="E114" s="61">
        <v>44531</v>
      </c>
      <c r="F114" s="58">
        <v>9682</v>
      </c>
    </row>
    <row r="115" spans="2:6" x14ac:dyDescent="0.25">
      <c r="B115" s="58">
        <v>2897</v>
      </c>
      <c r="C115" s="59" t="s">
        <v>270</v>
      </c>
      <c r="D115" s="59" t="s">
        <v>272</v>
      </c>
      <c r="E115" s="61">
        <v>44409</v>
      </c>
      <c r="F115" s="58">
        <v>23250</v>
      </c>
    </row>
    <row r="116" spans="2:6" x14ac:dyDescent="0.25">
      <c r="B116" s="58">
        <v>33</v>
      </c>
      <c r="C116" s="59" t="s">
        <v>270</v>
      </c>
      <c r="D116" s="59" t="s">
        <v>272</v>
      </c>
      <c r="E116" s="61">
        <v>44256</v>
      </c>
      <c r="F116" s="59">
        <v>25467</v>
      </c>
    </row>
    <row r="117" spans="2:6" x14ac:dyDescent="0.25">
      <c r="B117" s="58">
        <v>3094</v>
      </c>
      <c r="C117" s="59" t="s">
        <v>270</v>
      </c>
      <c r="D117" s="59" t="s">
        <v>272</v>
      </c>
      <c r="E117" s="61">
        <v>44197</v>
      </c>
      <c r="F117" s="58">
        <v>28289</v>
      </c>
    </row>
    <row r="118" spans="2:6" x14ac:dyDescent="0.25">
      <c r="B118" s="58">
        <v>1636</v>
      </c>
      <c r="C118" s="59" t="s">
        <v>270</v>
      </c>
      <c r="D118" s="59" t="s">
        <v>272</v>
      </c>
      <c r="E118" s="61">
        <v>44287</v>
      </c>
      <c r="F118" s="58">
        <v>35096</v>
      </c>
    </row>
    <row r="119" spans="2:6" x14ac:dyDescent="0.25">
      <c r="B119" s="58">
        <v>1572</v>
      </c>
      <c r="C119" s="59" t="s">
        <v>270</v>
      </c>
      <c r="D119" s="59" t="s">
        <v>272</v>
      </c>
      <c r="E119" s="61">
        <v>44378</v>
      </c>
      <c r="F119" s="58">
        <v>44394</v>
      </c>
    </row>
    <row r="120" spans="2:6" x14ac:dyDescent="0.25">
      <c r="B120" s="58">
        <v>706</v>
      </c>
      <c r="C120" s="59" t="s">
        <v>270</v>
      </c>
      <c r="D120" s="59" t="s">
        <v>272</v>
      </c>
      <c r="E120" s="61">
        <v>44197</v>
      </c>
      <c r="F120" s="58">
        <v>48442</v>
      </c>
    </row>
    <row r="121" spans="2:6" x14ac:dyDescent="0.25">
      <c r="B121" s="58">
        <v>2214</v>
      </c>
      <c r="C121" s="59" t="s">
        <v>270</v>
      </c>
      <c r="D121" s="59" t="s">
        <v>272</v>
      </c>
      <c r="E121" s="61">
        <v>44228</v>
      </c>
      <c r="F121" s="58">
        <v>86142</v>
      </c>
    </row>
    <row r="122" spans="2:6" x14ac:dyDescent="0.25">
      <c r="B122" s="58">
        <v>2896</v>
      </c>
      <c r="C122" s="59" t="s">
        <v>270</v>
      </c>
      <c r="D122" s="59" t="s">
        <v>272</v>
      </c>
      <c r="E122" s="61">
        <v>44378</v>
      </c>
      <c r="F122" s="58">
        <v>89802</v>
      </c>
    </row>
    <row r="123" spans="2:6" x14ac:dyDescent="0.25">
      <c r="B123" s="58">
        <v>803</v>
      </c>
      <c r="C123" s="59" t="s">
        <v>270</v>
      </c>
      <c r="D123" s="59" t="s">
        <v>272</v>
      </c>
      <c r="E123" s="61">
        <v>44378</v>
      </c>
      <c r="F123" s="58">
        <v>96209</v>
      </c>
    </row>
    <row r="124" spans="2:6" x14ac:dyDescent="0.25">
      <c r="B124" s="58">
        <v>1429</v>
      </c>
      <c r="C124" s="59" t="s">
        <v>270</v>
      </c>
      <c r="D124" s="59" t="s">
        <v>272</v>
      </c>
      <c r="E124" s="61">
        <v>44348</v>
      </c>
      <c r="F124" s="58">
        <v>115261</v>
      </c>
    </row>
    <row r="125" spans="2:6" x14ac:dyDescent="0.25">
      <c r="B125" s="58">
        <v>3085</v>
      </c>
      <c r="C125" s="59" t="s">
        <v>270</v>
      </c>
      <c r="D125" s="59" t="s">
        <v>272</v>
      </c>
      <c r="E125" s="61">
        <v>44228</v>
      </c>
      <c r="F125" s="58">
        <v>134107</v>
      </c>
    </row>
    <row r="126" spans="2:6" x14ac:dyDescent="0.25">
      <c r="B126" s="58">
        <v>46</v>
      </c>
      <c r="C126" s="59" t="s">
        <v>270</v>
      </c>
      <c r="D126" s="59" t="s">
        <v>272</v>
      </c>
      <c r="E126" s="61">
        <v>44440</v>
      </c>
      <c r="F126" s="59">
        <v>135801</v>
      </c>
    </row>
    <row r="127" spans="2:6" x14ac:dyDescent="0.25">
      <c r="B127" s="58">
        <v>796</v>
      </c>
      <c r="C127" s="59" t="s">
        <v>270</v>
      </c>
      <c r="D127" s="59" t="s">
        <v>272</v>
      </c>
      <c r="E127" s="61">
        <v>44348</v>
      </c>
      <c r="F127" s="58">
        <v>137843</v>
      </c>
    </row>
    <row r="128" spans="2:6" x14ac:dyDescent="0.25">
      <c r="B128" s="58">
        <v>1537</v>
      </c>
      <c r="C128" s="59" t="s">
        <v>270</v>
      </c>
      <c r="D128" s="59" t="s">
        <v>272</v>
      </c>
      <c r="E128" s="61">
        <v>44197</v>
      </c>
      <c r="F128" s="58">
        <v>142596</v>
      </c>
    </row>
    <row r="129" spans="2:6" x14ac:dyDescent="0.25">
      <c r="B129" s="58">
        <v>733</v>
      </c>
      <c r="C129" s="59" t="s">
        <v>270</v>
      </c>
      <c r="D129" s="59" t="s">
        <v>272</v>
      </c>
      <c r="E129" s="61">
        <v>44501</v>
      </c>
      <c r="F129" s="58">
        <v>146394</v>
      </c>
    </row>
    <row r="130" spans="2:6" x14ac:dyDescent="0.25">
      <c r="B130" s="58">
        <v>2811</v>
      </c>
      <c r="C130" s="59" t="s">
        <v>270</v>
      </c>
      <c r="D130" s="59" t="s">
        <v>272</v>
      </c>
      <c r="E130" s="61">
        <v>44197</v>
      </c>
      <c r="F130" s="58">
        <v>151301</v>
      </c>
    </row>
    <row r="131" spans="2:6" x14ac:dyDescent="0.25">
      <c r="B131" s="58">
        <v>27</v>
      </c>
      <c r="C131" s="59" t="s">
        <v>270</v>
      </c>
      <c r="D131" s="59" t="s">
        <v>272</v>
      </c>
      <c r="E131" s="61">
        <v>44470</v>
      </c>
      <c r="F131" s="59">
        <v>165656</v>
      </c>
    </row>
    <row r="132" spans="2:6" x14ac:dyDescent="0.25">
      <c r="B132" s="58">
        <v>1540</v>
      </c>
      <c r="C132" s="59" t="s">
        <v>270</v>
      </c>
      <c r="D132" s="59" t="s">
        <v>272</v>
      </c>
      <c r="E132" s="61">
        <v>44348</v>
      </c>
      <c r="F132" s="58">
        <v>165992</v>
      </c>
    </row>
    <row r="133" spans="2:6" x14ac:dyDescent="0.25">
      <c r="B133" s="58">
        <v>1686</v>
      </c>
      <c r="C133" s="59" t="s">
        <v>270</v>
      </c>
      <c r="D133" s="59" t="s">
        <v>272</v>
      </c>
      <c r="E133" s="61">
        <v>44378</v>
      </c>
      <c r="F133" s="58">
        <v>173616</v>
      </c>
    </row>
    <row r="134" spans="2:6" x14ac:dyDescent="0.25">
      <c r="B134" s="58">
        <v>128</v>
      </c>
      <c r="C134" s="59" t="s">
        <v>270</v>
      </c>
      <c r="D134" s="59" t="s">
        <v>272</v>
      </c>
      <c r="E134" s="61">
        <v>44531</v>
      </c>
      <c r="F134" s="59">
        <v>201069</v>
      </c>
    </row>
    <row r="135" spans="2:6" x14ac:dyDescent="0.25">
      <c r="B135" s="58">
        <v>2207</v>
      </c>
      <c r="C135" s="59" t="s">
        <v>270</v>
      </c>
      <c r="D135" s="59" t="s">
        <v>272</v>
      </c>
      <c r="E135" s="61">
        <v>44228</v>
      </c>
      <c r="F135" s="58">
        <v>210276</v>
      </c>
    </row>
    <row r="136" spans="2:6" x14ac:dyDescent="0.25">
      <c r="B136" s="58">
        <v>979</v>
      </c>
      <c r="C136" s="59" t="s">
        <v>270</v>
      </c>
      <c r="D136" s="59" t="s">
        <v>272</v>
      </c>
      <c r="E136" s="61">
        <v>44348</v>
      </c>
      <c r="F136" s="58">
        <v>234786</v>
      </c>
    </row>
    <row r="137" spans="2:6" x14ac:dyDescent="0.25">
      <c r="B137" s="58">
        <v>2259</v>
      </c>
      <c r="C137" s="59" t="s">
        <v>270</v>
      </c>
      <c r="D137" s="59" t="s">
        <v>273</v>
      </c>
      <c r="E137" s="61">
        <v>44531</v>
      </c>
      <c r="F137" s="58">
        <v>-21877</v>
      </c>
    </row>
    <row r="138" spans="2:6" x14ac:dyDescent="0.25">
      <c r="B138" s="58">
        <v>926</v>
      </c>
      <c r="C138" s="59" t="s">
        <v>270</v>
      </c>
      <c r="D138" s="59" t="s">
        <v>273</v>
      </c>
      <c r="E138" s="61">
        <v>44348</v>
      </c>
      <c r="F138" s="58">
        <v>6105</v>
      </c>
    </row>
    <row r="139" spans="2:6" x14ac:dyDescent="0.25">
      <c r="B139" s="58">
        <v>1667</v>
      </c>
      <c r="C139" s="59" t="s">
        <v>270</v>
      </c>
      <c r="D139" s="59" t="s">
        <v>273</v>
      </c>
      <c r="E139" s="61">
        <v>44317</v>
      </c>
      <c r="F139" s="58">
        <v>8950</v>
      </c>
    </row>
    <row r="140" spans="2:6" x14ac:dyDescent="0.25">
      <c r="B140" s="58">
        <v>38</v>
      </c>
      <c r="C140" s="59" t="s">
        <v>270</v>
      </c>
      <c r="D140" s="59" t="s">
        <v>273</v>
      </c>
      <c r="E140" s="61">
        <v>44256</v>
      </c>
      <c r="F140" s="59">
        <v>16452</v>
      </c>
    </row>
    <row r="141" spans="2:6" x14ac:dyDescent="0.25">
      <c r="B141" s="58">
        <v>1489</v>
      </c>
      <c r="C141" s="59" t="s">
        <v>270</v>
      </c>
      <c r="D141" s="59" t="s">
        <v>273</v>
      </c>
      <c r="E141" s="61">
        <v>44317</v>
      </c>
      <c r="F141" s="58">
        <v>24879</v>
      </c>
    </row>
    <row r="142" spans="2:6" x14ac:dyDescent="0.25">
      <c r="B142" s="58">
        <v>1583</v>
      </c>
      <c r="C142" s="59" t="s">
        <v>270</v>
      </c>
      <c r="D142" s="59" t="s">
        <v>273</v>
      </c>
      <c r="E142" s="61">
        <v>44228</v>
      </c>
      <c r="F142" s="58">
        <v>56810</v>
      </c>
    </row>
    <row r="143" spans="2:6" x14ac:dyDescent="0.25">
      <c r="B143" s="58">
        <v>115</v>
      </c>
      <c r="C143" s="59" t="s">
        <v>270</v>
      </c>
      <c r="D143" s="59" t="s">
        <v>273</v>
      </c>
      <c r="E143" s="61">
        <v>44317</v>
      </c>
      <c r="F143" s="59">
        <v>72086</v>
      </c>
    </row>
    <row r="144" spans="2:6" x14ac:dyDescent="0.25">
      <c r="B144" s="58">
        <v>2816</v>
      </c>
      <c r="C144" s="59" t="s">
        <v>270</v>
      </c>
      <c r="D144" s="59" t="s">
        <v>273</v>
      </c>
      <c r="E144" s="61">
        <v>44501</v>
      </c>
      <c r="F144" s="58">
        <v>74813</v>
      </c>
    </row>
    <row r="145" spans="2:6" x14ac:dyDescent="0.25">
      <c r="B145" s="58">
        <v>1471</v>
      </c>
      <c r="C145" s="59" t="s">
        <v>270</v>
      </c>
      <c r="D145" s="59" t="s">
        <v>273</v>
      </c>
      <c r="E145" s="61">
        <v>44531</v>
      </c>
      <c r="F145" s="58">
        <v>81048</v>
      </c>
    </row>
    <row r="146" spans="2:6" x14ac:dyDescent="0.25">
      <c r="B146" s="58">
        <v>2245</v>
      </c>
      <c r="C146" s="59" t="s">
        <v>270</v>
      </c>
      <c r="D146" s="59" t="s">
        <v>273</v>
      </c>
      <c r="E146" s="61">
        <v>44378</v>
      </c>
      <c r="F146" s="58">
        <v>86843</v>
      </c>
    </row>
    <row r="147" spans="2:6" x14ac:dyDescent="0.25">
      <c r="B147" s="58">
        <v>2301</v>
      </c>
      <c r="C147" s="59" t="s">
        <v>270</v>
      </c>
      <c r="D147" s="59" t="s">
        <v>273</v>
      </c>
      <c r="E147" s="61">
        <v>44197</v>
      </c>
      <c r="F147" s="58">
        <v>95623</v>
      </c>
    </row>
    <row r="148" spans="2:6" x14ac:dyDescent="0.25">
      <c r="B148" s="58">
        <v>3088</v>
      </c>
      <c r="C148" s="59" t="s">
        <v>270</v>
      </c>
      <c r="D148" s="59" t="s">
        <v>273</v>
      </c>
      <c r="E148" s="61">
        <v>44470</v>
      </c>
      <c r="F148" s="58">
        <v>104379</v>
      </c>
    </row>
    <row r="149" spans="2:6" x14ac:dyDescent="0.25">
      <c r="B149" s="58">
        <v>1691</v>
      </c>
      <c r="C149" s="59" t="s">
        <v>270</v>
      </c>
      <c r="D149" s="59" t="s">
        <v>273</v>
      </c>
      <c r="E149" s="61">
        <v>44531</v>
      </c>
      <c r="F149" s="58">
        <v>151084</v>
      </c>
    </row>
    <row r="150" spans="2:6" x14ac:dyDescent="0.25">
      <c r="B150" s="58">
        <v>165</v>
      </c>
      <c r="C150" s="59" t="s">
        <v>270</v>
      </c>
      <c r="D150" s="59" t="s">
        <v>273</v>
      </c>
      <c r="E150" s="61">
        <v>44348</v>
      </c>
      <c r="F150" s="59">
        <v>155904</v>
      </c>
    </row>
    <row r="151" spans="2:6" x14ac:dyDescent="0.25">
      <c r="B151" s="58">
        <v>738</v>
      </c>
      <c r="C151" s="59" t="s">
        <v>270</v>
      </c>
      <c r="D151" s="59" t="s">
        <v>273</v>
      </c>
      <c r="E151" s="61">
        <v>44531</v>
      </c>
      <c r="F151" s="58">
        <v>158679</v>
      </c>
    </row>
    <row r="152" spans="2:6" x14ac:dyDescent="0.25">
      <c r="B152" s="58">
        <v>2821</v>
      </c>
      <c r="C152" s="59" t="s">
        <v>270</v>
      </c>
      <c r="D152" s="59" t="s">
        <v>273</v>
      </c>
      <c r="E152" s="61">
        <v>44197</v>
      </c>
      <c r="F152" s="58">
        <v>161532</v>
      </c>
    </row>
    <row r="153" spans="2:6" x14ac:dyDescent="0.25">
      <c r="B153" s="58">
        <v>1688</v>
      </c>
      <c r="C153" s="59" t="s">
        <v>270</v>
      </c>
      <c r="D153" s="59" t="s">
        <v>273</v>
      </c>
      <c r="E153" s="61">
        <v>44228</v>
      </c>
      <c r="F153" s="58">
        <v>168122</v>
      </c>
    </row>
    <row r="154" spans="2:6" x14ac:dyDescent="0.25">
      <c r="B154" s="58">
        <v>184</v>
      </c>
      <c r="C154" s="59" t="s">
        <v>270</v>
      </c>
      <c r="D154" s="59" t="s">
        <v>273</v>
      </c>
      <c r="E154" s="61">
        <v>44531</v>
      </c>
      <c r="F154" s="59">
        <v>169991</v>
      </c>
    </row>
    <row r="155" spans="2:6" x14ac:dyDescent="0.25">
      <c r="B155" s="58">
        <v>3051</v>
      </c>
      <c r="C155" s="59" t="s">
        <v>270</v>
      </c>
      <c r="D155" s="59" t="s">
        <v>273</v>
      </c>
      <c r="E155" s="61">
        <v>44440</v>
      </c>
      <c r="F155" s="58">
        <v>200584</v>
      </c>
    </row>
    <row r="156" spans="2:6" x14ac:dyDescent="0.25">
      <c r="B156" s="58">
        <v>1668</v>
      </c>
      <c r="C156" s="59" t="s">
        <v>270</v>
      </c>
      <c r="D156" s="59" t="s">
        <v>273</v>
      </c>
      <c r="E156" s="61">
        <v>44197</v>
      </c>
      <c r="F156" s="58">
        <v>210209</v>
      </c>
    </row>
    <row r="157" spans="2:6" x14ac:dyDescent="0.25">
      <c r="B157" s="58">
        <v>72</v>
      </c>
      <c r="C157" s="59" t="s">
        <v>270</v>
      </c>
      <c r="D157" s="59" t="s">
        <v>273</v>
      </c>
      <c r="E157" s="61">
        <v>44348</v>
      </c>
      <c r="F157" s="59">
        <v>247286</v>
      </c>
    </row>
    <row r="158" spans="2:6" x14ac:dyDescent="0.25">
      <c r="B158" s="58">
        <v>174</v>
      </c>
      <c r="C158" s="59" t="s">
        <v>270</v>
      </c>
      <c r="D158" s="59" t="s">
        <v>271</v>
      </c>
      <c r="E158" s="61">
        <v>44470</v>
      </c>
      <c r="F158" s="59">
        <v>-37886</v>
      </c>
    </row>
    <row r="159" spans="2:6" x14ac:dyDescent="0.25">
      <c r="B159" s="58">
        <v>874</v>
      </c>
      <c r="C159" s="59" t="s">
        <v>270</v>
      </c>
      <c r="D159" s="59" t="s">
        <v>271</v>
      </c>
      <c r="E159" s="61">
        <v>44470</v>
      </c>
      <c r="F159" s="58">
        <v>5652</v>
      </c>
    </row>
    <row r="160" spans="2:6" x14ac:dyDescent="0.25">
      <c r="B160" s="58">
        <v>2847</v>
      </c>
      <c r="C160" s="59" t="s">
        <v>270</v>
      </c>
      <c r="D160" s="59" t="s">
        <v>271</v>
      </c>
      <c r="E160" s="61">
        <v>44501</v>
      </c>
      <c r="F160" s="58">
        <v>8463</v>
      </c>
    </row>
    <row r="161" spans="2:6" x14ac:dyDescent="0.25">
      <c r="B161" s="58">
        <v>2852</v>
      </c>
      <c r="C161" s="59" t="s">
        <v>270</v>
      </c>
      <c r="D161" s="59" t="s">
        <v>271</v>
      </c>
      <c r="E161" s="61">
        <v>44531</v>
      </c>
      <c r="F161" s="58">
        <v>9630</v>
      </c>
    </row>
    <row r="162" spans="2:6" x14ac:dyDescent="0.25">
      <c r="B162" s="58">
        <v>842</v>
      </c>
      <c r="C162" s="59" t="s">
        <v>270</v>
      </c>
      <c r="D162" s="59" t="s">
        <v>271</v>
      </c>
      <c r="E162" s="61">
        <v>44409</v>
      </c>
      <c r="F162" s="58">
        <v>19225</v>
      </c>
    </row>
    <row r="163" spans="2:6" x14ac:dyDescent="0.25">
      <c r="B163" s="58">
        <v>1567</v>
      </c>
      <c r="C163" s="59" t="s">
        <v>270</v>
      </c>
      <c r="D163" s="59" t="s">
        <v>271</v>
      </c>
      <c r="E163" s="61">
        <v>44228</v>
      </c>
      <c r="F163" s="58">
        <v>22003</v>
      </c>
    </row>
    <row r="164" spans="2:6" x14ac:dyDescent="0.25">
      <c r="B164" s="58">
        <v>3093</v>
      </c>
      <c r="C164" s="59" t="s">
        <v>270</v>
      </c>
      <c r="D164" s="59" t="s">
        <v>271</v>
      </c>
      <c r="E164" s="61">
        <v>44470</v>
      </c>
      <c r="F164" s="58">
        <v>22810</v>
      </c>
    </row>
    <row r="165" spans="2:6" x14ac:dyDescent="0.25">
      <c r="B165" s="58">
        <v>930</v>
      </c>
      <c r="C165" s="59" t="s">
        <v>270</v>
      </c>
      <c r="D165" s="59" t="s">
        <v>271</v>
      </c>
      <c r="E165" s="61">
        <v>44256</v>
      </c>
      <c r="F165" s="58">
        <v>34334</v>
      </c>
    </row>
    <row r="166" spans="2:6" x14ac:dyDescent="0.25">
      <c r="B166" s="58">
        <v>221</v>
      </c>
      <c r="C166" s="59" t="s">
        <v>270</v>
      </c>
      <c r="D166" s="59" t="s">
        <v>271</v>
      </c>
      <c r="E166" s="61">
        <v>44501</v>
      </c>
      <c r="F166" s="59">
        <v>39668</v>
      </c>
    </row>
    <row r="167" spans="2:6" x14ac:dyDescent="0.25">
      <c r="B167" s="58">
        <v>3099</v>
      </c>
      <c r="C167" s="59" t="s">
        <v>270</v>
      </c>
      <c r="D167" s="59" t="s">
        <v>271</v>
      </c>
      <c r="E167" s="61">
        <v>44348</v>
      </c>
      <c r="F167" s="58">
        <v>65162</v>
      </c>
    </row>
    <row r="168" spans="2:6" x14ac:dyDescent="0.25">
      <c r="B168" s="58">
        <v>2176</v>
      </c>
      <c r="C168" s="59" t="s">
        <v>270</v>
      </c>
      <c r="D168" s="59" t="s">
        <v>271</v>
      </c>
      <c r="E168" s="61">
        <v>44287</v>
      </c>
      <c r="F168" s="58">
        <v>73163</v>
      </c>
    </row>
    <row r="169" spans="2:6" x14ac:dyDescent="0.25">
      <c r="B169" s="58">
        <v>977</v>
      </c>
      <c r="C169" s="59" t="s">
        <v>270</v>
      </c>
      <c r="D169" s="59" t="s">
        <v>271</v>
      </c>
      <c r="E169" s="61">
        <v>44317</v>
      </c>
      <c r="F169" s="58">
        <v>82968</v>
      </c>
    </row>
    <row r="170" spans="2:6" x14ac:dyDescent="0.25">
      <c r="B170" s="58">
        <v>1553</v>
      </c>
      <c r="C170" s="59" t="s">
        <v>270</v>
      </c>
      <c r="D170" s="59" t="s">
        <v>271</v>
      </c>
      <c r="E170" s="61">
        <v>44470</v>
      </c>
      <c r="F170" s="58">
        <v>86460</v>
      </c>
    </row>
    <row r="171" spans="2:6" x14ac:dyDescent="0.25">
      <c r="B171" s="58">
        <v>8</v>
      </c>
      <c r="C171" s="59" t="s">
        <v>270</v>
      </c>
      <c r="D171" s="59" t="s">
        <v>271</v>
      </c>
      <c r="E171" s="61">
        <v>44348</v>
      </c>
      <c r="F171" s="59">
        <v>108879</v>
      </c>
    </row>
    <row r="172" spans="2:6" x14ac:dyDescent="0.25">
      <c r="B172" s="58">
        <v>780</v>
      </c>
      <c r="C172" s="59" t="s">
        <v>270</v>
      </c>
      <c r="D172" s="59" t="s">
        <v>271</v>
      </c>
      <c r="E172" s="61">
        <v>44409</v>
      </c>
      <c r="F172" s="58">
        <v>131983</v>
      </c>
    </row>
    <row r="173" spans="2:6" x14ac:dyDescent="0.25">
      <c r="B173" s="58">
        <v>2369</v>
      </c>
      <c r="C173" s="59" t="s">
        <v>270</v>
      </c>
      <c r="D173" s="59" t="s">
        <v>271</v>
      </c>
      <c r="E173" s="61">
        <v>44378</v>
      </c>
      <c r="F173" s="58">
        <v>138473</v>
      </c>
    </row>
    <row r="174" spans="2:6" x14ac:dyDescent="0.25">
      <c r="B174" s="58">
        <v>858</v>
      </c>
      <c r="C174" s="59" t="s">
        <v>270</v>
      </c>
      <c r="D174" s="59" t="s">
        <v>271</v>
      </c>
      <c r="E174" s="61">
        <v>44256</v>
      </c>
      <c r="F174" s="58">
        <v>150851</v>
      </c>
    </row>
    <row r="175" spans="2:6" x14ac:dyDescent="0.25">
      <c r="B175" s="58">
        <v>1590</v>
      </c>
      <c r="C175" s="59" t="s">
        <v>270</v>
      </c>
      <c r="D175" s="59" t="s">
        <v>271</v>
      </c>
      <c r="E175" s="61">
        <v>44470</v>
      </c>
      <c r="F175" s="58">
        <v>169915</v>
      </c>
    </row>
    <row r="176" spans="2:6" x14ac:dyDescent="0.25">
      <c r="B176" s="58">
        <v>777</v>
      </c>
      <c r="C176" s="59" t="s">
        <v>270</v>
      </c>
      <c r="D176" s="59" t="s">
        <v>271</v>
      </c>
      <c r="E176" s="61">
        <v>44348</v>
      </c>
      <c r="F176" s="58">
        <v>190517</v>
      </c>
    </row>
    <row r="177" spans="2:6" x14ac:dyDescent="0.25">
      <c r="B177" s="58">
        <v>1674</v>
      </c>
      <c r="C177" s="59" t="s">
        <v>270</v>
      </c>
      <c r="D177" s="59" t="s">
        <v>271</v>
      </c>
      <c r="E177" s="61">
        <v>44409</v>
      </c>
      <c r="F177" s="58">
        <v>191733</v>
      </c>
    </row>
    <row r="178" spans="2:6" x14ac:dyDescent="0.25">
      <c r="B178" s="58">
        <v>2958</v>
      </c>
      <c r="C178" s="59" t="s">
        <v>270</v>
      </c>
      <c r="D178" s="59" t="s">
        <v>271</v>
      </c>
      <c r="E178" s="61">
        <v>44228</v>
      </c>
      <c r="F178" s="58">
        <v>194150</v>
      </c>
    </row>
    <row r="179" spans="2:6" x14ac:dyDescent="0.25">
      <c r="B179" s="58">
        <v>2239</v>
      </c>
      <c r="C179" s="59" t="s">
        <v>270</v>
      </c>
      <c r="D179" s="59" t="s">
        <v>271</v>
      </c>
      <c r="E179" s="61">
        <v>44287</v>
      </c>
      <c r="F179" s="58">
        <v>203878</v>
      </c>
    </row>
    <row r="180" spans="2:6" x14ac:dyDescent="0.25">
      <c r="B180" s="58">
        <v>1413</v>
      </c>
      <c r="C180" s="59" t="s">
        <v>270</v>
      </c>
      <c r="D180" s="59" t="s">
        <v>271</v>
      </c>
      <c r="E180" s="61">
        <v>44440</v>
      </c>
      <c r="F180" s="58">
        <v>209590</v>
      </c>
    </row>
    <row r="181" spans="2:6" x14ac:dyDescent="0.25">
      <c r="B181" s="58">
        <v>1574</v>
      </c>
      <c r="C181" s="59" t="s">
        <v>270</v>
      </c>
      <c r="D181" s="59" t="s">
        <v>271</v>
      </c>
      <c r="E181" s="61">
        <v>44440</v>
      </c>
      <c r="F181" s="58">
        <v>217075</v>
      </c>
    </row>
    <row r="182" spans="2:6" x14ac:dyDescent="0.25">
      <c r="B182" s="58">
        <v>1434</v>
      </c>
      <c r="C182" s="59" t="s">
        <v>270</v>
      </c>
      <c r="D182" s="59" t="s">
        <v>271</v>
      </c>
      <c r="E182" s="61">
        <v>44287</v>
      </c>
      <c r="F182" s="58">
        <v>220171</v>
      </c>
    </row>
    <row r="183" spans="2:6" x14ac:dyDescent="0.25">
      <c r="B183" s="58">
        <v>893</v>
      </c>
      <c r="C183" s="59" t="s">
        <v>270</v>
      </c>
      <c r="D183" s="59" t="s">
        <v>271</v>
      </c>
      <c r="E183" s="61">
        <v>44228</v>
      </c>
      <c r="F183" s="58">
        <v>230726</v>
      </c>
    </row>
    <row r="184" spans="2:6" x14ac:dyDescent="0.25">
      <c r="B184" s="58">
        <v>3059</v>
      </c>
      <c r="C184" s="59" t="s">
        <v>270</v>
      </c>
      <c r="D184" s="59" t="s">
        <v>271</v>
      </c>
      <c r="E184" s="61">
        <v>44378</v>
      </c>
      <c r="F184" s="58">
        <v>235104</v>
      </c>
    </row>
    <row r="185" spans="2:6" x14ac:dyDescent="0.25">
      <c r="B185" s="58">
        <v>867</v>
      </c>
      <c r="C185" s="59" t="s">
        <v>270</v>
      </c>
      <c r="D185" s="59" t="s">
        <v>271</v>
      </c>
      <c r="E185" s="61">
        <v>44348</v>
      </c>
      <c r="F185" s="58">
        <v>259896</v>
      </c>
    </row>
    <row r="186" spans="2:6" x14ac:dyDescent="0.25">
      <c r="B186" s="58">
        <v>113</v>
      </c>
      <c r="C186" s="59" t="s">
        <v>270</v>
      </c>
      <c r="D186" s="59" t="s">
        <v>274</v>
      </c>
      <c r="E186" s="61">
        <v>44378</v>
      </c>
      <c r="F186" s="59">
        <v>-34980</v>
      </c>
    </row>
    <row r="187" spans="2:6" x14ac:dyDescent="0.25">
      <c r="B187" s="58">
        <v>762</v>
      </c>
      <c r="C187" s="59" t="s">
        <v>270</v>
      </c>
      <c r="D187" s="59" t="s">
        <v>274</v>
      </c>
      <c r="E187" s="61">
        <v>44348</v>
      </c>
      <c r="F187" s="58">
        <v>-15140</v>
      </c>
    </row>
    <row r="188" spans="2:6" x14ac:dyDescent="0.25">
      <c r="B188" s="58">
        <v>282</v>
      </c>
      <c r="C188" s="59" t="s">
        <v>270</v>
      </c>
      <c r="D188" s="59" t="s">
        <v>274</v>
      </c>
      <c r="E188" s="61">
        <v>44197</v>
      </c>
      <c r="F188" s="59">
        <v>-7921</v>
      </c>
    </row>
    <row r="189" spans="2:6" x14ac:dyDescent="0.25">
      <c r="B189" s="58">
        <v>748</v>
      </c>
      <c r="C189" s="59" t="s">
        <v>270</v>
      </c>
      <c r="D189" s="59" t="s">
        <v>274</v>
      </c>
      <c r="E189" s="61">
        <v>44378</v>
      </c>
      <c r="F189" s="58">
        <v>5850</v>
      </c>
    </row>
    <row r="190" spans="2:6" x14ac:dyDescent="0.25">
      <c r="B190" s="58">
        <v>2933</v>
      </c>
      <c r="C190" s="59" t="s">
        <v>270</v>
      </c>
      <c r="D190" s="59" t="s">
        <v>274</v>
      </c>
      <c r="E190" s="61">
        <v>44197</v>
      </c>
      <c r="F190" s="58">
        <v>6256</v>
      </c>
    </row>
    <row r="191" spans="2:6" x14ac:dyDescent="0.25">
      <c r="B191" s="58">
        <v>2390</v>
      </c>
      <c r="C191" s="59" t="s">
        <v>270</v>
      </c>
      <c r="D191" s="59" t="s">
        <v>274</v>
      </c>
      <c r="E191" s="61">
        <v>44409</v>
      </c>
      <c r="F191" s="58">
        <v>10877</v>
      </c>
    </row>
    <row r="192" spans="2:6" x14ac:dyDescent="0.25">
      <c r="B192" s="58">
        <v>2187</v>
      </c>
      <c r="C192" s="59" t="s">
        <v>270</v>
      </c>
      <c r="D192" s="59" t="s">
        <v>274</v>
      </c>
      <c r="E192" s="61">
        <v>44440</v>
      </c>
      <c r="F192" s="58">
        <v>13179</v>
      </c>
    </row>
    <row r="193" spans="2:6" x14ac:dyDescent="0.25">
      <c r="B193" s="58">
        <v>2913</v>
      </c>
      <c r="C193" s="59" t="s">
        <v>270</v>
      </c>
      <c r="D193" s="59" t="s">
        <v>274</v>
      </c>
      <c r="E193" s="61">
        <v>44197</v>
      </c>
      <c r="F193" s="58">
        <v>25860</v>
      </c>
    </row>
    <row r="194" spans="2:6" x14ac:dyDescent="0.25">
      <c r="B194" s="58">
        <v>3013</v>
      </c>
      <c r="C194" s="59" t="s">
        <v>270</v>
      </c>
      <c r="D194" s="59" t="s">
        <v>274</v>
      </c>
      <c r="E194" s="61">
        <v>44317</v>
      </c>
      <c r="F194" s="58">
        <v>26172</v>
      </c>
    </row>
    <row r="195" spans="2:6" x14ac:dyDescent="0.25">
      <c r="B195" s="58">
        <v>1531</v>
      </c>
      <c r="C195" s="59" t="s">
        <v>270</v>
      </c>
      <c r="D195" s="59" t="s">
        <v>274</v>
      </c>
      <c r="E195" s="61">
        <v>44440</v>
      </c>
      <c r="F195" s="58">
        <v>27327</v>
      </c>
    </row>
    <row r="196" spans="2:6" x14ac:dyDescent="0.25">
      <c r="B196" s="58">
        <v>2910</v>
      </c>
      <c r="C196" s="59" t="s">
        <v>270</v>
      </c>
      <c r="D196" s="59" t="s">
        <v>274</v>
      </c>
      <c r="E196" s="61">
        <v>44378</v>
      </c>
      <c r="F196" s="58">
        <v>52513</v>
      </c>
    </row>
    <row r="197" spans="2:6" x14ac:dyDescent="0.25">
      <c r="B197" s="58">
        <v>2184</v>
      </c>
      <c r="C197" s="59" t="s">
        <v>270</v>
      </c>
      <c r="D197" s="59" t="s">
        <v>274</v>
      </c>
      <c r="E197" s="61">
        <v>44409</v>
      </c>
      <c r="F197" s="58">
        <v>67090</v>
      </c>
    </row>
    <row r="198" spans="2:6" x14ac:dyDescent="0.25">
      <c r="B198" s="58">
        <v>131</v>
      </c>
      <c r="C198" s="59" t="s">
        <v>270</v>
      </c>
      <c r="D198" s="59" t="s">
        <v>274</v>
      </c>
      <c r="E198" s="61">
        <v>44531</v>
      </c>
      <c r="F198" s="59">
        <v>74221</v>
      </c>
    </row>
    <row r="199" spans="2:6" x14ac:dyDescent="0.25">
      <c r="B199" s="58">
        <v>2376</v>
      </c>
      <c r="C199" s="59" t="s">
        <v>270</v>
      </c>
      <c r="D199" s="59" t="s">
        <v>274</v>
      </c>
      <c r="E199" s="61">
        <v>44287</v>
      </c>
      <c r="F199" s="58">
        <v>81846</v>
      </c>
    </row>
    <row r="200" spans="2:6" x14ac:dyDescent="0.25">
      <c r="B200" s="58">
        <v>127</v>
      </c>
      <c r="C200" s="59" t="s">
        <v>270</v>
      </c>
      <c r="D200" s="59" t="s">
        <v>274</v>
      </c>
      <c r="E200" s="61">
        <v>44470</v>
      </c>
      <c r="F200" s="59">
        <v>84660</v>
      </c>
    </row>
    <row r="201" spans="2:6" x14ac:dyDescent="0.25">
      <c r="B201" s="58">
        <v>2333</v>
      </c>
      <c r="C201" s="59" t="s">
        <v>270</v>
      </c>
      <c r="D201" s="59" t="s">
        <v>274</v>
      </c>
      <c r="E201" s="61">
        <v>44378</v>
      </c>
      <c r="F201" s="58">
        <v>103592</v>
      </c>
    </row>
    <row r="202" spans="2:6" x14ac:dyDescent="0.25">
      <c r="B202" s="58">
        <v>111</v>
      </c>
      <c r="C202" s="59" t="s">
        <v>270</v>
      </c>
      <c r="D202" s="59" t="s">
        <v>274</v>
      </c>
      <c r="E202" s="61">
        <v>44197</v>
      </c>
      <c r="F202" s="59">
        <v>123287</v>
      </c>
    </row>
    <row r="203" spans="2:6" x14ac:dyDescent="0.25">
      <c r="B203" s="58">
        <v>1547</v>
      </c>
      <c r="C203" s="59" t="s">
        <v>270</v>
      </c>
      <c r="D203" s="59" t="s">
        <v>274</v>
      </c>
      <c r="E203" s="61">
        <v>44531</v>
      </c>
      <c r="F203" s="58">
        <v>129328</v>
      </c>
    </row>
    <row r="204" spans="2:6" x14ac:dyDescent="0.25">
      <c r="B204" s="58">
        <v>2862</v>
      </c>
      <c r="C204" s="59" t="s">
        <v>270</v>
      </c>
      <c r="D204" s="59" t="s">
        <v>274</v>
      </c>
      <c r="E204" s="61">
        <v>44470</v>
      </c>
      <c r="F204" s="58">
        <v>139432</v>
      </c>
    </row>
    <row r="205" spans="2:6" x14ac:dyDescent="0.25">
      <c r="B205" s="58">
        <v>894</v>
      </c>
      <c r="C205" s="59" t="s">
        <v>270</v>
      </c>
      <c r="D205" s="59" t="s">
        <v>274</v>
      </c>
      <c r="E205" s="61">
        <v>44470</v>
      </c>
      <c r="F205" s="58">
        <v>154630</v>
      </c>
    </row>
    <row r="206" spans="2:6" x14ac:dyDescent="0.25">
      <c r="B206" s="58">
        <v>2899</v>
      </c>
      <c r="C206" s="59" t="s">
        <v>270</v>
      </c>
      <c r="D206" s="59" t="s">
        <v>274</v>
      </c>
      <c r="E206" s="61">
        <v>44501</v>
      </c>
      <c r="F206" s="58">
        <v>156072</v>
      </c>
    </row>
    <row r="207" spans="2:6" x14ac:dyDescent="0.25">
      <c r="B207" s="58">
        <v>911</v>
      </c>
      <c r="C207" s="59" t="s">
        <v>270</v>
      </c>
      <c r="D207" s="59" t="s">
        <v>274</v>
      </c>
      <c r="E207" s="61">
        <v>44348</v>
      </c>
      <c r="F207" s="58">
        <v>161165</v>
      </c>
    </row>
    <row r="208" spans="2:6" x14ac:dyDescent="0.25">
      <c r="B208" s="58">
        <v>891</v>
      </c>
      <c r="C208" s="59" t="s">
        <v>270</v>
      </c>
      <c r="D208" s="59" t="s">
        <v>274</v>
      </c>
      <c r="E208" s="61">
        <v>44228</v>
      </c>
      <c r="F208" s="58">
        <v>173392</v>
      </c>
    </row>
    <row r="209" spans="2:6" x14ac:dyDescent="0.25">
      <c r="B209" s="58">
        <v>728</v>
      </c>
      <c r="C209" s="59" t="s">
        <v>270</v>
      </c>
      <c r="D209" s="59" t="s">
        <v>274</v>
      </c>
      <c r="E209" s="61">
        <v>44287</v>
      </c>
      <c r="F209" s="58">
        <v>175220</v>
      </c>
    </row>
    <row r="210" spans="2:6" x14ac:dyDescent="0.25">
      <c r="B210" s="58">
        <v>84</v>
      </c>
      <c r="C210" s="59" t="s">
        <v>270</v>
      </c>
      <c r="D210" s="59" t="s">
        <v>274</v>
      </c>
      <c r="E210" s="61">
        <v>44287</v>
      </c>
      <c r="F210" s="59">
        <v>191293</v>
      </c>
    </row>
    <row r="211" spans="2:6" x14ac:dyDescent="0.25">
      <c r="B211" s="58">
        <v>963</v>
      </c>
      <c r="C211" s="59" t="s">
        <v>270</v>
      </c>
      <c r="D211" s="59" t="s">
        <v>274</v>
      </c>
      <c r="E211" s="61">
        <v>44440</v>
      </c>
      <c r="F211" s="58">
        <v>193691</v>
      </c>
    </row>
    <row r="212" spans="2:6" x14ac:dyDescent="0.25">
      <c r="B212" s="58">
        <v>211</v>
      </c>
      <c r="C212" s="59" t="s">
        <v>270</v>
      </c>
      <c r="D212" s="59" t="s">
        <v>274</v>
      </c>
      <c r="E212" s="61">
        <v>44501</v>
      </c>
      <c r="F212" s="59">
        <v>207031</v>
      </c>
    </row>
    <row r="213" spans="2:6" x14ac:dyDescent="0.25">
      <c r="B213" s="58">
        <v>1526</v>
      </c>
      <c r="C213" s="59" t="s">
        <v>270</v>
      </c>
      <c r="D213" s="59" t="s">
        <v>274</v>
      </c>
      <c r="E213" s="61">
        <v>44287</v>
      </c>
      <c r="F213" s="58">
        <v>214102</v>
      </c>
    </row>
    <row r="214" spans="2:6" x14ac:dyDescent="0.25">
      <c r="B214" s="58">
        <v>3018</v>
      </c>
      <c r="C214" s="59" t="s">
        <v>270</v>
      </c>
      <c r="D214" s="59" t="s">
        <v>274</v>
      </c>
      <c r="E214" s="61">
        <v>44501</v>
      </c>
      <c r="F214" s="58">
        <v>223295</v>
      </c>
    </row>
    <row r="215" spans="2:6" x14ac:dyDescent="0.25">
      <c r="B215" s="58">
        <v>973</v>
      </c>
      <c r="C215" s="59" t="s">
        <v>270</v>
      </c>
      <c r="D215" s="59" t="s">
        <v>274</v>
      </c>
      <c r="E215" s="61">
        <v>44378</v>
      </c>
      <c r="F215" s="58">
        <v>229218</v>
      </c>
    </row>
    <row r="216" spans="2:6" x14ac:dyDescent="0.25">
      <c r="B216" s="58">
        <v>1683</v>
      </c>
      <c r="C216" s="59" t="s">
        <v>270</v>
      </c>
      <c r="D216" s="59" t="s">
        <v>274</v>
      </c>
      <c r="E216" s="61">
        <v>44440</v>
      </c>
      <c r="F216" s="58">
        <v>242971</v>
      </c>
    </row>
    <row r="217" spans="2:6" x14ac:dyDescent="0.25">
      <c r="B217" s="58">
        <v>2318</v>
      </c>
      <c r="C217" s="59" t="s">
        <v>270</v>
      </c>
      <c r="D217" s="59" t="s">
        <v>274</v>
      </c>
      <c r="E217" s="61">
        <v>44531</v>
      </c>
      <c r="F217" s="58">
        <v>244284</v>
      </c>
    </row>
    <row r="218" spans="2:6" x14ac:dyDescent="0.25">
      <c r="B218" s="58">
        <v>983</v>
      </c>
      <c r="C218" s="59" t="s">
        <v>270</v>
      </c>
      <c r="D218" s="59" t="s">
        <v>274</v>
      </c>
      <c r="E218" s="61">
        <v>44470</v>
      </c>
      <c r="F218" s="58">
        <v>249705</v>
      </c>
    </row>
    <row r="219" spans="2:6" x14ac:dyDescent="0.25">
      <c r="B219" s="58">
        <v>2881</v>
      </c>
      <c r="C219" s="59" t="s">
        <v>270</v>
      </c>
      <c r="D219" s="59" t="s">
        <v>274</v>
      </c>
      <c r="E219" s="61">
        <v>44440</v>
      </c>
      <c r="F219" s="58">
        <v>261354</v>
      </c>
    </row>
    <row r="220" spans="2:6" x14ac:dyDescent="0.25">
      <c r="B220" s="58">
        <v>2478</v>
      </c>
      <c r="C220" s="59" t="s">
        <v>276</v>
      </c>
      <c r="D220" s="59" t="s">
        <v>275</v>
      </c>
      <c r="E220" s="61">
        <v>44228</v>
      </c>
      <c r="F220" s="58">
        <v>8721</v>
      </c>
    </row>
    <row r="221" spans="2:6" x14ac:dyDescent="0.25">
      <c r="B221" s="58">
        <v>403</v>
      </c>
      <c r="C221" s="59" t="s">
        <v>276</v>
      </c>
      <c r="D221" s="59" t="s">
        <v>275</v>
      </c>
      <c r="E221" s="61">
        <v>44378</v>
      </c>
      <c r="F221" s="59">
        <v>12909</v>
      </c>
    </row>
    <row r="222" spans="2:6" x14ac:dyDescent="0.25">
      <c r="B222" s="58">
        <v>1903</v>
      </c>
      <c r="C222" s="59" t="s">
        <v>276</v>
      </c>
      <c r="D222" s="59" t="s">
        <v>275</v>
      </c>
      <c r="E222" s="61">
        <v>44531</v>
      </c>
      <c r="F222" s="58">
        <v>22305</v>
      </c>
    </row>
    <row r="223" spans="2:6" x14ac:dyDescent="0.25">
      <c r="B223" s="58">
        <v>413</v>
      </c>
      <c r="C223" s="59" t="s">
        <v>276</v>
      </c>
      <c r="D223" s="59" t="s">
        <v>275</v>
      </c>
      <c r="E223" s="61">
        <v>44378</v>
      </c>
      <c r="F223" s="59">
        <v>36046</v>
      </c>
    </row>
    <row r="224" spans="2:6" x14ac:dyDescent="0.25">
      <c r="B224" s="58">
        <v>3394</v>
      </c>
      <c r="C224" s="59" t="s">
        <v>276</v>
      </c>
      <c r="D224" s="59" t="s">
        <v>275</v>
      </c>
      <c r="E224" s="61">
        <v>44501</v>
      </c>
      <c r="F224" s="58">
        <v>40179</v>
      </c>
    </row>
    <row r="225" spans="2:6" x14ac:dyDescent="0.25">
      <c r="B225" s="58">
        <v>594</v>
      </c>
      <c r="C225" s="59" t="s">
        <v>276</v>
      </c>
      <c r="D225" s="59" t="s">
        <v>275</v>
      </c>
      <c r="E225" s="61">
        <v>44531</v>
      </c>
      <c r="F225" s="59">
        <v>47888</v>
      </c>
    </row>
    <row r="226" spans="2:6" x14ac:dyDescent="0.25">
      <c r="B226" s="58">
        <v>2655</v>
      </c>
      <c r="C226" s="59" t="s">
        <v>276</v>
      </c>
      <c r="D226" s="59" t="s">
        <v>275</v>
      </c>
      <c r="E226" s="61">
        <v>44287</v>
      </c>
      <c r="F226" s="58">
        <v>173334</v>
      </c>
    </row>
    <row r="227" spans="2:6" x14ac:dyDescent="0.25">
      <c r="B227" s="58">
        <v>1253</v>
      </c>
      <c r="C227" s="59" t="s">
        <v>276</v>
      </c>
      <c r="D227" s="59" t="s">
        <v>275</v>
      </c>
      <c r="E227" s="61">
        <v>44228</v>
      </c>
      <c r="F227" s="58">
        <v>187979</v>
      </c>
    </row>
    <row r="228" spans="2:6" x14ac:dyDescent="0.25">
      <c r="B228" s="58">
        <v>2033</v>
      </c>
      <c r="C228" s="59" t="s">
        <v>276</v>
      </c>
      <c r="D228" s="59" t="s">
        <v>275</v>
      </c>
      <c r="E228" s="61">
        <v>44470</v>
      </c>
      <c r="F228" s="58">
        <v>225220</v>
      </c>
    </row>
    <row r="229" spans="2:6" x14ac:dyDescent="0.25">
      <c r="B229" s="58">
        <v>1396</v>
      </c>
      <c r="C229" s="59" t="s">
        <v>276</v>
      </c>
      <c r="D229" s="59" t="s">
        <v>275</v>
      </c>
      <c r="E229" s="61">
        <v>44409</v>
      </c>
      <c r="F229" s="58">
        <v>229197</v>
      </c>
    </row>
    <row r="230" spans="2:6" x14ac:dyDescent="0.25">
      <c r="B230" s="58">
        <v>2642</v>
      </c>
      <c r="C230" s="59" t="s">
        <v>276</v>
      </c>
      <c r="D230" s="59" t="s">
        <v>275</v>
      </c>
      <c r="E230" s="61">
        <v>44228</v>
      </c>
      <c r="F230" s="58">
        <v>252387</v>
      </c>
    </row>
    <row r="231" spans="2:6" x14ac:dyDescent="0.25">
      <c r="B231" s="58">
        <v>1975</v>
      </c>
      <c r="C231" s="59" t="s">
        <v>276</v>
      </c>
      <c r="D231" s="59" t="s">
        <v>272</v>
      </c>
      <c r="E231" s="61">
        <v>44287</v>
      </c>
      <c r="F231" s="58">
        <v>259</v>
      </c>
    </row>
    <row r="232" spans="2:6" x14ac:dyDescent="0.25">
      <c r="B232" s="58">
        <v>3294</v>
      </c>
      <c r="C232" s="59" t="s">
        <v>276</v>
      </c>
      <c r="D232" s="59" t="s">
        <v>272</v>
      </c>
      <c r="E232" s="61">
        <v>44228</v>
      </c>
      <c r="F232" s="58">
        <v>11682</v>
      </c>
    </row>
    <row r="233" spans="2:6" x14ac:dyDescent="0.25">
      <c r="B233" s="58">
        <v>1019</v>
      </c>
      <c r="C233" s="59" t="s">
        <v>276</v>
      </c>
      <c r="D233" s="59" t="s">
        <v>272</v>
      </c>
      <c r="E233" s="61">
        <v>44501</v>
      </c>
      <c r="F233" s="58">
        <v>25301</v>
      </c>
    </row>
    <row r="234" spans="2:6" x14ac:dyDescent="0.25">
      <c r="B234" s="58">
        <v>3454</v>
      </c>
      <c r="C234" s="59" t="s">
        <v>276</v>
      </c>
      <c r="D234" s="59" t="s">
        <v>272</v>
      </c>
      <c r="E234" s="61">
        <v>44287</v>
      </c>
      <c r="F234" s="58">
        <v>51383</v>
      </c>
    </row>
    <row r="235" spans="2:6" x14ac:dyDescent="0.25">
      <c r="B235" s="58">
        <v>482</v>
      </c>
      <c r="C235" s="59" t="s">
        <v>276</v>
      </c>
      <c r="D235" s="59" t="s">
        <v>272</v>
      </c>
      <c r="E235" s="61">
        <v>44378</v>
      </c>
      <c r="F235" s="59">
        <v>57399</v>
      </c>
    </row>
    <row r="236" spans="2:6" x14ac:dyDescent="0.25">
      <c r="B236" s="58">
        <v>3442</v>
      </c>
      <c r="C236" s="59" t="s">
        <v>276</v>
      </c>
      <c r="D236" s="59" t="s">
        <v>272</v>
      </c>
      <c r="E236" s="61">
        <v>44470</v>
      </c>
      <c r="F236" s="58">
        <v>86076</v>
      </c>
    </row>
    <row r="237" spans="2:6" x14ac:dyDescent="0.25">
      <c r="B237" s="58">
        <v>1719</v>
      </c>
      <c r="C237" s="59" t="s">
        <v>276</v>
      </c>
      <c r="D237" s="59" t="s">
        <v>272</v>
      </c>
      <c r="E237" s="61">
        <v>44348</v>
      </c>
      <c r="F237" s="58">
        <v>95791</v>
      </c>
    </row>
    <row r="238" spans="2:6" x14ac:dyDescent="0.25">
      <c r="B238" s="58">
        <v>3119</v>
      </c>
      <c r="C238" s="59" t="s">
        <v>276</v>
      </c>
      <c r="D238" s="59" t="s">
        <v>272</v>
      </c>
      <c r="E238" s="61">
        <v>44531</v>
      </c>
      <c r="F238" s="58">
        <v>100956</v>
      </c>
    </row>
    <row r="239" spans="2:6" x14ac:dyDescent="0.25">
      <c r="B239" s="58">
        <v>2754</v>
      </c>
      <c r="C239" s="59" t="s">
        <v>276</v>
      </c>
      <c r="D239" s="59" t="s">
        <v>272</v>
      </c>
      <c r="E239" s="61">
        <v>44256</v>
      </c>
      <c r="F239" s="58">
        <v>117440</v>
      </c>
    </row>
    <row r="240" spans="2:6" x14ac:dyDescent="0.25">
      <c r="B240" s="58">
        <v>2742</v>
      </c>
      <c r="C240" s="59" t="s">
        <v>276</v>
      </c>
      <c r="D240" s="59" t="s">
        <v>272</v>
      </c>
      <c r="E240" s="61">
        <v>44470</v>
      </c>
      <c r="F240" s="58">
        <v>128249</v>
      </c>
    </row>
    <row r="241" spans="2:6" x14ac:dyDescent="0.25">
      <c r="B241" s="58">
        <v>1342</v>
      </c>
      <c r="C241" s="59" t="s">
        <v>276</v>
      </c>
      <c r="D241" s="59" t="s">
        <v>272</v>
      </c>
      <c r="E241" s="61">
        <v>44348</v>
      </c>
      <c r="F241" s="58">
        <v>139728</v>
      </c>
    </row>
    <row r="242" spans="2:6" x14ac:dyDescent="0.25">
      <c r="B242" s="58">
        <v>1200</v>
      </c>
      <c r="C242" s="59" t="s">
        <v>276</v>
      </c>
      <c r="D242" s="59" t="s">
        <v>272</v>
      </c>
      <c r="E242" s="61">
        <v>44440</v>
      </c>
      <c r="F242" s="58">
        <v>147727</v>
      </c>
    </row>
    <row r="243" spans="2:6" x14ac:dyDescent="0.25">
      <c r="B243" s="58">
        <v>2539</v>
      </c>
      <c r="C243" s="59" t="s">
        <v>276</v>
      </c>
      <c r="D243" s="59" t="s">
        <v>272</v>
      </c>
      <c r="E243" s="61">
        <v>44348</v>
      </c>
      <c r="F243" s="58">
        <v>159478</v>
      </c>
    </row>
    <row r="244" spans="2:6" x14ac:dyDescent="0.25">
      <c r="B244" s="58">
        <v>3471</v>
      </c>
      <c r="C244" s="59" t="s">
        <v>276</v>
      </c>
      <c r="D244" s="59" t="s">
        <v>272</v>
      </c>
      <c r="E244" s="61">
        <v>44378</v>
      </c>
      <c r="F244" s="58">
        <v>176652</v>
      </c>
    </row>
    <row r="245" spans="2:6" x14ac:dyDescent="0.25">
      <c r="B245" s="58">
        <v>1227</v>
      </c>
      <c r="C245" s="59" t="s">
        <v>276</v>
      </c>
      <c r="D245" s="59" t="s">
        <v>272</v>
      </c>
      <c r="E245" s="61">
        <v>44470</v>
      </c>
      <c r="F245" s="58">
        <v>231047</v>
      </c>
    </row>
    <row r="246" spans="2:6" x14ac:dyDescent="0.25">
      <c r="B246" s="58">
        <v>1839</v>
      </c>
      <c r="C246" s="59" t="s">
        <v>276</v>
      </c>
      <c r="D246" s="59" t="s">
        <v>272</v>
      </c>
      <c r="E246" s="61">
        <v>44348</v>
      </c>
      <c r="F246" s="58">
        <v>254580</v>
      </c>
    </row>
    <row r="247" spans="2:6" x14ac:dyDescent="0.25">
      <c r="B247" s="58">
        <v>2474</v>
      </c>
      <c r="C247" s="59" t="s">
        <v>276</v>
      </c>
      <c r="D247" s="59" t="s">
        <v>273</v>
      </c>
      <c r="E247" s="61">
        <v>44197</v>
      </c>
      <c r="F247" s="58">
        <v>6460</v>
      </c>
    </row>
    <row r="248" spans="2:6" x14ac:dyDescent="0.25">
      <c r="B248" s="58">
        <v>3250</v>
      </c>
      <c r="C248" s="59" t="s">
        <v>276</v>
      </c>
      <c r="D248" s="59" t="s">
        <v>273</v>
      </c>
      <c r="E248" s="61">
        <v>44501</v>
      </c>
      <c r="F248" s="58">
        <v>20238</v>
      </c>
    </row>
    <row r="249" spans="2:6" x14ac:dyDescent="0.25">
      <c r="B249" s="58">
        <v>1004</v>
      </c>
      <c r="C249" s="59" t="s">
        <v>276</v>
      </c>
      <c r="D249" s="59" t="s">
        <v>273</v>
      </c>
      <c r="E249" s="61">
        <v>44409</v>
      </c>
      <c r="F249" s="58">
        <v>22746</v>
      </c>
    </row>
    <row r="250" spans="2:6" x14ac:dyDescent="0.25">
      <c r="B250" s="58">
        <v>2000</v>
      </c>
      <c r="C250" s="59" t="s">
        <v>276</v>
      </c>
      <c r="D250" s="59" t="s">
        <v>273</v>
      </c>
      <c r="E250" s="61">
        <v>44256</v>
      </c>
      <c r="F250" s="58">
        <v>29435</v>
      </c>
    </row>
    <row r="251" spans="2:6" x14ac:dyDescent="0.25">
      <c r="B251" s="58">
        <v>2511</v>
      </c>
      <c r="C251" s="59" t="s">
        <v>276</v>
      </c>
      <c r="D251" s="59" t="s">
        <v>273</v>
      </c>
      <c r="E251" s="61">
        <v>44317</v>
      </c>
      <c r="F251" s="58">
        <v>53266</v>
      </c>
    </row>
    <row r="252" spans="2:6" x14ac:dyDescent="0.25">
      <c r="B252" s="58">
        <v>2749</v>
      </c>
      <c r="C252" s="59" t="s">
        <v>276</v>
      </c>
      <c r="D252" s="59" t="s">
        <v>273</v>
      </c>
      <c r="E252" s="61">
        <v>44256</v>
      </c>
      <c r="F252" s="58">
        <v>133951</v>
      </c>
    </row>
    <row r="253" spans="2:6" x14ac:dyDescent="0.25">
      <c r="B253" s="58">
        <v>3120</v>
      </c>
      <c r="C253" s="59" t="s">
        <v>276</v>
      </c>
      <c r="D253" s="59" t="s">
        <v>273</v>
      </c>
      <c r="E253" s="61">
        <v>44287</v>
      </c>
      <c r="F253" s="58">
        <v>135272</v>
      </c>
    </row>
    <row r="254" spans="2:6" x14ac:dyDescent="0.25">
      <c r="B254" s="58">
        <v>2099</v>
      </c>
      <c r="C254" s="59" t="s">
        <v>276</v>
      </c>
      <c r="D254" s="59" t="s">
        <v>273</v>
      </c>
      <c r="E254" s="61">
        <v>44287</v>
      </c>
      <c r="F254" s="58">
        <v>145328</v>
      </c>
    </row>
    <row r="255" spans="2:6" x14ac:dyDescent="0.25">
      <c r="B255" s="58">
        <v>1324</v>
      </c>
      <c r="C255" s="59" t="s">
        <v>276</v>
      </c>
      <c r="D255" s="59" t="s">
        <v>273</v>
      </c>
      <c r="E255" s="61">
        <v>44501</v>
      </c>
      <c r="F255" s="58">
        <v>188860</v>
      </c>
    </row>
    <row r="256" spans="2:6" x14ac:dyDescent="0.25">
      <c r="B256" s="58">
        <v>302</v>
      </c>
      <c r="C256" s="59" t="s">
        <v>276</v>
      </c>
      <c r="D256" s="59" t="s">
        <v>273</v>
      </c>
      <c r="E256" s="61">
        <v>44197</v>
      </c>
      <c r="F256" s="59">
        <v>193122</v>
      </c>
    </row>
    <row r="257" spans="2:6" x14ac:dyDescent="0.25">
      <c r="B257" s="58">
        <v>1774</v>
      </c>
      <c r="C257" s="59" t="s">
        <v>276</v>
      </c>
      <c r="D257" s="59" t="s">
        <v>273</v>
      </c>
      <c r="E257" s="61">
        <v>44197</v>
      </c>
      <c r="F257" s="58">
        <v>208053</v>
      </c>
    </row>
    <row r="258" spans="2:6" x14ac:dyDescent="0.25">
      <c r="B258" s="58">
        <v>1912</v>
      </c>
      <c r="C258" s="59" t="s">
        <v>276</v>
      </c>
      <c r="D258" s="59" t="s">
        <v>271</v>
      </c>
      <c r="E258" s="61">
        <v>44228</v>
      </c>
      <c r="F258" s="58">
        <v>5187</v>
      </c>
    </row>
    <row r="259" spans="2:6" x14ac:dyDescent="0.25">
      <c r="B259" s="58">
        <v>2735</v>
      </c>
      <c r="C259" s="59" t="s">
        <v>276</v>
      </c>
      <c r="D259" s="59" t="s">
        <v>271</v>
      </c>
      <c r="E259" s="61">
        <v>44378</v>
      </c>
      <c r="F259" s="58">
        <v>12894</v>
      </c>
    </row>
    <row r="260" spans="2:6" x14ac:dyDescent="0.25">
      <c r="B260" s="58">
        <v>2561</v>
      </c>
      <c r="C260" s="59" t="s">
        <v>276</v>
      </c>
      <c r="D260" s="59" t="s">
        <v>271</v>
      </c>
      <c r="E260" s="61">
        <v>44228</v>
      </c>
      <c r="F260" s="58">
        <v>15238</v>
      </c>
    </row>
    <row r="261" spans="2:6" x14ac:dyDescent="0.25">
      <c r="B261" s="58">
        <v>3312</v>
      </c>
      <c r="C261" s="59" t="s">
        <v>276</v>
      </c>
      <c r="D261" s="59" t="s">
        <v>271</v>
      </c>
      <c r="E261" s="61">
        <v>44287</v>
      </c>
      <c r="F261" s="58">
        <v>22839</v>
      </c>
    </row>
    <row r="262" spans="2:6" x14ac:dyDescent="0.25">
      <c r="B262" s="58">
        <v>1191</v>
      </c>
      <c r="C262" s="59" t="s">
        <v>276</v>
      </c>
      <c r="D262" s="59" t="s">
        <v>271</v>
      </c>
      <c r="E262" s="61">
        <v>44228</v>
      </c>
      <c r="F262" s="58">
        <v>33850</v>
      </c>
    </row>
    <row r="263" spans="2:6" x14ac:dyDescent="0.25">
      <c r="B263" s="58">
        <v>2619</v>
      </c>
      <c r="C263" s="59" t="s">
        <v>276</v>
      </c>
      <c r="D263" s="59" t="s">
        <v>271</v>
      </c>
      <c r="E263" s="61">
        <v>44409</v>
      </c>
      <c r="F263" s="58">
        <v>78549</v>
      </c>
    </row>
    <row r="264" spans="2:6" x14ac:dyDescent="0.25">
      <c r="B264" s="58">
        <v>1084</v>
      </c>
      <c r="C264" s="59" t="s">
        <v>276</v>
      </c>
      <c r="D264" s="59" t="s">
        <v>271</v>
      </c>
      <c r="E264" s="61">
        <v>44531</v>
      </c>
      <c r="F264" s="58">
        <v>130275</v>
      </c>
    </row>
    <row r="265" spans="2:6" x14ac:dyDescent="0.25">
      <c r="B265" s="58">
        <v>2407</v>
      </c>
      <c r="C265" s="59" t="s">
        <v>276</v>
      </c>
      <c r="D265" s="59" t="s">
        <v>271</v>
      </c>
      <c r="E265" s="61">
        <v>44409</v>
      </c>
      <c r="F265" s="58">
        <v>155980</v>
      </c>
    </row>
    <row r="266" spans="2:6" x14ac:dyDescent="0.25">
      <c r="B266" s="58">
        <v>3103</v>
      </c>
      <c r="C266" s="59" t="s">
        <v>276</v>
      </c>
      <c r="D266" s="59" t="s">
        <v>271</v>
      </c>
      <c r="E266" s="61">
        <v>44256</v>
      </c>
      <c r="F266" s="58">
        <v>201340</v>
      </c>
    </row>
    <row r="267" spans="2:6" x14ac:dyDescent="0.25">
      <c r="B267" s="58">
        <v>1269</v>
      </c>
      <c r="C267" s="59" t="s">
        <v>276</v>
      </c>
      <c r="D267" s="59" t="s">
        <v>271</v>
      </c>
      <c r="E267" s="61">
        <v>44440</v>
      </c>
      <c r="F267" s="58">
        <v>213879</v>
      </c>
    </row>
    <row r="268" spans="2:6" x14ac:dyDescent="0.25">
      <c r="B268" s="58">
        <v>1776</v>
      </c>
      <c r="C268" s="59" t="s">
        <v>276</v>
      </c>
      <c r="D268" s="59" t="s">
        <v>271</v>
      </c>
      <c r="E268" s="61">
        <v>44287</v>
      </c>
      <c r="F268" s="58">
        <v>216555</v>
      </c>
    </row>
    <row r="269" spans="2:6" x14ac:dyDescent="0.25">
      <c r="B269" s="58">
        <v>3450</v>
      </c>
      <c r="C269" s="59" t="s">
        <v>276</v>
      </c>
      <c r="D269" s="59" t="s">
        <v>274</v>
      </c>
      <c r="E269" s="61">
        <v>44378</v>
      </c>
      <c r="F269" s="58">
        <v>-39689</v>
      </c>
    </row>
    <row r="270" spans="2:6" x14ac:dyDescent="0.25">
      <c r="B270" s="58">
        <v>1296</v>
      </c>
      <c r="C270" s="59" t="s">
        <v>276</v>
      </c>
      <c r="D270" s="59" t="s">
        <v>274</v>
      </c>
      <c r="E270" s="61">
        <v>44197</v>
      </c>
      <c r="F270" s="58">
        <v>1661</v>
      </c>
    </row>
    <row r="271" spans="2:6" x14ac:dyDescent="0.25">
      <c r="B271" s="58">
        <v>2486</v>
      </c>
      <c r="C271" s="59" t="s">
        <v>276</v>
      </c>
      <c r="D271" s="59" t="s">
        <v>274</v>
      </c>
      <c r="E271" s="61">
        <v>44531</v>
      </c>
      <c r="F271" s="58">
        <v>54633</v>
      </c>
    </row>
    <row r="272" spans="2:6" x14ac:dyDescent="0.25">
      <c r="B272" s="58">
        <v>1011</v>
      </c>
      <c r="C272" s="59" t="s">
        <v>276</v>
      </c>
      <c r="D272" s="59" t="s">
        <v>274</v>
      </c>
      <c r="E272" s="61">
        <v>44409</v>
      </c>
      <c r="F272" s="58">
        <v>85536</v>
      </c>
    </row>
    <row r="273" spans="2:6" x14ac:dyDescent="0.25">
      <c r="B273" s="58">
        <v>325</v>
      </c>
      <c r="C273" s="59" t="s">
        <v>276</v>
      </c>
      <c r="D273" s="59" t="s">
        <v>274</v>
      </c>
      <c r="E273" s="61">
        <v>44470</v>
      </c>
      <c r="F273" s="59">
        <v>93656</v>
      </c>
    </row>
    <row r="274" spans="2:6" x14ac:dyDescent="0.25">
      <c r="B274" s="58">
        <v>3333</v>
      </c>
      <c r="C274" s="59" t="s">
        <v>276</v>
      </c>
      <c r="D274" s="59" t="s">
        <v>274</v>
      </c>
      <c r="E274" s="61">
        <v>44440</v>
      </c>
      <c r="F274" s="58">
        <v>98246</v>
      </c>
    </row>
    <row r="275" spans="2:6" x14ac:dyDescent="0.25">
      <c r="B275" s="58">
        <v>3125</v>
      </c>
      <c r="C275" s="59" t="s">
        <v>276</v>
      </c>
      <c r="D275" s="59" t="s">
        <v>274</v>
      </c>
      <c r="E275" s="61">
        <v>44470</v>
      </c>
      <c r="F275" s="58">
        <v>163127</v>
      </c>
    </row>
    <row r="276" spans="2:6" x14ac:dyDescent="0.25">
      <c r="B276" s="58">
        <v>1355</v>
      </c>
      <c r="C276" s="59" t="s">
        <v>276</v>
      </c>
      <c r="D276" s="59" t="s">
        <v>274</v>
      </c>
      <c r="E276" s="61">
        <v>44348</v>
      </c>
      <c r="F276" s="58">
        <v>216695</v>
      </c>
    </row>
    <row r="277" spans="2:6" x14ac:dyDescent="0.25">
      <c r="B277" s="58">
        <v>3412</v>
      </c>
      <c r="C277" s="59" t="s">
        <v>277</v>
      </c>
      <c r="D277" s="59" t="s">
        <v>275</v>
      </c>
      <c r="E277" s="61">
        <v>44228</v>
      </c>
      <c r="F277" s="58">
        <v>-11610</v>
      </c>
    </row>
    <row r="278" spans="2:6" x14ac:dyDescent="0.25">
      <c r="B278" s="58">
        <v>1115</v>
      </c>
      <c r="C278" s="59" t="s">
        <v>277</v>
      </c>
      <c r="D278" s="59" t="s">
        <v>275</v>
      </c>
      <c r="E278" s="61">
        <v>44256</v>
      </c>
      <c r="F278" s="58">
        <v>48808</v>
      </c>
    </row>
    <row r="279" spans="2:6" x14ac:dyDescent="0.25">
      <c r="B279" s="58">
        <v>1964</v>
      </c>
      <c r="C279" s="59" t="s">
        <v>277</v>
      </c>
      <c r="D279" s="59" t="s">
        <v>275</v>
      </c>
      <c r="E279" s="61">
        <v>44197</v>
      </c>
      <c r="F279" s="58">
        <v>100486</v>
      </c>
    </row>
    <row r="280" spans="2:6" x14ac:dyDescent="0.25">
      <c r="B280" s="58">
        <v>3361</v>
      </c>
      <c r="C280" s="59" t="s">
        <v>277</v>
      </c>
      <c r="D280" s="59" t="s">
        <v>275</v>
      </c>
      <c r="E280" s="61">
        <v>44317</v>
      </c>
      <c r="F280" s="58">
        <v>111998</v>
      </c>
    </row>
    <row r="281" spans="2:6" x14ac:dyDescent="0.25">
      <c r="B281" s="58">
        <v>3173</v>
      </c>
      <c r="C281" s="59" t="s">
        <v>277</v>
      </c>
      <c r="D281" s="59" t="s">
        <v>275</v>
      </c>
      <c r="E281" s="61">
        <v>44409</v>
      </c>
      <c r="F281" s="58">
        <v>216458</v>
      </c>
    </row>
    <row r="282" spans="2:6" x14ac:dyDescent="0.25">
      <c r="B282" s="58">
        <v>2778</v>
      </c>
      <c r="C282" s="59" t="s">
        <v>277</v>
      </c>
      <c r="D282" s="59" t="s">
        <v>275</v>
      </c>
      <c r="E282" s="61">
        <v>44440</v>
      </c>
      <c r="F282" s="58">
        <v>256402</v>
      </c>
    </row>
    <row r="283" spans="2:6" x14ac:dyDescent="0.25">
      <c r="B283" s="58">
        <v>2601</v>
      </c>
      <c r="C283" s="59" t="s">
        <v>277</v>
      </c>
      <c r="D283" s="59" t="s">
        <v>272</v>
      </c>
      <c r="E283" s="61">
        <v>44317</v>
      </c>
      <c r="F283" s="58">
        <v>1519</v>
      </c>
    </row>
    <row r="284" spans="2:6" x14ac:dyDescent="0.25">
      <c r="B284" s="58">
        <v>1112</v>
      </c>
      <c r="C284" s="59" t="s">
        <v>277</v>
      </c>
      <c r="D284" s="59" t="s">
        <v>272</v>
      </c>
      <c r="E284" s="61">
        <v>44470</v>
      </c>
      <c r="F284" s="58">
        <v>13328</v>
      </c>
    </row>
    <row r="285" spans="2:6" x14ac:dyDescent="0.25">
      <c r="B285" s="58">
        <v>1833</v>
      </c>
      <c r="C285" s="59" t="s">
        <v>277</v>
      </c>
      <c r="D285" s="59" t="s">
        <v>272</v>
      </c>
      <c r="E285" s="61">
        <v>44287</v>
      </c>
      <c r="F285" s="58">
        <v>73394</v>
      </c>
    </row>
    <row r="286" spans="2:6" x14ac:dyDescent="0.25">
      <c r="B286" s="58">
        <v>441</v>
      </c>
      <c r="C286" s="59" t="s">
        <v>277</v>
      </c>
      <c r="D286" s="59" t="s">
        <v>272</v>
      </c>
      <c r="E286" s="61">
        <v>44531</v>
      </c>
      <c r="F286" s="59">
        <v>82089</v>
      </c>
    </row>
    <row r="287" spans="2:6" x14ac:dyDescent="0.25">
      <c r="B287" s="58">
        <v>1829</v>
      </c>
      <c r="C287" s="59" t="s">
        <v>277</v>
      </c>
      <c r="D287" s="59" t="s">
        <v>272</v>
      </c>
      <c r="E287" s="61">
        <v>44378</v>
      </c>
      <c r="F287" s="58">
        <v>185869</v>
      </c>
    </row>
    <row r="288" spans="2:6" x14ac:dyDescent="0.25">
      <c r="B288" s="58">
        <v>2480</v>
      </c>
      <c r="C288" s="59" t="s">
        <v>277</v>
      </c>
      <c r="D288" s="59" t="s">
        <v>273</v>
      </c>
      <c r="E288" s="61">
        <v>44531</v>
      </c>
      <c r="F288" s="58">
        <v>1365</v>
      </c>
    </row>
    <row r="289" spans="2:6" x14ac:dyDescent="0.25">
      <c r="B289" s="58">
        <v>2705</v>
      </c>
      <c r="C289" s="59" t="s">
        <v>277</v>
      </c>
      <c r="D289" s="59" t="s">
        <v>273</v>
      </c>
      <c r="E289" s="61">
        <v>44256</v>
      </c>
      <c r="F289" s="58">
        <v>6845</v>
      </c>
    </row>
    <row r="290" spans="2:6" x14ac:dyDescent="0.25">
      <c r="B290" s="58">
        <v>681</v>
      </c>
      <c r="C290" s="59" t="s">
        <v>277</v>
      </c>
      <c r="D290" s="59" t="s">
        <v>273</v>
      </c>
      <c r="E290" s="61">
        <v>44409</v>
      </c>
      <c r="F290" s="59">
        <v>17711</v>
      </c>
    </row>
    <row r="291" spans="2:6" x14ac:dyDescent="0.25">
      <c r="B291" s="58">
        <v>3179</v>
      </c>
      <c r="C291" s="59" t="s">
        <v>277</v>
      </c>
      <c r="D291" s="59" t="s">
        <v>273</v>
      </c>
      <c r="E291" s="61">
        <v>44256</v>
      </c>
      <c r="F291" s="58">
        <v>39973</v>
      </c>
    </row>
    <row r="292" spans="2:6" x14ac:dyDescent="0.25">
      <c r="B292" s="58">
        <v>1381</v>
      </c>
      <c r="C292" s="59" t="s">
        <v>277</v>
      </c>
      <c r="D292" s="59" t="s">
        <v>273</v>
      </c>
      <c r="E292" s="61">
        <v>44409</v>
      </c>
      <c r="F292" s="58">
        <v>102572</v>
      </c>
    </row>
    <row r="293" spans="2:6" x14ac:dyDescent="0.25">
      <c r="B293" s="58">
        <v>2458</v>
      </c>
      <c r="C293" s="59" t="s">
        <v>277</v>
      </c>
      <c r="D293" s="59" t="s">
        <v>273</v>
      </c>
      <c r="E293" s="61">
        <v>44378</v>
      </c>
      <c r="F293" s="58">
        <v>121986</v>
      </c>
    </row>
    <row r="294" spans="2:6" x14ac:dyDescent="0.25">
      <c r="B294" s="58">
        <v>1079</v>
      </c>
      <c r="C294" s="59" t="s">
        <v>277</v>
      </c>
      <c r="D294" s="59" t="s">
        <v>273</v>
      </c>
      <c r="E294" s="61">
        <v>44256</v>
      </c>
      <c r="F294" s="58">
        <v>132363</v>
      </c>
    </row>
    <row r="295" spans="2:6" x14ac:dyDescent="0.25">
      <c r="B295" s="58">
        <v>2479</v>
      </c>
      <c r="C295" s="59" t="s">
        <v>277</v>
      </c>
      <c r="D295" s="59" t="s">
        <v>273</v>
      </c>
      <c r="E295" s="61">
        <v>44440</v>
      </c>
      <c r="F295" s="58">
        <v>160752</v>
      </c>
    </row>
    <row r="296" spans="2:6" x14ac:dyDescent="0.25">
      <c r="B296" s="58">
        <v>1285</v>
      </c>
      <c r="C296" s="59" t="s">
        <v>277</v>
      </c>
      <c r="D296" s="59" t="s">
        <v>271</v>
      </c>
      <c r="E296" s="61">
        <v>44228</v>
      </c>
      <c r="F296" s="58">
        <v>7298</v>
      </c>
    </row>
    <row r="297" spans="2:6" x14ac:dyDescent="0.25">
      <c r="B297" s="58">
        <v>3249</v>
      </c>
      <c r="C297" s="59" t="s">
        <v>277</v>
      </c>
      <c r="D297" s="59" t="s">
        <v>271</v>
      </c>
      <c r="E297" s="61">
        <v>44348</v>
      </c>
      <c r="F297" s="58">
        <v>11238</v>
      </c>
    </row>
    <row r="298" spans="2:6" x14ac:dyDescent="0.25">
      <c r="B298" s="58">
        <v>640</v>
      </c>
      <c r="C298" s="59" t="s">
        <v>277</v>
      </c>
      <c r="D298" s="59" t="s">
        <v>271</v>
      </c>
      <c r="E298" s="61">
        <v>44287</v>
      </c>
      <c r="F298" s="59">
        <v>27542</v>
      </c>
    </row>
    <row r="299" spans="2:6" x14ac:dyDescent="0.25">
      <c r="B299" s="58">
        <v>1709</v>
      </c>
      <c r="C299" s="59" t="s">
        <v>277</v>
      </c>
      <c r="D299" s="59" t="s">
        <v>271</v>
      </c>
      <c r="E299" s="61">
        <v>44228</v>
      </c>
      <c r="F299" s="58">
        <v>33876</v>
      </c>
    </row>
    <row r="300" spans="2:6" x14ac:dyDescent="0.25">
      <c r="B300" s="58">
        <v>2441</v>
      </c>
      <c r="C300" s="59" t="s">
        <v>277</v>
      </c>
      <c r="D300" s="59" t="s">
        <v>271</v>
      </c>
      <c r="E300" s="61">
        <v>44470</v>
      </c>
      <c r="F300" s="58">
        <v>39494</v>
      </c>
    </row>
    <row r="301" spans="2:6" x14ac:dyDescent="0.25">
      <c r="B301" s="58">
        <v>2549</v>
      </c>
      <c r="C301" s="59" t="s">
        <v>277</v>
      </c>
      <c r="D301" s="59" t="s">
        <v>271</v>
      </c>
      <c r="E301" s="61">
        <v>44348</v>
      </c>
      <c r="F301" s="58">
        <v>96983</v>
      </c>
    </row>
    <row r="302" spans="2:6" x14ac:dyDescent="0.25">
      <c r="B302" s="58">
        <v>2495</v>
      </c>
      <c r="C302" s="59" t="s">
        <v>277</v>
      </c>
      <c r="D302" s="59" t="s">
        <v>271</v>
      </c>
      <c r="E302" s="61">
        <v>44348</v>
      </c>
      <c r="F302" s="58">
        <v>130437</v>
      </c>
    </row>
    <row r="303" spans="2:6" x14ac:dyDescent="0.25">
      <c r="B303" s="58">
        <v>309</v>
      </c>
      <c r="C303" s="59" t="s">
        <v>277</v>
      </c>
      <c r="D303" s="59" t="s">
        <v>271</v>
      </c>
      <c r="E303" s="61">
        <v>44409</v>
      </c>
      <c r="F303" s="59">
        <v>149617</v>
      </c>
    </row>
    <row r="304" spans="2:6" x14ac:dyDescent="0.25">
      <c r="B304" s="58">
        <v>591</v>
      </c>
      <c r="C304" s="59" t="s">
        <v>277</v>
      </c>
      <c r="D304" s="59" t="s">
        <v>271</v>
      </c>
      <c r="E304" s="61">
        <v>44531</v>
      </c>
      <c r="F304" s="59">
        <v>166353</v>
      </c>
    </row>
    <row r="305" spans="2:6" x14ac:dyDescent="0.25">
      <c r="B305" s="58">
        <v>3159</v>
      </c>
      <c r="C305" s="59" t="s">
        <v>277</v>
      </c>
      <c r="D305" s="59" t="s">
        <v>271</v>
      </c>
      <c r="E305" s="61">
        <v>44197</v>
      </c>
      <c r="F305" s="58">
        <v>219774</v>
      </c>
    </row>
    <row r="306" spans="2:6" x14ac:dyDescent="0.25">
      <c r="B306" s="58">
        <v>3252</v>
      </c>
      <c r="C306" s="59" t="s">
        <v>277</v>
      </c>
      <c r="D306" s="59" t="s">
        <v>271</v>
      </c>
      <c r="E306" s="61">
        <v>44378</v>
      </c>
      <c r="F306" s="58">
        <v>226327</v>
      </c>
    </row>
    <row r="307" spans="2:6" x14ac:dyDescent="0.25">
      <c r="B307" s="58">
        <v>3440</v>
      </c>
      <c r="C307" s="59" t="s">
        <v>277</v>
      </c>
      <c r="D307" s="59" t="s">
        <v>271</v>
      </c>
      <c r="E307" s="61">
        <v>44317</v>
      </c>
      <c r="F307" s="58">
        <v>239368</v>
      </c>
    </row>
    <row r="308" spans="2:6" x14ac:dyDescent="0.25">
      <c r="B308" s="58">
        <v>492</v>
      </c>
      <c r="C308" s="59" t="s">
        <v>277</v>
      </c>
      <c r="D308" s="59" t="s">
        <v>271</v>
      </c>
      <c r="E308" s="61">
        <v>44197</v>
      </c>
      <c r="F308" s="59">
        <v>244677</v>
      </c>
    </row>
    <row r="309" spans="2:6" x14ac:dyDescent="0.25">
      <c r="B309" s="58">
        <v>1070</v>
      </c>
      <c r="C309" s="59" t="s">
        <v>277</v>
      </c>
      <c r="D309" s="59" t="s">
        <v>274</v>
      </c>
      <c r="E309" s="61">
        <v>44197</v>
      </c>
      <c r="F309" s="58">
        <v>8675</v>
      </c>
    </row>
    <row r="310" spans="2:6" x14ac:dyDescent="0.25">
      <c r="B310" s="58">
        <v>3287</v>
      </c>
      <c r="C310" s="59" t="s">
        <v>277</v>
      </c>
      <c r="D310" s="59" t="s">
        <v>274</v>
      </c>
      <c r="E310" s="61">
        <v>44440</v>
      </c>
      <c r="F310" s="58">
        <v>12156</v>
      </c>
    </row>
    <row r="311" spans="2:6" x14ac:dyDescent="0.25">
      <c r="B311" s="58">
        <v>1331</v>
      </c>
      <c r="C311" s="59" t="s">
        <v>277</v>
      </c>
      <c r="D311" s="59" t="s">
        <v>274</v>
      </c>
      <c r="E311" s="61">
        <v>44531</v>
      </c>
      <c r="F311" s="58">
        <v>60882</v>
      </c>
    </row>
    <row r="312" spans="2:6" x14ac:dyDescent="0.25">
      <c r="B312" s="58">
        <v>2537</v>
      </c>
      <c r="C312" s="59" t="s">
        <v>277</v>
      </c>
      <c r="D312" s="59" t="s">
        <v>274</v>
      </c>
      <c r="E312" s="61">
        <v>44409</v>
      </c>
      <c r="F312" s="58">
        <v>110965</v>
      </c>
    </row>
    <row r="313" spans="2:6" x14ac:dyDescent="0.25">
      <c r="B313" s="58">
        <v>3479</v>
      </c>
      <c r="C313" s="59" t="s">
        <v>277</v>
      </c>
      <c r="D313" s="59" t="s">
        <v>274</v>
      </c>
      <c r="E313" s="61">
        <v>44317</v>
      </c>
      <c r="F313" s="58">
        <v>125616</v>
      </c>
    </row>
    <row r="314" spans="2:6" x14ac:dyDescent="0.25">
      <c r="B314" s="58">
        <v>1260</v>
      </c>
      <c r="C314" s="59" t="s">
        <v>277</v>
      </c>
      <c r="D314" s="59" t="s">
        <v>274</v>
      </c>
      <c r="E314" s="61">
        <v>44531</v>
      </c>
      <c r="F314" s="58">
        <v>152076</v>
      </c>
    </row>
    <row r="315" spans="2:6" x14ac:dyDescent="0.25">
      <c r="B315" s="58">
        <v>1091</v>
      </c>
      <c r="C315" s="59" t="s">
        <v>277</v>
      </c>
      <c r="D315" s="59" t="s">
        <v>274</v>
      </c>
      <c r="E315" s="61">
        <v>44470</v>
      </c>
      <c r="F315" s="58">
        <v>174302</v>
      </c>
    </row>
    <row r="316" spans="2:6" x14ac:dyDescent="0.25">
      <c r="B316" s="58">
        <v>1848</v>
      </c>
      <c r="C316" s="59" t="s">
        <v>277</v>
      </c>
      <c r="D316" s="59" t="s">
        <v>274</v>
      </c>
      <c r="E316" s="61">
        <v>44470</v>
      </c>
      <c r="F316" s="58">
        <v>175018</v>
      </c>
    </row>
    <row r="317" spans="2:6" x14ac:dyDescent="0.25">
      <c r="B317" s="58">
        <v>2657</v>
      </c>
      <c r="C317" s="59" t="s">
        <v>277</v>
      </c>
      <c r="D317" s="59" t="s">
        <v>274</v>
      </c>
      <c r="E317" s="61">
        <v>44287</v>
      </c>
      <c r="F317" s="58">
        <v>221658</v>
      </c>
    </row>
    <row r="318" spans="2:6" x14ac:dyDescent="0.25">
      <c r="B318" s="58">
        <v>3268</v>
      </c>
      <c r="C318" s="59" t="s">
        <v>277</v>
      </c>
      <c r="D318" s="59" t="s">
        <v>274</v>
      </c>
      <c r="E318" s="61">
        <v>44470</v>
      </c>
      <c r="F318" s="58">
        <v>245470</v>
      </c>
    </row>
    <row r="319" spans="2:6" x14ac:dyDescent="0.25">
      <c r="B319" s="58">
        <v>1868</v>
      </c>
      <c r="C319" s="59" t="s">
        <v>277</v>
      </c>
      <c r="D319" s="59" t="s">
        <v>274</v>
      </c>
      <c r="E319" s="61">
        <v>44197</v>
      </c>
      <c r="F319" s="58">
        <v>248756</v>
      </c>
    </row>
  </sheetData>
  <mergeCells count="2">
    <mergeCell ref="A1:I1"/>
    <mergeCell ref="A2:I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8A70-468C-4143-9F6C-EEC978669A75}">
  <dimension ref="C1:M44"/>
  <sheetViews>
    <sheetView workbookViewId="0">
      <selection activeCell="M7" sqref="M7"/>
    </sheetView>
  </sheetViews>
  <sheetFormatPr defaultRowHeight="15" x14ac:dyDescent="0.25"/>
  <cols>
    <col min="3" max="3" width="9" customWidth="1"/>
    <col min="4" max="4" width="14.7109375" customWidth="1"/>
    <col min="7" max="7" width="15.140625" customWidth="1"/>
    <col min="13" max="13" width="13.28515625" customWidth="1"/>
  </cols>
  <sheetData>
    <row r="1" spans="3:13" x14ac:dyDescent="0.25">
      <c r="C1" s="15">
        <v>1</v>
      </c>
      <c r="D1" s="167" t="s">
        <v>333</v>
      </c>
      <c r="E1" s="167"/>
      <c r="F1" s="167"/>
      <c r="G1" s="167"/>
      <c r="H1" s="167"/>
      <c r="I1" s="167"/>
    </row>
    <row r="2" spans="3:13" x14ac:dyDescent="0.25">
      <c r="C2" s="15">
        <v>2</v>
      </c>
      <c r="D2" s="167" t="s">
        <v>334</v>
      </c>
      <c r="E2" s="167"/>
      <c r="F2" s="167"/>
      <c r="G2" s="167"/>
      <c r="H2" s="167"/>
      <c r="I2" s="167"/>
      <c r="J2" s="167"/>
      <c r="K2" s="167"/>
      <c r="L2" s="167"/>
    </row>
    <row r="6" spans="3:13" x14ac:dyDescent="0.25">
      <c r="C6" s="16" t="s">
        <v>335</v>
      </c>
      <c r="D6" s="16" t="s">
        <v>336</v>
      </c>
      <c r="E6" s="16" t="s">
        <v>337</v>
      </c>
      <c r="F6" s="16" t="s">
        <v>338</v>
      </c>
      <c r="G6" s="16" t="s">
        <v>339</v>
      </c>
      <c r="H6" s="16" t="s">
        <v>10</v>
      </c>
      <c r="I6" s="16" t="s">
        <v>11</v>
      </c>
      <c r="J6" s="16" t="s">
        <v>12</v>
      </c>
      <c r="K6" s="16" t="s">
        <v>13</v>
      </c>
      <c r="L6" s="16" t="s">
        <v>14</v>
      </c>
      <c r="M6" s="16" t="s">
        <v>340</v>
      </c>
    </row>
    <row r="7" spans="3:13" x14ac:dyDescent="0.25">
      <c r="C7" s="18">
        <v>1</v>
      </c>
      <c r="D7" s="19" t="s">
        <v>341</v>
      </c>
      <c r="E7" s="95" t="str" cm="1">
        <f t="array" ref="E7:F7">_xlfn.TEXTSPLIT(D7," ")</f>
        <v>Melwyn</v>
      </c>
      <c r="F7" s="95" t="str">
        <v>Crasto</v>
      </c>
      <c r="G7" s="20">
        <v>26123</v>
      </c>
      <c r="H7" s="18" t="s">
        <v>32</v>
      </c>
      <c r="I7" s="19" t="s">
        <v>19</v>
      </c>
      <c r="J7" s="19" t="s">
        <v>38</v>
      </c>
      <c r="K7" s="19" t="s">
        <v>21</v>
      </c>
      <c r="L7" s="10">
        <v>22000</v>
      </c>
      <c r="M7" s="95" t="str">
        <f>UPPER(LEFT(E7,1) &amp; LEFT(J7,2) &amp; LEFT(G2,2) &amp; LEFT(K7,1) &amp; TEXT(C7,"00"))</f>
        <v>MMAN01</v>
      </c>
    </row>
    <row r="8" spans="3:13" x14ac:dyDescent="0.25">
      <c r="C8" s="18">
        <v>2</v>
      </c>
      <c r="D8" s="19" t="s">
        <v>342</v>
      </c>
      <c r="E8" s="95" t="str" cm="1">
        <f t="array" ref="E8:F8">_xlfn.TEXTSPLIT(D8," ")</f>
        <v>Piyush</v>
      </c>
      <c r="F8" s="95" t="str">
        <v>Shah</v>
      </c>
      <c r="G8" s="20">
        <v>28136</v>
      </c>
      <c r="H8" s="18" t="s">
        <v>18</v>
      </c>
      <c r="I8" s="19" t="s">
        <v>19</v>
      </c>
      <c r="J8" s="19" t="s">
        <v>33</v>
      </c>
      <c r="K8" s="19" t="s">
        <v>52</v>
      </c>
      <c r="L8" s="10">
        <v>20000</v>
      </c>
      <c r="M8" s="95" t="str">
        <f t="shared" ref="M8:M44" si="0">UPPER(LEFT(E8,1) &amp; LEFT(J8,2) &amp; LEFT(G3,2) &amp; LEFT(K8,1) &amp; TEXT(C8,"00"))</f>
        <v>PINE02</v>
      </c>
    </row>
    <row r="9" spans="3:13" x14ac:dyDescent="0.25">
      <c r="C9" s="18">
        <v>3</v>
      </c>
      <c r="D9" s="19" t="s">
        <v>343</v>
      </c>
      <c r="E9" s="95" t="str" cm="1">
        <f t="array" ref="E9:F9">_xlfn.TEXTSPLIT(D9," ")</f>
        <v>Rajesh</v>
      </c>
      <c r="F9" s="95" t="str">
        <v>Bohra</v>
      </c>
      <c r="G9" s="20">
        <v>28346</v>
      </c>
      <c r="H9" s="18" t="s">
        <v>18</v>
      </c>
      <c r="I9" s="19" t="s">
        <v>19</v>
      </c>
      <c r="J9" s="19" t="s">
        <v>26</v>
      </c>
      <c r="K9" s="19" t="s">
        <v>21</v>
      </c>
      <c r="L9" s="10">
        <v>67000</v>
      </c>
      <c r="M9" s="95" t="str">
        <f t="shared" si="0"/>
        <v>RDIN03</v>
      </c>
    </row>
    <row r="10" spans="3:13" x14ac:dyDescent="0.25">
      <c r="C10" s="18">
        <v>4</v>
      </c>
      <c r="D10" s="19" t="s">
        <v>344</v>
      </c>
      <c r="E10" s="95" t="str" cm="1">
        <f t="array" ref="E10:F10">_xlfn.TEXTSPLIT(D10," ")</f>
        <v>Dhiren</v>
      </c>
      <c r="F10" s="95" t="str">
        <v>Haria</v>
      </c>
      <c r="G10" s="20">
        <v>29700</v>
      </c>
      <c r="H10" s="18" t="s">
        <v>32</v>
      </c>
      <c r="I10" s="19" t="s">
        <v>19</v>
      </c>
      <c r="J10" s="19" t="s">
        <v>45</v>
      </c>
      <c r="K10" s="19" t="s">
        <v>34</v>
      </c>
      <c r="L10" s="10">
        <v>37000</v>
      </c>
      <c r="M10" s="95" t="str">
        <f t="shared" si="0"/>
        <v>DLES04</v>
      </c>
    </row>
    <row r="11" spans="3:13" x14ac:dyDescent="0.25">
      <c r="C11" s="18">
        <v>5</v>
      </c>
      <c r="D11" s="19" t="s">
        <v>345</v>
      </c>
      <c r="E11" s="95" t="str" cm="1">
        <f t="array" ref="E11:F11">_xlfn.TEXTSPLIT(D11," ")</f>
        <v>Rajesh</v>
      </c>
      <c r="F11" s="95" t="str">
        <v>Dedhia</v>
      </c>
      <c r="G11" s="20">
        <v>31172</v>
      </c>
      <c r="H11" s="18" t="s">
        <v>32</v>
      </c>
      <c r="I11" s="19" t="s">
        <v>19</v>
      </c>
      <c r="J11" s="19" t="s">
        <v>41</v>
      </c>
      <c r="K11" s="19" t="s">
        <v>21</v>
      </c>
      <c r="L11" s="10">
        <v>91000</v>
      </c>
      <c r="M11" s="95" t="str">
        <f t="shared" si="0"/>
        <v>RDIHIN05</v>
      </c>
    </row>
    <row r="12" spans="3:13" x14ac:dyDescent="0.25">
      <c r="C12" s="18">
        <v>6</v>
      </c>
      <c r="D12" s="19" t="s">
        <v>346</v>
      </c>
      <c r="E12" s="95" t="str" cm="1">
        <f t="array" ref="E12:F12">_xlfn.TEXTSPLIT(D12," ")</f>
        <v>Heena</v>
      </c>
      <c r="F12" s="95" t="str">
        <v>Dongre</v>
      </c>
      <c r="G12" s="20">
        <v>31246</v>
      </c>
      <c r="H12" s="18" t="s">
        <v>32</v>
      </c>
      <c r="I12" s="19" t="s">
        <v>19</v>
      </c>
      <c r="J12" s="19" t="s">
        <v>33</v>
      </c>
      <c r="K12" s="19" t="s">
        <v>21</v>
      </c>
      <c r="L12" s="10">
        <v>50000</v>
      </c>
      <c r="M12" s="95" t="str">
        <f t="shared" si="0"/>
        <v>HIN26N06</v>
      </c>
    </row>
    <row r="13" spans="3:13" x14ac:dyDescent="0.25">
      <c r="C13" s="18">
        <v>7</v>
      </c>
      <c r="D13" s="19" t="s">
        <v>347</v>
      </c>
      <c r="E13" s="95" t="str" cm="1">
        <f t="array" ref="E13:F13">_xlfn.TEXTSPLIT(D13," ")</f>
        <v>Bobby</v>
      </c>
      <c r="F13" s="95" t="str">
        <v>Tanna</v>
      </c>
      <c r="G13" s="20">
        <v>31739</v>
      </c>
      <c r="H13" s="18" t="s">
        <v>32</v>
      </c>
      <c r="I13" s="19" t="s">
        <v>19</v>
      </c>
      <c r="J13" s="19" t="s">
        <v>38</v>
      </c>
      <c r="K13" s="19" t="s">
        <v>34</v>
      </c>
      <c r="L13" s="10">
        <v>58000</v>
      </c>
      <c r="M13" s="95" t="str">
        <f t="shared" si="0"/>
        <v>BMA28S07</v>
      </c>
    </row>
    <row r="14" spans="3:13" x14ac:dyDescent="0.25">
      <c r="C14" s="18">
        <v>8</v>
      </c>
      <c r="D14" s="19" t="s">
        <v>348</v>
      </c>
      <c r="E14" s="95" t="str" cm="1">
        <f t="array" ref="E14:F14">_xlfn.TEXTSPLIT(D14," ")</f>
        <v>Stan</v>
      </c>
      <c r="F14" s="95" t="str">
        <v>Serrao</v>
      </c>
      <c r="G14" s="20">
        <v>31860</v>
      </c>
      <c r="H14" s="18" t="s">
        <v>32</v>
      </c>
      <c r="I14" s="19" t="s">
        <v>19</v>
      </c>
      <c r="J14" s="19" t="s">
        <v>82</v>
      </c>
      <c r="K14" s="19" t="s">
        <v>21</v>
      </c>
      <c r="L14" s="10">
        <v>85000</v>
      </c>
      <c r="M14" s="95" t="str">
        <f t="shared" si="0"/>
        <v>SFI28N08</v>
      </c>
    </row>
    <row r="15" spans="3:13" x14ac:dyDescent="0.25">
      <c r="C15" s="18">
        <v>9</v>
      </c>
      <c r="D15" s="19" t="s">
        <v>349</v>
      </c>
      <c r="E15" s="95" t="str" cm="1">
        <f t="array" ref="E15:F15">_xlfn.TEXTSPLIT(D15," ")</f>
        <v>Rajeesh</v>
      </c>
      <c r="F15" s="95" t="str">
        <v>C</v>
      </c>
      <c r="G15" s="20">
        <v>31906</v>
      </c>
      <c r="H15" s="18" t="s">
        <v>32</v>
      </c>
      <c r="I15" s="19" t="s">
        <v>25</v>
      </c>
      <c r="J15" s="19" t="s">
        <v>33</v>
      </c>
      <c r="K15" s="19" t="s">
        <v>34</v>
      </c>
      <c r="L15" s="10">
        <v>87000</v>
      </c>
      <c r="M15" s="95" t="str">
        <f t="shared" si="0"/>
        <v>RIN29S09</v>
      </c>
    </row>
    <row r="16" spans="3:13" x14ac:dyDescent="0.25">
      <c r="C16" s="18">
        <v>10</v>
      </c>
      <c r="D16" s="19" t="s">
        <v>350</v>
      </c>
      <c r="E16" s="95" t="str" cm="1">
        <f t="array" ref="E16:F16">_xlfn.TEXTSPLIT(D16," ")</f>
        <v>Tulsidas</v>
      </c>
      <c r="F16" s="95" t="str">
        <v>Shetty</v>
      </c>
      <c r="G16" s="20">
        <v>33276</v>
      </c>
      <c r="H16" s="18" t="s">
        <v>18</v>
      </c>
      <c r="I16" s="19" t="s">
        <v>19</v>
      </c>
      <c r="J16" s="19" t="s">
        <v>26</v>
      </c>
      <c r="K16" s="19" t="s">
        <v>21</v>
      </c>
      <c r="L16" s="10">
        <v>81000</v>
      </c>
      <c r="M16" s="95" t="str">
        <f t="shared" si="0"/>
        <v>TDI31N10</v>
      </c>
    </row>
    <row r="17" spans="3:13" x14ac:dyDescent="0.25">
      <c r="C17" s="18">
        <v>11</v>
      </c>
      <c r="D17" s="19" t="s">
        <v>351</v>
      </c>
      <c r="E17" s="95" t="str" cm="1">
        <f t="array" ref="E17:F17">_xlfn.TEXTSPLIT(D17," ")</f>
        <v>Sachin</v>
      </c>
      <c r="F17" s="95" t="str">
        <v>Bangera</v>
      </c>
      <c r="G17" s="20">
        <v>33365</v>
      </c>
      <c r="H17" s="18" t="s">
        <v>18</v>
      </c>
      <c r="I17" s="19" t="s">
        <v>25</v>
      </c>
      <c r="J17" s="19" t="s">
        <v>26</v>
      </c>
      <c r="K17" s="19" t="s">
        <v>21</v>
      </c>
      <c r="L17" s="10">
        <v>35000</v>
      </c>
      <c r="M17" s="95" t="str">
        <f t="shared" si="0"/>
        <v>SDI31N11</v>
      </c>
    </row>
    <row r="18" spans="3:13" x14ac:dyDescent="0.25">
      <c r="C18" s="18">
        <v>12</v>
      </c>
      <c r="D18" s="19" t="s">
        <v>249</v>
      </c>
      <c r="E18" s="95" t="str" cm="1">
        <f t="array" ref="E18:F18">_xlfn.TEXTSPLIT(D18," ")</f>
        <v>Boneca</v>
      </c>
      <c r="F18" s="95" t="str">
        <v>Rego</v>
      </c>
      <c r="G18" s="20">
        <v>34028</v>
      </c>
      <c r="H18" s="18" t="s">
        <v>18</v>
      </c>
      <c r="I18" s="19" t="s">
        <v>25</v>
      </c>
      <c r="J18" s="19" t="s">
        <v>82</v>
      </c>
      <c r="K18" s="19" t="s">
        <v>52</v>
      </c>
      <c r="L18" s="10">
        <v>49000</v>
      </c>
      <c r="M18" s="95" t="str">
        <f t="shared" si="0"/>
        <v>BFI31E12</v>
      </c>
    </row>
    <row r="19" spans="3:13" x14ac:dyDescent="0.25">
      <c r="C19" s="18">
        <v>13</v>
      </c>
      <c r="D19" s="19" t="s">
        <v>250</v>
      </c>
      <c r="E19" s="95" t="str" cm="1">
        <f t="array" ref="E19:F19">_xlfn.TEXTSPLIT(D19," ")</f>
        <v>Rajeev</v>
      </c>
      <c r="F19" s="95" t="str">
        <v>Singh</v>
      </c>
      <c r="G19" s="20">
        <v>34037</v>
      </c>
      <c r="H19" s="18" t="s">
        <v>18</v>
      </c>
      <c r="I19" s="19" t="s">
        <v>19</v>
      </c>
      <c r="J19" s="19" t="s">
        <v>93</v>
      </c>
      <c r="K19" s="19" t="s">
        <v>21</v>
      </c>
      <c r="L19" s="10">
        <v>52000</v>
      </c>
      <c r="M19" s="95" t="str">
        <f t="shared" si="0"/>
        <v>RSA31N13</v>
      </c>
    </row>
    <row r="20" spans="3:13" x14ac:dyDescent="0.25">
      <c r="C20" s="18">
        <v>14</v>
      </c>
      <c r="D20" s="19" t="s">
        <v>251</v>
      </c>
      <c r="E20" s="95" t="str" cm="1">
        <f t="array" ref="E20:F20">_xlfn.TEXTSPLIT(D20," ")</f>
        <v>Gururaj</v>
      </c>
      <c r="F20" s="95" t="str">
        <v>Joshi</v>
      </c>
      <c r="G20" s="20">
        <v>34221</v>
      </c>
      <c r="H20" s="18" t="s">
        <v>32</v>
      </c>
      <c r="I20" s="19" t="s">
        <v>19</v>
      </c>
      <c r="J20" s="19" t="s">
        <v>45</v>
      </c>
      <c r="K20" s="19" t="s">
        <v>52</v>
      </c>
      <c r="L20" s="10">
        <v>43000</v>
      </c>
      <c r="M20" s="95" t="str">
        <f t="shared" si="0"/>
        <v>GLE31E14</v>
      </c>
    </row>
    <row r="21" spans="3:13" x14ac:dyDescent="0.25">
      <c r="C21" s="18">
        <v>15</v>
      </c>
      <c r="D21" s="19" t="s">
        <v>252</v>
      </c>
      <c r="E21" s="95" t="str" cm="1">
        <f t="array" ref="E21:F21">_xlfn.TEXTSPLIT(D21," ")</f>
        <v>Sudesh</v>
      </c>
      <c r="F21" s="95" t="str">
        <v>Pillai</v>
      </c>
      <c r="G21" s="20">
        <v>34368</v>
      </c>
      <c r="H21" s="18" t="s">
        <v>32</v>
      </c>
      <c r="I21" s="19" t="s">
        <v>25</v>
      </c>
      <c r="J21" s="19" t="s">
        <v>33</v>
      </c>
      <c r="K21" s="19" t="s">
        <v>52</v>
      </c>
      <c r="L21" s="10">
        <v>75000</v>
      </c>
      <c r="M21" s="95" t="str">
        <f t="shared" si="0"/>
        <v>SIN33E15</v>
      </c>
    </row>
    <row r="22" spans="3:13" x14ac:dyDescent="0.25">
      <c r="C22" s="18">
        <v>16</v>
      </c>
      <c r="D22" s="19" t="s">
        <v>253</v>
      </c>
      <c r="E22" s="95" t="str" cm="1">
        <f t="array" ref="E22:F22">_xlfn.TEXTSPLIT(D22," ")</f>
        <v>Yashraj</v>
      </c>
      <c r="F22" s="95" t="str">
        <v>Vaidya</v>
      </c>
      <c r="G22" s="20">
        <v>34966</v>
      </c>
      <c r="H22" s="18" t="s">
        <v>32</v>
      </c>
      <c r="I22" s="19" t="s">
        <v>25</v>
      </c>
      <c r="J22" s="19" t="s">
        <v>65</v>
      </c>
      <c r="K22" s="19" t="s">
        <v>21</v>
      </c>
      <c r="L22" s="10">
        <v>26000</v>
      </c>
      <c r="M22" s="95" t="str">
        <f t="shared" si="0"/>
        <v>YCC33N16</v>
      </c>
    </row>
    <row r="23" spans="3:13" x14ac:dyDescent="0.25">
      <c r="C23" s="18">
        <v>17</v>
      </c>
      <c r="D23" s="19" t="s">
        <v>254</v>
      </c>
      <c r="E23" s="95" t="str" cm="1">
        <f t="array" ref="E23:F23">_xlfn.TEXTSPLIT(D23," ")</f>
        <v>Dinesh</v>
      </c>
      <c r="F23" s="95" t="str">
        <v>Dhanuka</v>
      </c>
      <c r="G23" s="20">
        <v>35337</v>
      </c>
      <c r="H23" s="18" t="s">
        <v>32</v>
      </c>
      <c r="I23" s="19" t="s">
        <v>25</v>
      </c>
      <c r="J23" s="19" t="s">
        <v>26</v>
      </c>
      <c r="K23" s="19" t="s">
        <v>52</v>
      </c>
      <c r="L23" s="10">
        <v>92000</v>
      </c>
      <c r="M23" s="95" t="str">
        <f t="shared" si="0"/>
        <v>DDI34E17</v>
      </c>
    </row>
    <row r="24" spans="3:13" x14ac:dyDescent="0.25">
      <c r="C24" s="18">
        <v>18</v>
      </c>
      <c r="D24" s="19" t="s">
        <v>255</v>
      </c>
      <c r="E24" s="95" t="str" cm="1">
        <f t="array" ref="E24:F24">_xlfn.TEXTSPLIT(D24," ")</f>
        <v>Yogesh</v>
      </c>
      <c r="F24" s="95" t="str">
        <v>Mansharamani</v>
      </c>
      <c r="G24" s="20">
        <v>35819</v>
      </c>
      <c r="H24" s="18" t="s">
        <v>18</v>
      </c>
      <c r="I24" s="19" t="s">
        <v>25</v>
      </c>
      <c r="J24" s="19" t="s">
        <v>20</v>
      </c>
      <c r="K24" s="19" t="s">
        <v>34</v>
      </c>
      <c r="L24" s="10">
        <v>62000</v>
      </c>
      <c r="M24" s="95" t="str">
        <f t="shared" si="0"/>
        <v>YFL34S18</v>
      </c>
    </row>
    <row r="25" spans="3:13" x14ac:dyDescent="0.25">
      <c r="C25" s="18">
        <v>19</v>
      </c>
      <c r="D25" s="19" t="s">
        <v>256</v>
      </c>
      <c r="E25" s="95" t="str" cm="1">
        <f t="array" ref="E25:F25">_xlfn.TEXTSPLIT(D25," ")</f>
        <v>Ram</v>
      </c>
      <c r="F25" s="95" t="str">
        <v>Ambradkar</v>
      </c>
      <c r="G25" s="20">
        <v>36199</v>
      </c>
      <c r="H25" s="18" t="s">
        <v>18</v>
      </c>
      <c r="I25" s="19" t="s">
        <v>19</v>
      </c>
      <c r="J25" s="19" t="s">
        <v>20</v>
      </c>
      <c r="K25" s="19" t="s">
        <v>21</v>
      </c>
      <c r="L25" s="10">
        <v>48000</v>
      </c>
      <c r="M25" s="95" t="str">
        <f t="shared" si="0"/>
        <v>RFL34N19</v>
      </c>
    </row>
    <row r="26" spans="3:13" x14ac:dyDescent="0.25">
      <c r="C26" s="18">
        <v>20</v>
      </c>
      <c r="D26" s="19" t="s">
        <v>257</v>
      </c>
      <c r="E26" s="95" t="str" cm="1">
        <f t="array" ref="E26:F26">_xlfn.TEXTSPLIT(D26," ")</f>
        <v>Ruffina</v>
      </c>
      <c r="F26" s="95" t="str">
        <v>Joshi</v>
      </c>
      <c r="G26" s="20">
        <v>36279</v>
      </c>
      <c r="H26" s="18" t="s">
        <v>18</v>
      </c>
      <c r="I26" s="19" t="s">
        <v>19</v>
      </c>
      <c r="J26" s="19" t="s">
        <v>62</v>
      </c>
      <c r="K26" s="19" t="s">
        <v>52</v>
      </c>
      <c r="L26" s="10">
        <v>90000</v>
      </c>
      <c r="M26" s="95" t="str">
        <f t="shared" si="0"/>
        <v>RCE34E20</v>
      </c>
    </row>
    <row r="27" spans="3:13" x14ac:dyDescent="0.25">
      <c r="C27" s="18">
        <v>21</v>
      </c>
      <c r="D27" s="19" t="s">
        <v>258</v>
      </c>
      <c r="E27" s="95" t="str" cm="1">
        <f t="array" ref="E27:F27">_xlfn.TEXTSPLIT(D27," ")</f>
        <v>Simon</v>
      </c>
      <c r="F27" s="95" t="str">
        <v>Rodrigues</v>
      </c>
      <c r="G27" s="20">
        <v>36478</v>
      </c>
      <c r="H27" s="18" t="s">
        <v>32</v>
      </c>
      <c r="I27" s="19" t="s">
        <v>19</v>
      </c>
      <c r="J27" s="19" t="s">
        <v>82</v>
      </c>
      <c r="K27" s="19" t="s">
        <v>46</v>
      </c>
      <c r="L27" s="10">
        <v>83000</v>
      </c>
      <c r="M27" s="95" t="str">
        <f t="shared" si="0"/>
        <v>SFI34M21</v>
      </c>
    </row>
    <row r="28" spans="3:13" x14ac:dyDescent="0.25">
      <c r="C28" s="18">
        <v>22</v>
      </c>
      <c r="D28" s="19" t="s">
        <v>259</v>
      </c>
      <c r="E28" s="95" t="str" cm="1">
        <f t="array" ref="E28:F28">_xlfn.TEXTSPLIT(D28," ")</f>
        <v>Dhiren</v>
      </c>
      <c r="F28" s="95" t="str">
        <v>Sheth</v>
      </c>
      <c r="G28" s="20">
        <v>37027</v>
      </c>
      <c r="H28" s="18" t="s">
        <v>32</v>
      </c>
      <c r="I28" s="19" t="s">
        <v>19</v>
      </c>
      <c r="J28" s="19" t="s">
        <v>65</v>
      </c>
      <c r="K28" s="19" t="s">
        <v>52</v>
      </c>
      <c r="L28" s="10">
        <v>47000</v>
      </c>
      <c r="M28" s="95" t="str">
        <f t="shared" si="0"/>
        <v>DCC35E22</v>
      </c>
    </row>
    <row r="29" spans="3:13" x14ac:dyDescent="0.25">
      <c r="C29" s="18">
        <v>23</v>
      </c>
      <c r="D29" s="19" t="s">
        <v>260</v>
      </c>
      <c r="E29" s="95" t="str" cm="1">
        <f t="array" ref="E29:F29">_xlfn.TEXTSPLIT(D29," ")</f>
        <v>Ashok</v>
      </c>
      <c r="F29" s="95" t="str">
        <v>Samtaney</v>
      </c>
      <c r="G29" s="20">
        <v>37946</v>
      </c>
      <c r="H29" s="18" t="s">
        <v>18</v>
      </c>
      <c r="I29" s="19" t="s">
        <v>19</v>
      </c>
      <c r="J29" s="19" t="s">
        <v>93</v>
      </c>
      <c r="K29" s="19" t="s">
        <v>34</v>
      </c>
      <c r="L29" s="10">
        <v>53000</v>
      </c>
      <c r="M29" s="95" t="str">
        <f t="shared" si="0"/>
        <v>ASA35S23</v>
      </c>
    </row>
    <row r="30" spans="3:13" x14ac:dyDescent="0.25">
      <c r="C30" s="18">
        <v>24</v>
      </c>
      <c r="D30" s="19" t="s">
        <v>352</v>
      </c>
      <c r="E30" s="95" t="str" cm="1">
        <f t="array" ref="E30:F30">_xlfn.TEXTSPLIT(D30," ")</f>
        <v>Vishnu</v>
      </c>
      <c r="F30" s="95" t="str">
        <v>Desai</v>
      </c>
      <c r="G30" s="20">
        <v>38113</v>
      </c>
      <c r="H30" s="18" t="s">
        <v>32</v>
      </c>
      <c r="I30" s="19" t="s">
        <v>19</v>
      </c>
      <c r="J30" s="19" t="s">
        <v>26</v>
      </c>
      <c r="K30" s="19" t="s">
        <v>46</v>
      </c>
      <c r="L30" s="10">
        <v>45000</v>
      </c>
      <c r="M30" s="95" t="str">
        <f t="shared" si="0"/>
        <v>VDI36M24</v>
      </c>
    </row>
    <row r="31" spans="3:13" x14ac:dyDescent="0.25">
      <c r="C31" s="18">
        <v>25</v>
      </c>
      <c r="D31" s="19" t="s">
        <v>353</v>
      </c>
      <c r="E31" s="95" t="str" cm="1">
        <f t="array" ref="E31:F31">_xlfn.TEXTSPLIT(D31," ")</f>
        <v>Raju</v>
      </c>
      <c r="F31" s="95" t="str">
        <v>Manek</v>
      </c>
      <c r="G31" s="20">
        <v>38449</v>
      </c>
      <c r="H31" s="18" t="s">
        <v>18</v>
      </c>
      <c r="I31" s="19" t="s">
        <v>19</v>
      </c>
      <c r="J31" s="19" t="s">
        <v>65</v>
      </c>
      <c r="K31" s="19" t="s">
        <v>34</v>
      </c>
      <c r="L31" s="10">
        <v>85000</v>
      </c>
      <c r="M31" s="95" t="str">
        <f t="shared" si="0"/>
        <v>RCC36S25</v>
      </c>
    </row>
    <row r="32" spans="3:13" x14ac:dyDescent="0.25">
      <c r="C32" s="18">
        <v>26</v>
      </c>
      <c r="D32" s="19" t="s">
        <v>354</v>
      </c>
      <c r="E32" s="95" t="str" cm="1">
        <f t="array" ref="E32:F32">_xlfn.TEXTSPLIT(D32," ")</f>
        <v>Jagjit</v>
      </c>
      <c r="F32" s="95" t="str">
        <v>Kahlon</v>
      </c>
      <c r="G32" s="20">
        <v>39846</v>
      </c>
      <c r="H32" s="18" t="s">
        <v>32</v>
      </c>
      <c r="I32" s="19" t="s">
        <v>19</v>
      </c>
      <c r="J32" s="19" t="s">
        <v>65</v>
      </c>
      <c r="K32" s="19" t="s">
        <v>52</v>
      </c>
      <c r="L32" s="10">
        <v>34000</v>
      </c>
      <c r="M32" s="95" t="str">
        <f t="shared" si="0"/>
        <v>JCC36E26</v>
      </c>
    </row>
    <row r="33" spans="3:13" x14ac:dyDescent="0.25">
      <c r="C33" s="18">
        <v>27</v>
      </c>
      <c r="D33" s="19" t="s">
        <v>355</v>
      </c>
      <c r="E33" s="95" t="str" cm="1">
        <f t="array" ref="E33:F33">_xlfn.TEXTSPLIT(D33," ")</f>
        <v>Satish</v>
      </c>
      <c r="F33" s="95" t="str">
        <v>Pasari</v>
      </c>
      <c r="G33" s="20">
        <v>40330</v>
      </c>
      <c r="H33" s="18" t="s">
        <v>32</v>
      </c>
      <c r="I33" s="19" t="s">
        <v>19</v>
      </c>
      <c r="J33" s="19" t="s">
        <v>33</v>
      </c>
      <c r="K33" s="19" t="s">
        <v>46</v>
      </c>
      <c r="L33" s="10">
        <v>15000</v>
      </c>
      <c r="M33" s="95" t="str">
        <f t="shared" si="0"/>
        <v>SIN37M27</v>
      </c>
    </row>
    <row r="34" spans="3:13" x14ac:dyDescent="0.25">
      <c r="C34" s="18">
        <v>28</v>
      </c>
      <c r="D34" s="19" t="s">
        <v>356</v>
      </c>
      <c r="E34" s="95" t="str" cm="1">
        <f t="array" ref="E34:F34">_xlfn.TEXTSPLIT(D34," ")</f>
        <v>Kawdoor</v>
      </c>
      <c r="F34" s="95" t="str">
        <v>Shetty</v>
      </c>
      <c r="G34" s="20">
        <v>40495</v>
      </c>
      <c r="H34" s="18" t="s">
        <v>18</v>
      </c>
      <c r="I34" s="19" t="s">
        <v>19</v>
      </c>
      <c r="J34" s="19" t="s">
        <v>93</v>
      </c>
      <c r="K34" s="19" t="s">
        <v>34</v>
      </c>
      <c r="L34" s="10">
        <v>57000</v>
      </c>
      <c r="M34" s="95" t="str">
        <f t="shared" si="0"/>
        <v>KSA37S28</v>
      </c>
    </row>
    <row r="35" spans="3:13" x14ac:dyDescent="0.25">
      <c r="C35" s="18">
        <v>29</v>
      </c>
      <c r="D35" s="19" t="s">
        <v>357</v>
      </c>
      <c r="E35" s="95" t="str" cm="1">
        <f t="array" ref="E35:F35">_xlfn.TEXTSPLIT(D35," ")</f>
        <v>Jitendra</v>
      </c>
      <c r="F35" s="95" t="str">
        <v>Thacker</v>
      </c>
      <c r="G35" s="20">
        <v>40574</v>
      </c>
      <c r="H35" s="18" t="s">
        <v>32</v>
      </c>
      <c r="I35" s="19" t="s">
        <v>19</v>
      </c>
      <c r="J35" s="19" t="s">
        <v>38</v>
      </c>
      <c r="K35" s="19" t="s">
        <v>46</v>
      </c>
      <c r="L35" s="10">
        <v>47000</v>
      </c>
      <c r="M35" s="95" t="str">
        <f t="shared" si="0"/>
        <v>JMA38M29</v>
      </c>
    </row>
    <row r="36" spans="3:13" x14ac:dyDescent="0.25">
      <c r="C36" s="18">
        <v>30</v>
      </c>
      <c r="D36" s="19" t="s">
        <v>358</v>
      </c>
      <c r="E36" s="95" t="str" cm="1">
        <f t="array" ref="E36:F36">_xlfn.TEXTSPLIT(D36," ")</f>
        <v>Dattatray</v>
      </c>
      <c r="F36" s="95" t="str">
        <v>Desai</v>
      </c>
      <c r="G36" s="20">
        <v>41400</v>
      </c>
      <c r="H36" s="18" t="s">
        <v>32</v>
      </c>
      <c r="I36" s="19" t="s">
        <v>19</v>
      </c>
      <c r="J36" s="19" t="s">
        <v>45</v>
      </c>
      <c r="K36" s="19" t="s">
        <v>46</v>
      </c>
      <c r="L36" s="10">
        <v>77000</v>
      </c>
      <c r="M36" s="95" t="str">
        <f t="shared" si="0"/>
        <v>DLE38M30</v>
      </c>
    </row>
    <row r="37" spans="3:13" x14ac:dyDescent="0.25">
      <c r="C37" s="18">
        <v>31</v>
      </c>
      <c r="D37" s="19" t="s">
        <v>359</v>
      </c>
      <c r="E37" s="95" t="str" cm="1">
        <f t="array" ref="E37:F37">_xlfn.TEXTSPLIT(D37," ")</f>
        <v>Piyush</v>
      </c>
      <c r="F37" s="95" t="str">
        <v>Kamdar</v>
      </c>
      <c r="G37" s="20">
        <v>42027</v>
      </c>
      <c r="H37" s="18" t="s">
        <v>32</v>
      </c>
      <c r="I37" s="19" t="s">
        <v>19</v>
      </c>
      <c r="J37" s="19" t="s">
        <v>26</v>
      </c>
      <c r="K37" s="19" t="s">
        <v>34</v>
      </c>
      <c r="L37" s="10">
        <v>82000</v>
      </c>
      <c r="M37" s="95" t="str">
        <f t="shared" si="0"/>
        <v>PDI39S31</v>
      </c>
    </row>
    <row r="38" spans="3:13" x14ac:dyDescent="0.25">
      <c r="C38" s="18">
        <v>32</v>
      </c>
      <c r="D38" s="19" t="s">
        <v>360</v>
      </c>
      <c r="E38" s="95" t="str" cm="1">
        <f t="array" ref="E38:F38">_xlfn.TEXTSPLIT(D38," ")</f>
        <v>D</v>
      </c>
      <c r="F38" s="95" t="str">
        <v>Kulkarni</v>
      </c>
      <c r="G38" s="20">
        <v>42124</v>
      </c>
      <c r="H38" s="18" t="s">
        <v>32</v>
      </c>
      <c r="I38" s="19" t="s">
        <v>19</v>
      </c>
      <c r="J38" s="19" t="s">
        <v>33</v>
      </c>
      <c r="K38" s="19" t="s">
        <v>34</v>
      </c>
      <c r="L38" s="10">
        <v>67000</v>
      </c>
      <c r="M38" s="95" t="str">
        <f t="shared" si="0"/>
        <v>DIN40S32</v>
      </c>
    </row>
    <row r="39" spans="3:13" x14ac:dyDescent="0.25">
      <c r="C39" s="18">
        <v>33</v>
      </c>
      <c r="D39" s="19" t="s">
        <v>361</v>
      </c>
      <c r="E39" s="95" t="str" cm="1">
        <f t="array" ref="E39:F39">_xlfn.TEXTSPLIT(D39," ")</f>
        <v>Praful</v>
      </c>
      <c r="F39" s="95" t="str">
        <v>Savla</v>
      </c>
      <c r="G39" s="20">
        <v>42208</v>
      </c>
      <c r="H39" s="18" t="s">
        <v>32</v>
      </c>
      <c r="I39" s="19" t="s">
        <v>19</v>
      </c>
      <c r="J39" s="19" t="s">
        <v>79</v>
      </c>
      <c r="K39" s="19" t="s">
        <v>34</v>
      </c>
      <c r="L39" s="10">
        <v>65000</v>
      </c>
      <c r="M39" s="95" t="str">
        <f t="shared" si="0"/>
        <v>POP40S33</v>
      </c>
    </row>
    <row r="40" spans="3:13" x14ac:dyDescent="0.25">
      <c r="C40" s="18">
        <v>34</v>
      </c>
      <c r="D40" s="19" t="s">
        <v>362</v>
      </c>
      <c r="E40" s="95" t="str" cm="1">
        <f t="array" ref="E40:F40">_xlfn.TEXTSPLIT(D40," ")</f>
        <v>Sharadchandra</v>
      </c>
      <c r="F40" s="95" t="str">
        <v>Riswadkar</v>
      </c>
      <c r="G40" s="20">
        <v>42400</v>
      </c>
      <c r="H40" s="18" t="s">
        <v>32</v>
      </c>
      <c r="I40" s="19" t="s">
        <v>19</v>
      </c>
      <c r="J40" s="19" t="s">
        <v>65</v>
      </c>
      <c r="K40" s="19" t="s">
        <v>34</v>
      </c>
      <c r="L40" s="10">
        <v>50000</v>
      </c>
      <c r="M40" s="95" t="str">
        <f t="shared" si="0"/>
        <v>SCC40S34</v>
      </c>
    </row>
    <row r="41" spans="3:13" x14ac:dyDescent="0.25">
      <c r="C41" s="18">
        <v>35</v>
      </c>
      <c r="D41" s="19" t="s">
        <v>363</v>
      </c>
      <c r="E41" s="95" t="str" cm="1">
        <f t="array" ref="E41:F41">_xlfn.TEXTSPLIT(D41," ")</f>
        <v>Nitin</v>
      </c>
      <c r="F41" s="95" t="str">
        <v>Patki</v>
      </c>
      <c r="G41" s="20">
        <v>42629</v>
      </c>
      <c r="H41" s="18" t="s">
        <v>18</v>
      </c>
      <c r="I41" s="19" t="s">
        <v>19</v>
      </c>
      <c r="J41" s="19" t="s">
        <v>79</v>
      </c>
      <c r="K41" s="19" t="s">
        <v>34</v>
      </c>
      <c r="L41" s="10">
        <v>81000</v>
      </c>
      <c r="M41" s="95" t="str">
        <f t="shared" si="0"/>
        <v>NOP41S35</v>
      </c>
    </row>
    <row r="42" spans="3:13" x14ac:dyDescent="0.25">
      <c r="C42" s="18">
        <v>36</v>
      </c>
      <c r="D42" s="19" t="s">
        <v>364</v>
      </c>
      <c r="E42" s="95" t="str" cm="1">
        <f t="array" ref="E42:F42">_xlfn.TEXTSPLIT(D42," ")</f>
        <v>Shankar</v>
      </c>
      <c r="F42" s="95" t="str">
        <v>Shetty</v>
      </c>
      <c r="G42" s="20">
        <v>42773</v>
      </c>
      <c r="H42" s="18" t="s">
        <v>18</v>
      </c>
      <c r="I42" s="19" t="s">
        <v>19</v>
      </c>
      <c r="J42" s="19" t="s">
        <v>41</v>
      </c>
      <c r="K42" s="19" t="s">
        <v>34</v>
      </c>
      <c r="L42" s="10">
        <v>87000</v>
      </c>
      <c r="M42" s="95" t="str">
        <f t="shared" si="0"/>
        <v>SDI42S36</v>
      </c>
    </row>
    <row r="43" spans="3:13" x14ac:dyDescent="0.25">
      <c r="C43" s="18">
        <v>37</v>
      </c>
      <c r="D43" s="19" t="s">
        <v>365</v>
      </c>
      <c r="E43" s="95" t="str" cm="1">
        <f t="array" ref="E43:F43">_xlfn.TEXTSPLIT(D43," ")</f>
        <v>Venitha</v>
      </c>
      <c r="F43" s="95" t="str">
        <v>Shetty</v>
      </c>
      <c r="G43" s="20">
        <v>42890</v>
      </c>
      <c r="H43" s="18" t="s">
        <v>18</v>
      </c>
      <c r="I43" s="19" t="s">
        <v>19</v>
      </c>
      <c r="J43" s="19" t="s">
        <v>38</v>
      </c>
      <c r="K43" s="19" t="s">
        <v>52</v>
      </c>
      <c r="L43" s="10">
        <v>27000</v>
      </c>
      <c r="M43" s="95" t="str">
        <f t="shared" si="0"/>
        <v>VMA42E37</v>
      </c>
    </row>
    <row r="44" spans="3:13" x14ac:dyDescent="0.25">
      <c r="C44" s="18">
        <v>38</v>
      </c>
      <c r="D44" s="19" t="s">
        <v>366</v>
      </c>
      <c r="E44" s="95" t="str" cm="1">
        <f t="array" ref="E44:F44">_xlfn.TEXTSPLIT(D44," ")</f>
        <v>Prem</v>
      </c>
      <c r="F44" s="95" t="str">
        <v>Pherwani</v>
      </c>
      <c r="G44" s="20">
        <v>43092</v>
      </c>
      <c r="H44" s="18" t="s">
        <v>32</v>
      </c>
      <c r="I44" s="19" t="s">
        <v>19</v>
      </c>
      <c r="J44" s="19" t="s">
        <v>82</v>
      </c>
      <c r="K44" s="19" t="s">
        <v>34</v>
      </c>
      <c r="L44" s="10">
        <v>19000</v>
      </c>
      <c r="M44" s="95" t="str">
        <f t="shared" si="0"/>
        <v>PFI42S38</v>
      </c>
    </row>
  </sheetData>
  <mergeCells count="2">
    <mergeCell ref="D1:I1"/>
    <mergeCell ref="D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3105-F4ED-4405-B65A-70376EB1841B}">
  <dimension ref="B1:AD42"/>
  <sheetViews>
    <sheetView topLeftCell="M1" workbookViewId="0">
      <selection activeCell="X5" sqref="X5"/>
    </sheetView>
  </sheetViews>
  <sheetFormatPr defaultRowHeight="15" x14ac:dyDescent="0.25"/>
  <cols>
    <col min="4" max="4" width="11.5703125" customWidth="1"/>
    <col min="5" max="5" width="12.42578125" customWidth="1"/>
    <col min="10" max="10" width="11.28515625" customWidth="1"/>
    <col min="12" max="12" width="18.85546875" customWidth="1"/>
    <col min="13" max="13" width="19.85546875" customWidth="1"/>
    <col min="22" max="22" width="9.140625" customWidth="1"/>
    <col min="23" max="23" width="23.85546875" customWidth="1"/>
  </cols>
  <sheetData>
    <row r="1" spans="2:30" x14ac:dyDescent="0.25">
      <c r="B1" s="51" t="s">
        <v>6</v>
      </c>
      <c r="C1" s="51" t="s">
        <v>7</v>
      </c>
      <c r="D1" s="51" t="s">
        <v>8</v>
      </c>
      <c r="E1" s="51" t="s">
        <v>9</v>
      </c>
      <c r="F1" s="51" t="s">
        <v>10</v>
      </c>
      <c r="G1" s="51" t="s">
        <v>11</v>
      </c>
      <c r="H1" s="51" t="s">
        <v>12</v>
      </c>
      <c r="I1" s="51" t="s">
        <v>13</v>
      </c>
      <c r="J1" s="51" t="s">
        <v>14</v>
      </c>
      <c r="P1" s="174" t="s">
        <v>502</v>
      </c>
      <c r="Q1" s="174"/>
      <c r="R1" s="174"/>
      <c r="S1" s="174"/>
      <c r="T1" s="174"/>
      <c r="U1" s="174"/>
      <c r="V1" s="174"/>
    </row>
    <row r="2" spans="2:30" x14ac:dyDescent="0.25">
      <c r="B2" s="4">
        <v>150834</v>
      </c>
      <c r="C2" s="5" t="s">
        <v>16</v>
      </c>
      <c r="D2" s="5" t="s">
        <v>17</v>
      </c>
      <c r="E2" s="6">
        <v>31199</v>
      </c>
      <c r="F2" s="7" t="s">
        <v>18</v>
      </c>
      <c r="G2" s="5" t="s">
        <v>19</v>
      </c>
      <c r="H2" s="5" t="s">
        <v>20</v>
      </c>
      <c r="I2" s="5" t="s">
        <v>21</v>
      </c>
      <c r="J2" s="2">
        <v>48000</v>
      </c>
      <c r="P2" s="174" t="s">
        <v>503</v>
      </c>
      <c r="Q2" s="174"/>
      <c r="R2" s="174"/>
      <c r="S2" s="174"/>
      <c r="T2" s="174"/>
      <c r="U2" s="174"/>
      <c r="V2" s="174"/>
    </row>
    <row r="3" spans="2:30" x14ac:dyDescent="0.25">
      <c r="B3" s="4">
        <v>150784</v>
      </c>
      <c r="C3" s="5" t="s">
        <v>23</v>
      </c>
      <c r="D3" s="5" t="s">
        <v>24</v>
      </c>
      <c r="E3" s="6">
        <v>28365</v>
      </c>
      <c r="F3" s="7" t="s">
        <v>18</v>
      </c>
      <c r="G3" s="5" t="s">
        <v>25</v>
      </c>
      <c r="H3" s="5" t="s">
        <v>26</v>
      </c>
      <c r="I3" s="5" t="s">
        <v>21</v>
      </c>
      <c r="J3" s="2">
        <v>35000</v>
      </c>
      <c r="P3" s="174" t="s">
        <v>504</v>
      </c>
      <c r="Q3" s="174"/>
      <c r="R3" s="174"/>
      <c r="S3" s="174"/>
      <c r="T3" s="174"/>
      <c r="U3" s="174"/>
      <c r="V3" s="174"/>
    </row>
    <row r="4" spans="2:30" x14ac:dyDescent="0.25">
      <c r="B4" s="4">
        <v>150791</v>
      </c>
      <c r="C4" s="5" t="s">
        <v>28</v>
      </c>
      <c r="D4" s="5" t="s">
        <v>29</v>
      </c>
      <c r="E4" s="6">
        <v>23346</v>
      </c>
      <c r="F4" s="7" t="s">
        <v>18</v>
      </c>
      <c r="G4" s="5" t="s">
        <v>19</v>
      </c>
      <c r="H4" s="5" t="s">
        <v>26</v>
      </c>
      <c r="I4" s="5" t="s">
        <v>21</v>
      </c>
      <c r="J4" s="2">
        <v>67000</v>
      </c>
      <c r="L4" s="177" t="s">
        <v>368</v>
      </c>
      <c r="M4" s="177"/>
      <c r="P4" s="51" t="s">
        <v>6</v>
      </c>
      <c r="Q4" s="51" t="s">
        <v>7</v>
      </c>
      <c r="R4" s="51" t="s">
        <v>8</v>
      </c>
      <c r="S4" s="51" t="s">
        <v>9</v>
      </c>
      <c r="T4" s="51" t="s">
        <v>10</v>
      </c>
      <c r="U4" s="51" t="s">
        <v>11</v>
      </c>
      <c r="V4" s="99" t="s">
        <v>13</v>
      </c>
      <c r="W4" s="51" t="s">
        <v>12</v>
      </c>
      <c r="X4" s="51" t="s">
        <v>369</v>
      </c>
    </row>
    <row r="5" spans="2:30" x14ac:dyDescent="0.25">
      <c r="B5" s="4">
        <v>150940</v>
      </c>
      <c r="C5" s="5" t="s">
        <v>30</v>
      </c>
      <c r="D5" s="5" t="s">
        <v>31</v>
      </c>
      <c r="E5" s="6">
        <v>26906</v>
      </c>
      <c r="F5" s="7" t="s">
        <v>32</v>
      </c>
      <c r="G5" s="5" t="s">
        <v>25</v>
      </c>
      <c r="H5" s="5" t="s">
        <v>33</v>
      </c>
      <c r="I5" s="5" t="s">
        <v>34</v>
      </c>
      <c r="J5" s="2">
        <v>87000</v>
      </c>
      <c r="P5">
        <v>150834</v>
      </c>
      <c r="Q5" s="100" t="s">
        <v>16</v>
      </c>
      <c r="R5" s="100" t="s">
        <v>17</v>
      </c>
      <c r="S5">
        <v>31199</v>
      </c>
      <c r="T5" s="100" t="s">
        <v>18</v>
      </c>
      <c r="U5" s="100" t="s">
        <v>19</v>
      </c>
      <c r="V5" t="str">
        <f>IFERROR(VLOOKUP(P5, $AA$5:$AD$40, MATCH("Region", $AA$5:$AD$5,0 ), FALSE), "Retired")</f>
        <v>North</v>
      </c>
      <c r="W5" t="str">
        <f>IFERROR(VLOOKUP(P5, $AA$5:$AD$40, MATCH("Department", $AA$5:$AD$5,0 ), FALSE), "Retired")</f>
        <v>FLM</v>
      </c>
      <c r="X5">
        <f>IFERROR(VLOOKUP(P5, $AA$5:$AD$40, MATCH("Salary", $AA$5:$AD$5,0 ), FALSE), "Retired")</f>
        <v>48000</v>
      </c>
      <c r="AA5" s="51" t="s">
        <v>6</v>
      </c>
      <c r="AB5" s="51" t="s">
        <v>12</v>
      </c>
      <c r="AC5" s="51" t="s">
        <v>13</v>
      </c>
      <c r="AD5" s="51" t="s">
        <v>369</v>
      </c>
    </row>
    <row r="6" spans="2:30" x14ac:dyDescent="0.25">
      <c r="B6" s="4">
        <v>150777</v>
      </c>
      <c r="C6" s="5" t="s">
        <v>36</v>
      </c>
      <c r="D6" s="5" t="s">
        <v>37</v>
      </c>
      <c r="E6" s="6">
        <v>21123</v>
      </c>
      <c r="F6" s="7" t="s">
        <v>32</v>
      </c>
      <c r="G6" s="5" t="s">
        <v>19</v>
      </c>
      <c r="H6" s="5" t="s">
        <v>38</v>
      </c>
      <c r="I6" s="5" t="s">
        <v>21</v>
      </c>
      <c r="J6" s="2">
        <v>22000</v>
      </c>
      <c r="L6" s="96" t="s">
        <v>367</v>
      </c>
      <c r="M6" s="97" t="s">
        <v>337</v>
      </c>
      <c r="P6">
        <v>150784</v>
      </c>
      <c r="Q6" s="100" t="s">
        <v>23</v>
      </c>
      <c r="R6" s="100" t="s">
        <v>24</v>
      </c>
      <c r="S6">
        <v>28365</v>
      </c>
      <c r="T6" s="100" t="s">
        <v>18</v>
      </c>
      <c r="U6" s="100" t="s">
        <v>25</v>
      </c>
      <c r="V6" t="str">
        <f t="shared" ref="V6:V42" si="0">IFERROR(VLOOKUP(P6, $AA$5:$AD$40, MATCH("Region", $AA$5:$AD$5,0 ), FALSE), "Retired")</f>
        <v>North</v>
      </c>
      <c r="W6" t="str">
        <f t="shared" ref="W6:W42" si="1">IFERROR(VLOOKUP(P6, $AA$5:$AD$40, MATCH("Department", $AA$5:$AD$5,0 ), FALSE), "Retired")</f>
        <v>Digital Marketing</v>
      </c>
      <c r="X6">
        <f t="shared" ref="X6:X42" si="2">IFERROR(VLOOKUP(P6, $AA$5:$AD$40, MATCH("Salary", $AA$5:$AD$5,0 ), FALSE), "Retired")</f>
        <v>35000</v>
      </c>
      <c r="AA6" s="4">
        <v>150773</v>
      </c>
      <c r="AB6" s="5" t="s">
        <v>82</v>
      </c>
      <c r="AC6" s="5" t="s">
        <v>21</v>
      </c>
      <c r="AD6" s="2">
        <v>85000</v>
      </c>
    </row>
    <row r="7" spans="2:30" x14ac:dyDescent="0.25">
      <c r="B7" s="4">
        <v>150805</v>
      </c>
      <c r="C7" s="5" t="s">
        <v>28</v>
      </c>
      <c r="D7" s="5" t="s">
        <v>40</v>
      </c>
      <c r="E7" s="6">
        <v>26172</v>
      </c>
      <c r="F7" s="7" t="s">
        <v>32</v>
      </c>
      <c r="G7" s="5" t="s">
        <v>19</v>
      </c>
      <c r="H7" s="5" t="s">
        <v>41</v>
      </c>
      <c r="I7" s="5" t="s">
        <v>21</v>
      </c>
      <c r="J7" s="2">
        <v>91000</v>
      </c>
      <c r="L7" s="98" t="s">
        <v>22</v>
      </c>
      <c r="M7" s="10" t="str">
        <f>_xlfn.XLOOKUP(MAX(J2:J39),J2:J39,C2:C39)</f>
        <v>Dinesh</v>
      </c>
      <c r="P7">
        <v>150791</v>
      </c>
      <c r="Q7" s="100" t="s">
        <v>28</v>
      </c>
      <c r="R7" s="100" t="s">
        <v>29</v>
      </c>
      <c r="S7">
        <v>23346</v>
      </c>
      <c r="T7" s="100" t="s">
        <v>18</v>
      </c>
      <c r="U7" s="100" t="s">
        <v>19</v>
      </c>
      <c r="V7" t="str">
        <f t="shared" si="0"/>
        <v>North</v>
      </c>
      <c r="W7" t="str">
        <f t="shared" si="1"/>
        <v>Digital Marketing</v>
      </c>
      <c r="X7">
        <f t="shared" si="2"/>
        <v>67000</v>
      </c>
      <c r="AA7" s="4">
        <v>150777</v>
      </c>
      <c r="AB7" s="5" t="s">
        <v>38</v>
      </c>
      <c r="AC7" s="5" t="s">
        <v>21</v>
      </c>
      <c r="AD7" s="2">
        <v>22000</v>
      </c>
    </row>
    <row r="8" spans="2:30" x14ac:dyDescent="0.25">
      <c r="B8" s="4">
        <v>150990</v>
      </c>
      <c r="C8" s="5" t="s">
        <v>43</v>
      </c>
      <c r="D8" s="5" t="s">
        <v>44</v>
      </c>
      <c r="E8" s="6">
        <v>36400</v>
      </c>
      <c r="F8" s="7" t="s">
        <v>32</v>
      </c>
      <c r="G8" s="5" t="s">
        <v>19</v>
      </c>
      <c r="H8" s="5" t="s">
        <v>45</v>
      </c>
      <c r="I8" s="5" t="s">
        <v>46</v>
      </c>
      <c r="J8" s="2">
        <v>77000</v>
      </c>
      <c r="L8" s="98" t="s">
        <v>27</v>
      </c>
      <c r="M8" s="10" t="str">
        <f>_xlfn.XLOOKUP(MIN(J2:J39),J2:J39,C2:C39)</f>
        <v>Satish</v>
      </c>
      <c r="P8">
        <v>150940</v>
      </c>
      <c r="Q8" s="100" t="s">
        <v>30</v>
      </c>
      <c r="R8" s="100" t="s">
        <v>31</v>
      </c>
      <c r="S8">
        <v>26906</v>
      </c>
      <c r="T8" s="100" t="s">
        <v>32</v>
      </c>
      <c r="U8" s="100" t="s">
        <v>25</v>
      </c>
      <c r="V8" t="str">
        <f t="shared" si="0"/>
        <v>South</v>
      </c>
      <c r="W8" t="str">
        <f t="shared" si="1"/>
        <v>Inside Sales</v>
      </c>
      <c r="X8">
        <f t="shared" si="2"/>
        <v>87000</v>
      </c>
      <c r="AA8" s="4">
        <v>150784</v>
      </c>
      <c r="AB8" s="5" t="s">
        <v>26</v>
      </c>
      <c r="AC8" s="5" t="s">
        <v>21</v>
      </c>
      <c r="AD8" s="2">
        <v>35000</v>
      </c>
    </row>
    <row r="9" spans="2:30" x14ac:dyDescent="0.25">
      <c r="B9" s="4">
        <v>150989</v>
      </c>
      <c r="C9" s="5" t="s">
        <v>48</v>
      </c>
      <c r="D9" s="5" t="s">
        <v>44</v>
      </c>
      <c r="E9" s="6">
        <v>33113</v>
      </c>
      <c r="F9" s="7" t="s">
        <v>32</v>
      </c>
      <c r="G9" s="5" t="s">
        <v>19</v>
      </c>
      <c r="H9" s="5" t="s">
        <v>26</v>
      </c>
      <c r="I9" s="5" t="s">
        <v>46</v>
      </c>
      <c r="J9" s="2">
        <v>45000</v>
      </c>
      <c r="P9">
        <v>150777</v>
      </c>
      <c r="Q9" s="100" t="s">
        <v>36</v>
      </c>
      <c r="R9" s="100" t="s">
        <v>37</v>
      </c>
      <c r="S9">
        <v>21123</v>
      </c>
      <c r="T9" s="100" t="s">
        <v>32</v>
      </c>
      <c r="U9" s="100" t="s">
        <v>19</v>
      </c>
      <c r="V9" t="str">
        <f t="shared" si="0"/>
        <v>North</v>
      </c>
      <c r="W9" t="str">
        <f t="shared" si="1"/>
        <v>Marketing</v>
      </c>
      <c r="X9">
        <f t="shared" si="2"/>
        <v>22000</v>
      </c>
      <c r="AA9" s="4">
        <v>150791</v>
      </c>
      <c r="AB9" s="5" t="s">
        <v>26</v>
      </c>
      <c r="AC9" s="5" t="s">
        <v>21</v>
      </c>
      <c r="AD9" s="2">
        <v>67000</v>
      </c>
    </row>
    <row r="10" spans="2:30" x14ac:dyDescent="0.25">
      <c r="B10" s="4">
        <v>150881</v>
      </c>
      <c r="C10" s="5" t="s">
        <v>50</v>
      </c>
      <c r="D10" s="5" t="s">
        <v>51</v>
      </c>
      <c r="E10" s="6">
        <v>30337</v>
      </c>
      <c r="F10" s="7" t="s">
        <v>32</v>
      </c>
      <c r="G10" s="5" t="s">
        <v>25</v>
      </c>
      <c r="H10" s="5" t="s">
        <v>26</v>
      </c>
      <c r="I10" s="5" t="s">
        <v>52</v>
      </c>
      <c r="J10" s="2">
        <v>92000</v>
      </c>
      <c r="P10">
        <v>150805</v>
      </c>
      <c r="Q10" s="100" t="s">
        <v>28</v>
      </c>
      <c r="R10" s="100" t="s">
        <v>40</v>
      </c>
      <c r="S10">
        <v>26172</v>
      </c>
      <c r="T10" s="100" t="s">
        <v>32</v>
      </c>
      <c r="U10" s="100" t="s">
        <v>19</v>
      </c>
      <c r="V10" t="str">
        <f t="shared" si="0"/>
        <v>North</v>
      </c>
      <c r="W10" t="str">
        <f t="shared" si="1"/>
        <v>Director</v>
      </c>
      <c r="X10">
        <f t="shared" si="2"/>
        <v>91000</v>
      </c>
      <c r="AA10" s="4">
        <v>150798</v>
      </c>
      <c r="AB10" s="5" t="s">
        <v>26</v>
      </c>
      <c r="AC10" s="5" t="s">
        <v>21</v>
      </c>
      <c r="AD10" s="2">
        <v>81000</v>
      </c>
    </row>
    <row r="11" spans="2:30" x14ac:dyDescent="0.25">
      <c r="B11" s="4">
        <v>150814</v>
      </c>
      <c r="C11" s="5" t="s">
        <v>54</v>
      </c>
      <c r="D11" s="5" t="s">
        <v>55</v>
      </c>
      <c r="E11" s="6">
        <v>26246</v>
      </c>
      <c r="F11" s="7" t="s">
        <v>32</v>
      </c>
      <c r="G11" s="5" t="s">
        <v>19</v>
      </c>
      <c r="H11" s="5" t="s">
        <v>33</v>
      </c>
      <c r="I11" s="5" t="s">
        <v>21</v>
      </c>
      <c r="J11" s="2">
        <v>50000</v>
      </c>
      <c r="P11">
        <v>150990</v>
      </c>
      <c r="Q11" s="100" t="s">
        <v>43</v>
      </c>
      <c r="R11" s="100" t="s">
        <v>44</v>
      </c>
      <c r="S11">
        <v>36400</v>
      </c>
      <c r="T11" s="100" t="s">
        <v>32</v>
      </c>
      <c r="U11" s="100" t="s">
        <v>19</v>
      </c>
      <c r="V11" t="str">
        <f t="shared" si="0"/>
        <v>Mid West</v>
      </c>
      <c r="W11" t="str">
        <f t="shared" si="1"/>
        <v>Learning &amp; Development</v>
      </c>
      <c r="X11">
        <f t="shared" si="2"/>
        <v>77000</v>
      </c>
      <c r="AA11" s="4">
        <v>150805</v>
      </c>
      <c r="AB11" s="5" t="s">
        <v>41</v>
      </c>
      <c r="AC11" s="5" t="s">
        <v>21</v>
      </c>
      <c r="AD11" s="2">
        <v>91000</v>
      </c>
    </row>
    <row r="12" spans="2:30" x14ac:dyDescent="0.25">
      <c r="B12" s="4">
        <v>150937</v>
      </c>
      <c r="C12" s="5" t="s">
        <v>57</v>
      </c>
      <c r="D12" s="5" t="s">
        <v>58</v>
      </c>
      <c r="E12" s="6">
        <v>24700</v>
      </c>
      <c r="F12" s="7" t="s">
        <v>32</v>
      </c>
      <c r="G12" s="5" t="s">
        <v>19</v>
      </c>
      <c r="H12" s="5" t="s">
        <v>45</v>
      </c>
      <c r="I12" s="5" t="s">
        <v>34</v>
      </c>
      <c r="J12" s="2">
        <v>37000</v>
      </c>
      <c r="P12">
        <v>150989</v>
      </c>
      <c r="Q12" s="100" t="s">
        <v>48</v>
      </c>
      <c r="R12" s="100" t="s">
        <v>44</v>
      </c>
      <c r="S12">
        <v>33113</v>
      </c>
      <c r="T12" s="100" t="s">
        <v>32</v>
      </c>
      <c r="U12" s="100" t="s">
        <v>19</v>
      </c>
      <c r="V12" t="str">
        <f t="shared" si="0"/>
        <v>Mid West</v>
      </c>
      <c r="W12" t="str">
        <f t="shared" si="1"/>
        <v>Digital Marketing</v>
      </c>
      <c r="X12">
        <f t="shared" si="2"/>
        <v>45000</v>
      </c>
      <c r="AA12" s="4">
        <v>150814</v>
      </c>
      <c r="AB12" s="5" t="s">
        <v>33</v>
      </c>
      <c r="AC12" s="5" t="s">
        <v>21</v>
      </c>
      <c r="AD12" s="2">
        <v>50000</v>
      </c>
    </row>
    <row r="13" spans="2:30" x14ac:dyDescent="0.25">
      <c r="B13" s="4">
        <v>150888</v>
      </c>
      <c r="C13" s="5" t="s">
        <v>59</v>
      </c>
      <c r="D13" s="5" t="s">
        <v>60</v>
      </c>
      <c r="E13" s="6">
        <v>29221</v>
      </c>
      <c r="F13" s="7" t="s">
        <v>32</v>
      </c>
      <c r="G13" s="5" t="s">
        <v>19</v>
      </c>
      <c r="H13" s="5" t="s">
        <v>45</v>
      </c>
      <c r="I13" s="5" t="s">
        <v>52</v>
      </c>
      <c r="J13" s="2">
        <v>43000</v>
      </c>
      <c r="P13">
        <v>150881</v>
      </c>
      <c r="Q13" s="100" t="s">
        <v>50</v>
      </c>
      <c r="R13" s="100" t="s">
        <v>51</v>
      </c>
      <c r="S13">
        <v>30337</v>
      </c>
      <c r="T13" s="100" t="s">
        <v>32</v>
      </c>
      <c r="U13" s="100" t="s">
        <v>25</v>
      </c>
      <c r="V13" t="str">
        <f t="shared" si="0"/>
        <v>East</v>
      </c>
      <c r="W13" t="str">
        <f t="shared" si="1"/>
        <v>Digital Marketing</v>
      </c>
      <c r="X13">
        <f t="shared" si="2"/>
        <v>92000</v>
      </c>
      <c r="AA13" s="4">
        <v>150821</v>
      </c>
      <c r="AB13" s="5" t="s">
        <v>65</v>
      </c>
      <c r="AC13" s="5" t="s">
        <v>21</v>
      </c>
      <c r="AD13" s="2">
        <v>26000</v>
      </c>
    </row>
    <row r="14" spans="2:30" x14ac:dyDescent="0.25">
      <c r="B14" s="4">
        <v>150865</v>
      </c>
      <c r="C14" s="5" t="s">
        <v>61</v>
      </c>
      <c r="D14" s="5" t="s">
        <v>60</v>
      </c>
      <c r="E14" s="6">
        <v>31279</v>
      </c>
      <c r="F14" s="7" t="s">
        <v>18</v>
      </c>
      <c r="G14" s="5" t="s">
        <v>19</v>
      </c>
      <c r="H14" s="5" t="s">
        <v>62</v>
      </c>
      <c r="I14" s="5" t="s">
        <v>52</v>
      </c>
      <c r="J14" s="2">
        <v>90000</v>
      </c>
      <c r="P14">
        <v>150814</v>
      </c>
      <c r="Q14" s="100" t="s">
        <v>54</v>
      </c>
      <c r="R14" s="100" t="s">
        <v>55</v>
      </c>
      <c r="S14">
        <v>26246</v>
      </c>
      <c r="T14" s="100" t="s">
        <v>32</v>
      </c>
      <c r="U14" s="100" t="s">
        <v>19</v>
      </c>
      <c r="V14" t="str">
        <f t="shared" si="0"/>
        <v>North</v>
      </c>
      <c r="W14" t="str">
        <f t="shared" si="1"/>
        <v>Inside Sales</v>
      </c>
      <c r="X14">
        <f t="shared" si="2"/>
        <v>50000</v>
      </c>
      <c r="AA14" s="4">
        <v>150830</v>
      </c>
      <c r="AB14" s="5" t="s">
        <v>93</v>
      </c>
      <c r="AC14" s="5" t="s">
        <v>21</v>
      </c>
      <c r="AD14" s="2">
        <v>52000</v>
      </c>
    </row>
    <row r="15" spans="2:30" x14ac:dyDescent="0.25">
      <c r="B15" s="4">
        <v>150858</v>
      </c>
      <c r="C15" s="5" t="s">
        <v>63</v>
      </c>
      <c r="D15" s="5" t="s">
        <v>64</v>
      </c>
      <c r="E15" s="6">
        <v>34846</v>
      </c>
      <c r="F15" s="7" t="s">
        <v>32</v>
      </c>
      <c r="G15" s="5" t="s">
        <v>19</v>
      </c>
      <c r="H15" s="5" t="s">
        <v>65</v>
      </c>
      <c r="I15" s="5" t="s">
        <v>52</v>
      </c>
      <c r="J15" s="2">
        <v>34000</v>
      </c>
      <c r="P15">
        <v>150937</v>
      </c>
      <c r="Q15" s="100" t="s">
        <v>57</v>
      </c>
      <c r="R15" s="100" t="s">
        <v>58</v>
      </c>
      <c r="S15">
        <v>24700</v>
      </c>
      <c r="T15" s="100" t="s">
        <v>32</v>
      </c>
      <c r="U15" s="100" t="s">
        <v>19</v>
      </c>
      <c r="V15" t="str">
        <f t="shared" si="0"/>
        <v>South</v>
      </c>
      <c r="W15" t="str">
        <f t="shared" si="1"/>
        <v>Learning &amp; Development</v>
      </c>
      <c r="X15">
        <f t="shared" si="2"/>
        <v>37000</v>
      </c>
      <c r="AA15" s="4">
        <v>150834</v>
      </c>
      <c r="AB15" s="5" t="s">
        <v>20</v>
      </c>
      <c r="AC15" s="5" t="s">
        <v>21</v>
      </c>
      <c r="AD15" s="2">
        <v>48000</v>
      </c>
    </row>
    <row r="16" spans="2:30" x14ac:dyDescent="0.25">
      <c r="B16" s="4">
        <v>150930</v>
      </c>
      <c r="C16" s="5" t="s">
        <v>66</v>
      </c>
      <c r="D16" s="5" t="s">
        <v>67</v>
      </c>
      <c r="E16" s="6">
        <v>37027</v>
      </c>
      <c r="F16" s="7" t="s">
        <v>32</v>
      </c>
      <c r="G16" s="5" t="s">
        <v>19</v>
      </c>
      <c r="H16" s="5" t="s">
        <v>26</v>
      </c>
      <c r="I16" s="5" t="s">
        <v>34</v>
      </c>
      <c r="J16" s="2">
        <v>82000</v>
      </c>
      <c r="P16">
        <v>150888</v>
      </c>
      <c r="Q16" s="100" t="s">
        <v>59</v>
      </c>
      <c r="R16" s="100" t="s">
        <v>60</v>
      </c>
      <c r="S16">
        <v>29221</v>
      </c>
      <c r="T16" s="100" t="s">
        <v>32</v>
      </c>
      <c r="U16" s="100" t="s">
        <v>19</v>
      </c>
      <c r="V16" t="str">
        <f t="shared" si="0"/>
        <v>East</v>
      </c>
      <c r="W16" t="str">
        <f t="shared" si="1"/>
        <v>Learning &amp; Development</v>
      </c>
      <c r="X16">
        <f t="shared" si="2"/>
        <v>43000</v>
      </c>
      <c r="AA16" s="4">
        <v>150840</v>
      </c>
      <c r="AB16" s="5" t="s">
        <v>33</v>
      </c>
      <c r="AC16" s="5" t="s">
        <v>52</v>
      </c>
      <c r="AD16" s="2">
        <v>20000</v>
      </c>
    </row>
    <row r="17" spans="2:30" x14ac:dyDescent="0.25">
      <c r="B17" s="4">
        <v>150894</v>
      </c>
      <c r="C17" s="5" t="s">
        <v>69</v>
      </c>
      <c r="D17" s="5" t="s">
        <v>70</v>
      </c>
      <c r="E17" s="6">
        <v>37124</v>
      </c>
      <c r="F17" s="7" t="s">
        <v>32</v>
      </c>
      <c r="G17" s="5" t="s">
        <v>19</v>
      </c>
      <c r="H17" s="5" t="s">
        <v>33</v>
      </c>
      <c r="I17" s="5" t="s">
        <v>34</v>
      </c>
      <c r="J17" s="2">
        <v>67000</v>
      </c>
      <c r="P17">
        <v>150865</v>
      </c>
      <c r="Q17" s="100" t="s">
        <v>61</v>
      </c>
      <c r="R17" s="100" t="s">
        <v>60</v>
      </c>
      <c r="S17">
        <v>31279</v>
      </c>
      <c r="T17" s="100" t="s">
        <v>18</v>
      </c>
      <c r="U17" s="100" t="s">
        <v>19</v>
      </c>
      <c r="V17" t="str">
        <f t="shared" si="0"/>
        <v>East</v>
      </c>
      <c r="W17" t="str">
        <f t="shared" si="1"/>
        <v>CEO</v>
      </c>
      <c r="X17">
        <f t="shared" si="2"/>
        <v>90000</v>
      </c>
      <c r="AA17" s="4">
        <v>150850</v>
      </c>
      <c r="AB17" s="5" t="s">
        <v>65</v>
      </c>
      <c r="AC17" s="5" t="s">
        <v>52</v>
      </c>
      <c r="AD17" s="2">
        <v>47000</v>
      </c>
    </row>
    <row r="18" spans="2:30" x14ac:dyDescent="0.25">
      <c r="B18" s="4">
        <v>150947</v>
      </c>
      <c r="C18" s="5" t="s">
        <v>71</v>
      </c>
      <c r="D18" s="5" t="s">
        <v>72</v>
      </c>
      <c r="E18" s="6">
        <v>33449</v>
      </c>
      <c r="F18" s="7" t="s">
        <v>18</v>
      </c>
      <c r="G18" s="5" t="s">
        <v>19</v>
      </c>
      <c r="H18" s="5" t="s">
        <v>65</v>
      </c>
      <c r="I18" s="5" t="s">
        <v>34</v>
      </c>
      <c r="J18" s="2">
        <v>85000</v>
      </c>
      <c r="P18">
        <v>150858</v>
      </c>
      <c r="Q18" s="100" t="s">
        <v>63</v>
      </c>
      <c r="R18" s="100" t="s">
        <v>64</v>
      </c>
      <c r="S18">
        <v>34846</v>
      </c>
      <c r="T18" s="100" t="s">
        <v>32</v>
      </c>
      <c r="U18" s="100" t="s">
        <v>19</v>
      </c>
      <c r="V18" t="str">
        <f t="shared" si="0"/>
        <v>Retired</v>
      </c>
      <c r="W18" t="str">
        <f t="shared" si="1"/>
        <v>Retired</v>
      </c>
      <c r="X18" t="str">
        <f t="shared" si="2"/>
        <v>Retired</v>
      </c>
      <c r="AA18" s="4">
        <v>150851</v>
      </c>
      <c r="AB18" s="5" t="s">
        <v>33</v>
      </c>
      <c r="AC18" s="5" t="s">
        <v>52</v>
      </c>
      <c r="AD18" s="2">
        <v>75000</v>
      </c>
    </row>
    <row r="19" spans="2:30" x14ac:dyDescent="0.25">
      <c r="B19" s="4">
        <v>150905</v>
      </c>
      <c r="C19" s="5" t="s">
        <v>73</v>
      </c>
      <c r="D19" s="5" t="s">
        <v>74</v>
      </c>
      <c r="E19" s="6">
        <v>30819</v>
      </c>
      <c r="F19" s="7" t="s">
        <v>18</v>
      </c>
      <c r="G19" s="5" t="s">
        <v>25</v>
      </c>
      <c r="H19" s="5" t="s">
        <v>20</v>
      </c>
      <c r="I19" s="5" t="s">
        <v>34</v>
      </c>
      <c r="J19" s="2">
        <v>62000</v>
      </c>
      <c r="P19">
        <v>150930</v>
      </c>
      <c r="Q19" s="100" t="s">
        <v>66</v>
      </c>
      <c r="R19" s="100" t="s">
        <v>67</v>
      </c>
      <c r="S19">
        <v>37027</v>
      </c>
      <c r="T19" s="100" t="s">
        <v>32</v>
      </c>
      <c r="U19" s="100" t="s">
        <v>19</v>
      </c>
      <c r="V19" t="str">
        <f t="shared" si="0"/>
        <v>South</v>
      </c>
      <c r="W19" t="str">
        <f t="shared" si="1"/>
        <v>Digital Marketing</v>
      </c>
      <c r="X19">
        <f t="shared" si="2"/>
        <v>82000</v>
      </c>
      <c r="AA19" s="4">
        <v>150865</v>
      </c>
      <c r="AB19" s="5" t="s">
        <v>62</v>
      </c>
      <c r="AC19" s="5" t="s">
        <v>52</v>
      </c>
      <c r="AD19" s="2">
        <v>90000</v>
      </c>
    </row>
    <row r="20" spans="2:30" x14ac:dyDescent="0.25">
      <c r="B20" s="4">
        <v>150995</v>
      </c>
      <c r="C20" s="5" t="s">
        <v>75</v>
      </c>
      <c r="D20" s="5" t="s">
        <v>76</v>
      </c>
      <c r="E20" s="6">
        <v>35330</v>
      </c>
      <c r="F20" s="7" t="s">
        <v>32</v>
      </c>
      <c r="G20" s="5" t="s">
        <v>19</v>
      </c>
      <c r="H20" s="5" t="s">
        <v>33</v>
      </c>
      <c r="I20" s="5" t="s">
        <v>46</v>
      </c>
      <c r="J20" s="2">
        <v>15000</v>
      </c>
      <c r="P20">
        <v>150894</v>
      </c>
      <c r="Q20" s="100" t="s">
        <v>69</v>
      </c>
      <c r="R20" s="100" t="s">
        <v>70</v>
      </c>
      <c r="S20">
        <v>37124</v>
      </c>
      <c r="T20" s="100" t="s">
        <v>32</v>
      </c>
      <c r="U20" s="100" t="s">
        <v>19</v>
      </c>
      <c r="V20" t="str">
        <f t="shared" si="0"/>
        <v>South</v>
      </c>
      <c r="W20" t="str">
        <f t="shared" si="1"/>
        <v>Inside Sales</v>
      </c>
      <c r="X20">
        <f t="shared" si="2"/>
        <v>67000</v>
      </c>
      <c r="AA20" s="4">
        <v>150867</v>
      </c>
      <c r="AB20" s="5" t="s">
        <v>82</v>
      </c>
      <c r="AC20" s="5" t="s">
        <v>52</v>
      </c>
      <c r="AD20" s="2">
        <v>49000</v>
      </c>
    </row>
    <row r="21" spans="2:30" x14ac:dyDescent="0.25">
      <c r="B21" s="4">
        <v>150912</v>
      </c>
      <c r="C21" s="5" t="s">
        <v>77</v>
      </c>
      <c r="D21" s="5" t="s">
        <v>78</v>
      </c>
      <c r="E21" s="6">
        <v>37629</v>
      </c>
      <c r="F21" s="7" t="s">
        <v>18</v>
      </c>
      <c r="G21" s="5" t="s">
        <v>19</v>
      </c>
      <c r="H21" s="5" t="s">
        <v>79</v>
      </c>
      <c r="I21" s="5" t="s">
        <v>34</v>
      </c>
      <c r="J21" s="2">
        <v>81000</v>
      </c>
      <c r="P21">
        <v>150947</v>
      </c>
      <c r="Q21" s="100" t="s">
        <v>71</v>
      </c>
      <c r="R21" s="100" t="s">
        <v>72</v>
      </c>
      <c r="S21">
        <v>33449</v>
      </c>
      <c r="T21" s="100" t="s">
        <v>18</v>
      </c>
      <c r="U21" s="100" t="s">
        <v>19</v>
      </c>
      <c r="V21" t="str">
        <f t="shared" si="0"/>
        <v>South</v>
      </c>
      <c r="W21" t="str">
        <f t="shared" si="1"/>
        <v>CCD</v>
      </c>
      <c r="X21">
        <f t="shared" si="2"/>
        <v>85000</v>
      </c>
      <c r="AA21" s="4">
        <v>150874</v>
      </c>
      <c r="AB21" s="5" t="s">
        <v>38</v>
      </c>
      <c r="AC21" s="5" t="s">
        <v>52</v>
      </c>
      <c r="AD21" s="2">
        <v>27000</v>
      </c>
    </row>
    <row r="22" spans="2:30" x14ac:dyDescent="0.25">
      <c r="B22" s="4">
        <v>150921</v>
      </c>
      <c r="C22" s="5" t="s">
        <v>80</v>
      </c>
      <c r="D22" s="5" t="s">
        <v>81</v>
      </c>
      <c r="E22" s="6">
        <v>38092</v>
      </c>
      <c r="F22" s="7" t="s">
        <v>32</v>
      </c>
      <c r="G22" s="5" t="s">
        <v>19</v>
      </c>
      <c r="H22" s="5" t="s">
        <v>82</v>
      </c>
      <c r="I22" s="5" t="s">
        <v>34</v>
      </c>
      <c r="J22" s="2">
        <v>19000</v>
      </c>
      <c r="P22">
        <v>150905</v>
      </c>
      <c r="Q22" s="100" t="s">
        <v>73</v>
      </c>
      <c r="R22" s="100" t="s">
        <v>74</v>
      </c>
      <c r="S22">
        <v>30819</v>
      </c>
      <c r="T22" s="100" t="s">
        <v>18</v>
      </c>
      <c r="U22" s="100" t="s">
        <v>25</v>
      </c>
      <c r="V22" t="str">
        <f t="shared" si="0"/>
        <v>South</v>
      </c>
      <c r="W22" t="str">
        <f t="shared" si="1"/>
        <v>FLM</v>
      </c>
      <c r="X22">
        <f t="shared" si="2"/>
        <v>62000</v>
      </c>
      <c r="AA22" s="4">
        <v>150881</v>
      </c>
      <c r="AB22" s="5" t="s">
        <v>26</v>
      </c>
      <c r="AC22" s="5" t="s">
        <v>52</v>
      </c>
      <c r="AD22" s="2">
        <v>92000</v>
      </c>
    </row>
    <row r="23" spans="2:30" x14ac:dyDescent="0.25">
      <c r="B23" s="4">
        <v>150851</v>
      </c>
      <c r="C23" s="5" t="s">
        <v>83</v>
      </c>
      <c r="D23" s="5" t="s">
        <v>84</v>
      </c>
      <c r="E23" s="6">
        <v>29368</v>
      </c>
      <c r="F23" s="7" t="s">
        <v>32</v>
      </c>
      <c r="G23" s="5" t="s">
        <v>25</v>
      </c>
      <c r="H23" s="5" t="s">
        <v>33</v>
      </c>
      <c r="I23" s="5" t="s">
        <v>52</v>
      </c>
      <c r="J23" s="2">
        <v>75000</v>
      </c>
      <c r="P23">
        <v>150995</v>
      </c>
      <c r="Q23" s="100" t="s">
        <v>75</v>
      </c>
      <c r="R23" s="100" t="s">
        <v>76</v>
      </c>
      <c r="S23">
        <v>35330</v>
      </c>
      <c r="T23" s="100" t="s">
        <v>32</v>
      </c>
      <c r="U23" s="100" t="s">
        <v>19</v>
      </c>
      <c r="V23" t="str">
        <f t="shared" si="0"/>
        <v>Mid West</v>
      </c>
      <c r="W23" t="str">
        <f t="shared" si="1"/>
        <v>Inside Sales</v>
      </c>
      <c r="X23">
        <f t="shared" si="2"/>
        <v>15000</v>
      </c>
      <c r="AA23" s="4">
        <v>150888</v>
      </c>
      <c r="AB23" s="5" t="s">
        <v>45</v>
      </c>
      <c r="AC23" s="5" t="s">
        <v>52</v>
      </c>
      <c r="AD23" s="2">
        <v>43000</v>
      </c>
    </row>
    <row r="24" spans="2:30" x14ac:dyDescent="0.25">
      <c r="B24" s="4">
        <v>150867</v>
      </c>
      <c r="C24" s="5" t="s">
        <v>85</v>
      </c>
      <c r="D24" s="5" t="s">
        <v>86</v>
      </c>
      <c r="E24" s="6">
        <v>29028</v>
      </c>
      <c r="F24" s="7" t="s">
        <v>18</v>
      </c>
      <c r="G24" s="5" t="s">
        <v>25</v>
      </c>
      <c r="H24" s="5" t="s">
        <v>82</v>
      </c>
      <c r="I24" s="5" t="s">
        <v>52</v>
      </c>
      <c r="J24" s="2">
        <v>49000</v>
      </c>
      <c r="P24">
        <v>150912</v>
      </c>
      <c r="Q24" s="100" t="s">
        <v>77</v>
      </c>
      <c r="R24" s="100" t="s">
        <v>78</v>
      </c>
      <c r="S24">
        <v>37629</v>
      </c>
      <c r="T24" s="100" t="s">
        <v>18</v>
      </c>
      <c r="U24" s="100" t="s">
        <v>19</v>
      </c>
      <c r="V24" t="str">
        <f t="shared" si="0"/>
        <v>South</v>
      </c>
      <c r="W24" t="str">
        <f t="shared" si="1"/>
        <v>Operations</v>
      </c>
      <c r="X24">
        <f t="shared" si="2"/>
        <v>81000</v>
      </c>
      <c r="AA24" s="4">
        <v>150894</v>
      </c>
      <c r="AB24" s="5" t="s">
        <v>33</v>
      </c>
      <c r="AC24" s="5" t="s">
        <v>34</v>
      </c>
      <c r="AD24" s="2">
        <v>67000</v>
      </c>
    </row>
    <row r="25" spans="2:30" x14ac:dyDescent="0.25">
      <c r="B25" s="4">
        <v>150899</v>
      </c>
      <c r="C25" s="5" t="s">
        <v>87</v>
      </c>
      <c r="D25" s="5" t="s">
        <v>88</v>
      </c>
      <c r="E25" s="6">
        <v>37400</v>
      </c>
      <c r="F25" s="7" t="s">
        <v>32</v>
      </c>
      <c r="G25" s="5" t="s">
        <v>19</v>
      </c>
      <c r="H25" s="5" t="s">
        <v>65</v>
      </c>
      <c r="I25" s="5" t="s">
        <v>34</v>
      </c>
      <c r="J25" s="2">
        <v>50000</v>
      </c>
      <c r="P25">
        <v>150921</v>
      </c>
      <c r="Q25" s="100" t="s">
        <v>80</v>
      </c>
      <c r="R25" s="100" t="s">
        <v>81</v>
      </c>
      <c r="S25">
        <v>38092</v>
      </c>
      <c r="T25" s="100" t="s">
        <v>32</v>
      </c>
      <c r="U25" s="100" t="s">
        <v>19</v>
      </c>
      <c r="V25" t="str">
        <f t="shared" si="0"/>
        <v>South</v>
      </c>
      <c r="W25" t="str">
        <f t="shared" si="1"/>
        <v>Finance</v>
      </c>
      <c r="X25">
        <f t="shared" si="2"/>
        <v>19000</v>
      </c>
      <c r="AA25" s="4">
        <v>150901</v>
      </c>
      <c r="AB25" s="5" t="s">
        <v>93</v>
      </c>
      <c r="AC25" s="5" t="s">
        <v>34</v>
      </c>
      <c r="AD25" s="2">
        <v>53000</v>
      </c>
    </row>
    <row r="26" spans="2:30" x14ac:dyDescent="0.25">
      <c r="B26" s="4">
        <v>150975</v>
      </c>
      <c r="C26" s="5" t="s">
        <v>89</v>
      </c>
      <c r="D26" s="5" t="s">
        <v>90</v>
      </c>
      <c r="E26" s="6">
        <v>31478</v>
      </c>
      <c r="F26" s="7" t="s">
        <v>32</v>
      </c>
      <c r="G26" s="5" t="s">
        <v>19</v>
      </c>
      <c r="H26" s="5" t="s">
        <v>82</v>
      </c>
      <c r="I26" s="5" t="s">
        <v>46</v>
      </c>
      <c r="J26" s="2">
        <v>83000</v>
      </c>
      <c r="P26">
        <v>150851</v>
      </c>
      <c r="Q26" s="100" t="s">
        <v>83</v>
      </c>
      <c r="R26" s="100" t="s">
        <v>84</v>
      </c>
      <c r="S26">
        <v>29368</v>
      </c>
      <c r="T26" s="100" t="s">
        <v>32</v>
      </c>
      <c r="U26" s="100" t="s">
        <v>25</v>
      </c>
      <c r="V26" t="str">
        <f t="shared" si="0"/>
        <v>East</v>
      </c>
      <c r="W26" t="str">
        <f t="shared" si="1"/>
        <v>Inside Sales</v>
      </c>
      <c r="X26">
        <f t="shared" si="2"/>
        <v>75000</v>
      </c>
      <c r="AA26" s="4">
        <v>150905</v>
      </c>
      <c r="AB26" s="5" t="s">
        <v>20</v>
      </c>
      <c r="AC26" s="5" t="s">
        <v>34</v>
      </c>
      <c r="AD26" s="2">
        <v>62000</v>
      </c>
    </row>
    <row r="27" spans="2:30" x14ac:dyDescent="0.25">
      <c r="B27" s="4">
        <v>150901</v>
      </c>
      <c r="C27" s="5" t="s">
        <v>91</v>
      </c>
      <c r="D27" s="5" t="s">
        <v>92</v>
      </c>
      <c r="E27" s="6">
        <v>32946</v>
      </c>
      <c r="F27" s="7" t="s">
        <v>18</v>
      </c>
      <c r="G27" s="5" t="s">
        <v>19</v>
      </c>
      <c r="H27" s="5" t="s">
        <v>93</v>
      </c>
      <c r="I27" s="5" t="s">
        <v>34</v>
      </c>
      <c r="J27" s="2">
        <v>53000</v>
      </c>
      <c r="P27">
        <v>150867</v>
      </c>
      <c r="Q27" s="100" t="s">
        <v>85</v>
      </c>
      <c r="R27" s="100" t="s">
        <v>86</v>
      </c>
      <c r="S27">
        <v>29028</v>
      </c>
      <c r="T27" s="100" t="s">
        <v>18</v>
      </c>
      <c r="U27" s="100" t="s">
        <v>25</v>
      </c>
      <c r="V27" t="str">
        <f t="shared" si="0"/>
        <v>East</v>
      </c>
      <c r="W27" t="str">
        <f t="shared" si="1"/>
        <v>Finance</v>
      </c>
      <c r="X27">
        <f t="shared" si="2"/>
        <v>49000</v>
      </c>
      <c r="AA27" s="4">
        <v>150912</v>
      </c>
      <c r="AB27" s="5" t="s">
        <v>79</v>
      </c>
      <c r="AC27" s="5" t="s">
        <v>34</v>
      </c>
      <c r="AD27" s="2">
        <v>81000</v>
      </c>
    </row>
    <row r="28" spans="2:30" x14ac:dyDescent="0.25">
      <c r="B28" s="4">
        <v>150968</v>
      </c>
      <c r="C28" s="5" t="s">
        <v>94</v>
      </c>
      <c r="D28" s="5" t="s">
        <v>95</v>
      </c>
      <c r="E28" s="6">
        <v>37208</v>
      </c>
      <c r="F28" s="7" t="s">
        <v>32</v>
      </c>
      <c r="G28" s="5" t="s">
        <v>19</v>
      </c>
      <c r="H28" s="5" t="s">
        <v>79</v>
      </c>
      <c r="I28" s="5" t="s">
        <v>34</v>
      </c>
      <c r="J28" s="2">
        <v>65000</v>
      </c>
      <c r="P28">
        <v>150899</v>
      </c>
      <c r="Q28" s="100" t="s">
        <v>87</v>
      </c>
      <c r="R28" s="100" t="s">
        <v>88</v>
      </c>
      <c r="S28">
        <v>37400</v>
      </c>
      <c r="T28" s="100" t="s">
        <v>32</v>
      </c>
      <c r="U28" s="100" t="s">
        <v>19</v>
      </c>
      <c r="V28" t="str">
        <f t="shared" si="0"/>
        <v>Retired</v>
      </c>
      <c r="W28" t="str">
        <f t="shared" si="1"/>
        <v>Retired</v>
      </c>
      <c r="X28" t="str">
        <f t="shared" si="2"/>
        <v>Retired</v>
      </c>
      <c r="AA28" s="4">
        <v>150921</v>
      </c>
      <c r="AB28" s="5" t="s">
        <v>82</v>
      </c>
      <c r="AC28" s="5" t="s">
        <v>34</v>
      </c>
      <c r="AD28" s="2">
        <v>19000</v>
      </c>
    </row>
    <row r="29" spans="2:30" x14ac:dyDescent="0.25">
      <c r="B29" s="4">
        <v>150773</v>
      </c>
      <c r="C29" s="5" t="s">
        <v>96</v>
      </c>
      <c r="D29" s="5" t="s">
        <v>97</v>
      </c>
      <c r="E29" s="6">
        <v>26860</v>
      </c>
      <c r="F29" s="7" t="s">
        <v>32</v>
      </c>
      <c r="G29" s="5" t="s">
        <v>19</v>
      </c>
      <c r="H29" s="5" t="s">
        <v>82</v>
      </c>
      <c r="I29" s="5" t="s">
        <v>21</v>
      </c>
      <c r="J29" s="2">
        <v>85000</v>
      </c>
      <c r="P29">
        <v>150975</v>
      </c>
      <c r="Q29" s="100" t="s">
        <v>89</v>
      </c>
      <c r="R29" s="100" t="s">
        <v>90</v>
      </c>
      <c r="S29">
        <v>31478</v>
      </c>
      <c r="T29" s="100" t="s">
        <v>32</v>
      </c>
      <c r="U29" s="100" t="s">
        <v>19</v>
      </c>
      <c r="V29" t="str">
        <f t="shared" si="0"/>
        <v>Mid West</v>
      </c>
      <c r="W29" t="str">
        <f t="shared" si="1"/>
        <v>Finance</v>
      </c>
      <c r="X29">
        <f t="shared" si="2"/>
        <v>83000</v>
      </c>
      <c r="AA29" s="4">
        <v>150929</v>
      </c>
      <c r="AB29" s="5" t="s">
        <v>38</v>
      </c>
      <c r="AC29" s="5" t="s">
        <v>34</v>
      </c>
      <c r="AD29" s="2">
        <v>58000</v>
      </c>
    </row>
    <row r="30" spans="2:30" x14ac:dyDescent="0.25">
      <c r="B30" s="4">
        <v>150840</v>
      </c>
      <c r="C30" s="5" t="s">
        <v>66</v>
      </c>
      <c r="D30" s="5" t="s">
        <v>98</v>
      </c>
      <c r="E30" s="6">
        <v>23136</v>
      </c>
      <c r="F30" s="7" t="s">
        <v>18</v>
      </c>
      <c r="G30" s="5" t="s">
        <v>19</v>
      </c>
      <c r="H30" s="5" t="s">
        <v>33</v>
      </c>
      <c r="I30" s="5" t="s">
        <v>52</v>
      </c>
      <c r="J30" s="2">
        <v>20000</v>
      </c>
      <c r="P30">
        <v>150901</v>
      </c>
      <c r="Q30" s="100" t="s">
        <v>91</v>
      </c>
      <c r="R30" s="100" t="s">
        <v>92</v>
      </c>
      <c r="S30">
        <v>32946</v>
      </c>
      <c r="T30" s="100" t="s">
        <v>18</v>
      </c>
      <c r="U30" s="100" t="s">
        <v>19</v>
      </c>
      <c r="V30" t="str">
        <f t="shared" si="0"/>
        <v>South</v>
      </c>
      <c r="W30" t="str">
        <f t="shared" si="1"/>
        <v>Sales</v>
      </c>
      <c r="X30">
        <f t="shared" si="2"/>
        <v>53000</v>
      </c>
      <c r="AA30" s="4">
        <v>150930</v>
      </c>
      <c r="AB30" s="5" t="s">
        <v>26</v>
      </c>
      <c r="AC30" s="5" t="s">
        <v>34</v>
      </c>
      <c r="AD30" s="2">
        <v>82000</v>
      </c>
    </row>
    <row r="31" spans="2:30" x14ac:dyDescent="0.25">
      <c r="B31" s="4">
        <v>150850</v>
      </c>
      <c r="C31" s="5" t="s">
        <v>57</v>
      </c>
      <c r="D31" s="5" t="s">
        <v>99</v>
      </c>
      <c r="E31" s="6">
        <v>32027</v>
      </c>
      <c r="F31" s="7" t="s">
        <v>32</v>
      </c>
      <c r="G31" s="5" t="s">
        <v>19</v>
      </c>
      <c r="H31" s="5" t="s">
        <v>65</v>
      </c>
      <c r="I31" s="5" t="s">
        <v>52</v>
      </c>
      <c r="J31" s="2">
        <v>47000</v>
      </c>
      <c r="P31">
        <v>150968</v>
      </c>
      <c r="Q31" s="100" t="s">
        <v>94</v>
      </c>
      <c r="R31" s="100" t="s">
        <v>95</v>
      </c>
      <c r="S31">
        <v>37208</v>
      </c>
      <c r="T31" s="100" t="s">
        <v>32</v>
      </c>
      <c r="U31" s="100" t="s">
        <v>19</v>
      </c>
      <c r="V31" t="str">
        <f t="shared" si="0"/>
        <v>South</v>
      </c>
      <c r="W31" t="str">
        <f t="shared" si="1"/>
        <v>Operations</v>
      </c>
      <c r="X31">
        <f t="shared" si="2"/>
        <v>65000</v>
      </c>
      <c r="AA31" s="4">
        <v>150937</v>
      </c>
      <c r="AB31" s="5" t="s">
        <v>45</v>
      </c>
      <c r="AC31" s="5" t="s">
        <v>34</v>
      </c>
      <c r="AD31" s="2">
        <v>37000</v>
      </c>
    </row>
    <row r="32" spans="2:30" x14ac:dyDescent="0.25">
      <c r="B32" s="4">
        <v>150962</v>
      </c>
      <c r="C32" s="5" t="s">
        <v>100</v>
      </c>
      <c r="D32" s="5" t="s">
        <v>101</v>
      </c>
      <c r="E32" s="6">
        <v>37773</v>
      </c>
      <c r="F32" s="7" t="s">
        <v>18</v>
      </c>
      <c r="G32" s="5" t="s">
        <v>19</v>
      </c>
      <c r="H32" s="5" t="s">
        <v>41</v>
      </c>
      <c r="I32" s="5" t="s">
        <v>34</v>
      </c>
      <c r="J32" s="2">
        <v>87000</v>
      </c>
      <c r="P32">
        <v>150773</v>
      </c>
      <c r="Q32" s="100" t="s">
        <v>96</v>
      </c>
      <c r="R32" s="100" t="s">
        <v>97</v>
      </c>
      <c r="S32">
        <v>26860</v>
      </c>
      <c r="T32" s="100" t="s">
        <v>32</v>
      </c>
      <c r="U32" s="100" t="s">
        <v>19</v>
      </c>
      <c r="V32" t="str">
        <f t="shared" si="0"/>
        <v>North</v>
      </c>
      <c r="W32" t="str">
        <f t="shared" si="1"/>
        <v>Finance</v>
      </c>
      <c r="X32">
        <f t="shared" si="2"/>
        <v>85000</v>
      </c>
      <c r="AA32" s="4">
        <v>150940</v>
      </c>
      <c r="AB32" s="5" t="s">
        <v>33</v>
      </c>
      <c r="AC32" s="5" t="s">
        <v>34</v>
      </c>
      <c r="AD32" s="2">
        <v>87000</v>
      </c>
    </row>
    <row r="33" spans="2:30" x14ac:dyDescent="0.25">
      <c r="B33" s="4">
        <v>150954</v>
      </c>
      <c r="C33" s="5" t="s">
        <v>102</v>
      </c>
      <c r="D33" s="5" t="s">
        <v>101</v>
      </c>
      <c r="E33" s="6">
        <v>35495</v>
      </c>
      <c r="F33" s="7" t="s">
        <v>18</v>
      </c>
      <c r="G33" s="5" t="s">
        <v>19</v>
      </c>
      <c r="H33" s="5" t="s">
        <v>93</v>
      </c>
      <c r="I33" s="5" t="s">
        <v>34</v>
      </c>
      <c r="J33" s="2">
        <v>57000</v>
      </c>
      <c r="P33">
        <v>150840</v>
      </c>
      <c r="Q33" s="100" t="s">
        <v>66</v>
      </c>
      <c r="R33" s="100" t="s">
        <v>98</v>
      </c>
      <c r="S33">
        <v>23136</v>
      </c>
      <c r="T33" s="100" t="s">
        <v>18</v>
      </c>
      <c r="U33" s="100" t="s">
        <v>19</v>
      </c>
      <c r="V33" t="str">
        <f t="shared" si="0"/>
        <v>East</v>
      </c>
      <c r="W33" t="str">
        <f t="shared" si="1"/>
        <v>Inside Sales</v>
      </c>
      <c r="X33">
        <f t="shared" si="2"/>
        <v>20000</v>
      </c>
      <c r="AA33" s="4">
        <v>150947</v>
      </c>
      <c r="AB33" s="5" t="s">
        <v>65</v>
      </c>
      <c r="AC33" s="5" t="s">
        <v>34</v>
      </c>
      <c r="AD33" s="2">
        <v>85000</v>
      </c>
    </row>
    <row r="34" spans="2:30" x14ac:dyDescent="0.25">
      <c r="B34" s="4">
        <v>150874</v>
      </c>
      <c r="C34" s="5" t="s">
        <v>103</v>
      </c>
      <c r="D34" s="5" t="s">
        <v>101</v>
      </c>
      <c r="E34" s="6">
        <v>37890</v>
      </c>
      <c r="F34" s="7" t="s">
        <v>18</v>
      </c>
      <c r="G34" s="5" t="s">
        <v>19</v>
      </c>
      <c r="H34" s="5" t="s">
        <v>38</v>
      </c>
      <c r="I34" s="5" t="s">
        <v>52</v>
      </c>
      <c r="J34" s="2">
        <v>27000</v>
      </c>
      <c r="P34">
        <v>150850</v>
      </c>
      <c r="Q34" s="100" t="s">
        <v>57</v>
      </c>
      <c r="R34" s="100" t="s">
        <v>99</v>
      </c>
      <c r="S34">
        <v>32027</v>
      </c>
      <c r="T34" s="100" t="s">
        <v>32</v>
      </c>
      <c r="U34" s="100" t="s">
        <v>19</v>
      </c>
      <c r="V34" t="str">
        <f t="shared" si="0"/>
        <v>East</v>
      </c>
      <c r="W34" t="str">
        <f t="shared" si="1"/>
        <v>CCD</v>
      </c>
      <c r="X34">
        <f t="shared" si="2"/>
        <v>47000</v>
      </c>
      <c r="AA34" s="4">
        <v>150962</v>
      </c>
      <c r="AB34" s="5" t="s">
        <v>41</v>
      </c>
      <c r="AC34" s="5" t="s">
        <v>34</v>
      </c>
      <c r="AD34" s="2">
        <v>87000</v>
      </c>
    </row>
    <row r="35" spans="2:30" x14ac:dyDescent="0.25">
      <c r="B35" s="4">
        <v>150798</v>
      </c>
      <c r="C35" s="5" t="s">
        <v>104</v>
      </c>
      <c r="D35" s="5" t="s">
        <v>101</v>
      </c>
      <c r="E35" s="6">
        <v>28276</v>
      </c>
      <c r="F35" s="7" t="s">
        <v>18</v>
      </c>
      <c r="G35" s="5" t="s">
        <v>19</v>
      </c>
      <c r="H35" s="5" t="s">
        <v>26</v>
      </c>
      <c r="I35" s="5" t="s">
        <v>21</v>
      </c>
      <c r="J35" s="2">
        <v>81000</v>
      </c>
      <c r="P35">
        <v>150962</v>
      </c>
      <c r="Q35" s="100" t="s">
        <v>100</v>
      </c>
      <c r="R35" s="100" t="s">
        <v>101</v>
      </c>
      <c r="S35">
        <v>37773</v>
      </c>
      <c r="T35" s="100" t="s">
        <v>18</v>
      </c>
      <c r="U35" s="100" t="s">
        <v>19</v>
      </c>
      <c r="V35" t="str">
        <f t="shared" si="0"/>
        <v>South</v>
      </c>
      <c r="W35" t="str">
        <f t="shared" si="1"/>
        <v>Director</v>
      </c>
      <c r="X35">
        <f t="shared" si="2"/>
        <v>87000</v>
      </c>
      <c r="AA35" s="4">
        <v>150968</v>
      </c>
      <c r="AB35" s="5" t="s">
        <v>79</v>
      </c>
      <c r="AC35" s="5" t="s">
        <v>34</v>
      </c>
      <c r="AD35" s="2">
        <v>65000</v>
      </c>
    </row>
    <row r="36" spans="2:30" x14ac:dyDescent="0.25">
      <c r="B36" s="4">
        <v>150830</v>
      </c>
      <c r="C36" s="5" t="s">
        <v>105</v>
      </c>
      <c r="D36" s="5" t="s">
        <v>106</v>
      </c>
      <c r="E36" s="6">
        <v>29037</v>
      </c>
      <c r="F36" s="7" t="s">
        <v>18</v>
      </c>
      <c r="G36" s="5" t="s">
        <v>19</v>
      </c>
      <c r="H36" s="5" t="s">
        <v>93</v>
      </c>
      <c r="I36" s="5" t="s">
        <v>21</v>
      </c>
      <c r="J36" s="2">
        <v>52000</v>
      </c>
      <c r="P36">
        <v>150954</v>
      </c>
      <c r="Q36" s="100" t="s">
        <v>102</v>
      </c>
      <c r="R36" s="100" t="s">
        <v>101</v>
      </c>
      <c r="S36">
        <v>35495</v>
      </c>
      <c r="T36" s="100" t="s">
        <v>18</v>
      </c>
      <c r="U36" s="100" t="s">
        <v>19</v>
      </c>
      <c r="V36" t="str">
        <f t="shared" si="0"/>
        <v>Retired</v>
      </c>
      <c r="W36" t="str">
        <f t="shared" si="1"/>
        <v>Retired</v>
      </c>
      <c r="X36" t="str">
        <f t="shared" si="2"/>
        <v>Retired</v>
      </c>
      <c r="AA36" s="4">
        <v>150975</v>
      </c>
      <c r="AB36" s="5" t="s">
        <v>82</v>
      </c>
      <c r="AC36" s="5" t="s">
        <v>46</v>
      </c>
      <c r="AD36" s="2">
        <v>83000</v>
      </c>
    </row>
    <row r="37" spans="2:30" x14ac:dyDescent="0.25">
      <c r="B37" s="4">
        <v>150929</v>
      </c>
      <c r="C37" s="5" t="s">
        <v>107</v>
      </c>
      <c r="D37" s="5" t="s">
        <v>108</v>
      </c>
      <c r="E37" s="6">
        <v>26739</v>
      </c>
      <c r="F37" s="7" t="s">
        <v>32</v>
      </c>
      <c r="G37" s="5" t="s">
        <v>19</v>
      </c>
      <c r="H37" s="5" t="s">
        <v>38</v>
      </c>
      <c r="I37" s="5" t="s">
        <v>34</v>
      </c>
      <c r="J37" s="2">
        <v>58000</v>
      </c>
      <c r="P37">
        <v>150874</v>
      </c>
      <c r="Q37" s="100" t="s">
        <v>103</v>
      </c>
      <c r="R37" s="100" t="s">
        <v>101</v>
      </c>
      <c r="S37">
        <v>37890</v>
      </c>
      <c r="T37" s="100" t="s">
        <v>18</v>
      </c>
      <c r="U37" s="100" t="s">
        <v>19</v>
      </c>
      <c r="V37" t="str">
        <f t="shared" si="0"/>
        <v>East</v>
      </c>
      <c r="W37" t="str">
        <f t="shared" si="1"/>
        <v>Marketing</v>
      </c>
      <c r="X37">
        <f t="shared" si="2"/>
        <v>27000</v>
      </c>
      <c r="AA37" s="4">
        <v>150982</v>
      </c>
      <c r="AB37" s="5" t="s">
        <v>38</v>
      </c>
      <c r="AC37" s="5" t="s">
        <v>46</v>
      </c>
      <c r="AD37" s="2">
        <v>47000</v>
      </c>
    </row>
    <row r="38" spans="2:30" x14ac:dyDescent="0.25">
      <c r="B38" s="4">
        <v>150982</v>
      </c>
      <c r="C38" s="5" t="s">
        <v>109</v>
      </c>
      <c r="D38" s="5" t="s">
        <v>110</v>
      </c>
      <c r="E38" s="6">
        <v>35574</v>
      </c>
      <c r="F38" s="7" t="s">
        <v>32</v>
      </c>
      <c r="G38" s="5" t="s">
        <v>19</v>
      </c>
      <c r="H38" s="5" t="s">
        <v>38</v>
      </c>
      <c r="I38" s="5" t="s">
        <v>46</v>
      </c>
      <c r="J38" s="2">
        <v>47000</v>
      </c>
      <c r="P38">
        <v>150798</v>
      </c>
      <c r="Q38" s="100" t="s">
        <v>104</v>
      </c>
      <c r="R38" s="100" t="s">
        <v>101</v>
      </c>
      <c r="S38">
        <v>28276</v>
      </c>
      <c r="T38" s="100" t="s">
        <v>18</v>
      </c>
      <c r="U38" s="100" t="s">
        <v>19</v>
      </c>
      <c r="V38" t="str">
        <f t="shared" si="0"/>
        <v>North</v>
      </c>
      <c r="W38" t="str">
        <f t="shared" si="1"/>
        <v>Digital Marketing</v>
      </c>
      <c r="X38">
        <f t="shared" si="2"/>
        <v>81000</v>
      </c>
      <c r="AA38" s="4">
        <v>150989</v>
      </c>
      <c r="AB38" s="5" t="s">
        <v>26</v>
      </c>
      <c r="AC38" s="5" t="s">
        <v>46</v>
      </c>
      <c r="AD38" s="2">
        <v>45000</v>
      </c>
    </row>
    <row r="39" spans="2:30" x14ac:dyDescent="0.25">
      <c r="B39" s="4">
        <v>150821</v>
      </c>
      <c r="C39" s="5" t="s">
        <v>111</v>
      </c>
      <c r="D39" s="5" t="s">
        <v>112</v>
      </c>
      <c r="E39" s="6">
        <v>29966</v>
      </c>
      <c r="F39" s="7" t="s">
        <v>32</v>
      </c>
      <c r="G39" s="5" t="s">
        <v>25</v>
      </c>
      <c r="H39" s="5" t="s">
        <v>65</v>
      </c>
      <c r="I39" s="5" t="s">
        <v>21</v>
      </c>
      <c r="J39" s="2">
        <v>26000</v>
      </c>
      <c r="P39">
        <v>150830</v>
      </c>
      <c r="Q39" s="100" t="s">
        <v>105</v>
      </c>
      <c r="R39" s="100" t="s">
        <v>106</v>
      </c>
      <c r="S39">
        <v>29037</v>
      </c>
      <c r="T39" s="100" t="s">
        <v>18</v>
      </c>
      <c r="U39" s="100" t="s">
        <v>19</v>
      </c>
      <c r="V39" t="str">
        <f t="shared" si="0"/>
        <v>North</v>
      </c>
      <c r="W39" t="str">
        <f t="shared" si="1"/>
        <v>Sales</v>
      </c>
      <c r="X39">
        <f t="shared" si="2"/>
        <v>52000</v>
      </c>
      <c r="AA39" s="4">
        <v>150990</v>
      </c>
      <c r="AB39" s="5" t="s">
        <v>45</v>
      </c>
      <c r="AC39" s="5" t="s">
        <v>46</v>
      </c>
      <c r="AD39" s="2">
        <v>77000</v>
      </c>
    </row>
    <row r="40" spans="2:30" x14ac:dyDescent="0.25">
      <c r="P40">
        <v>150929</v>
      </c>
      <c r="Q40" s="100" t="s">
        <v>107</v>
      </c>
      <c r="R40" s="100" t="s">
        <v>108</v>
      </c>
      <c r="S40">
        <v>26739</v>
      </c>
      <c r="T40" s="100" t="s">
        <v>32</v>
      </c>
      <c r="U40" s="100" t="s">
        <v>19</v>
      </c>
      <c r="V40" t="str">
        <f t="shared" si="0"/>
        <v>South</v>
      </c>
      <c r="W40" t="str">
        <f t="shared" si="1"/>
        <v>Marketing</v>
      </c>
      <c r="X40">
        <f t="shared" si="2"/>
        <v>58000</v>
      </c>
      <c r="AA40" s="4">
        <v>150995</v>
      </c>
      <c r="AB40" s="5" t="s">
        <v>33</v>
      </c>
      <c r="AC40" s="5" t="s">
        <v>46</v>
      </c>
      <c r="AD40" s="2">
        <v>15000</v>
      </c>
    </row>
    <row r="41" spans="2:30" x14ac:dyDescent="0.25">
      <c r="P41">
        <v>150982</v>
      </c>
      <c r="Q41" s="100" t="s">
        <v>109</v>
      </c>
      <c r="R41" s="100" t="s">
        <v>110</v>
      </c>
      <c r="S41">
        <v>35574</v>
      </c>
      <c r="T41" s="100" t="s">
        <v>32</v>
      </c>
      <c r="U41" s="100" t="s">
        <v>19</v>
      </c>
      <c r="V41" t="str">
        <f t="shared" si="0"/>
        <v>Mid West</v>
      </c>
      <c r="W41" t="str">
        <f t="shared" si="1"/>
        <v>Marketing</v>
      </c>
      <c r="X41">
        <f t="shared" si="2"/>
        <v>47000</v>
      </c>
    </row>
    <row r="42" spans="2:30" x14ac:dyDescent="0.25">
      <c r="P42">
        <v>150821</v>
      </c>
      <c r="Q42" s="100" t="s">
        <v>111</v>
      </c>
      <c r="R42" s="100" t="s">
        <v>112</v>
      </c>
      <c r="S42">
        <v>29966</v>
      </c>
      <c r="T42" s="100" t="s">
        <v>32</v>
      </c>
      <c r="U42" s="100" t="s">
        <v>25</v>
      </c>
      <c r="V42" t="str">
        <f t="shared" si="0"/>
        <v>North</v>
      </c>
      <c r="W42" t="str">
        <f t="shared" si="1"/>
        <v>CCD</v>
      </c>
      <c r="X42">
        <f t="shared" si="2"/>
        <v>26000</v>
      </c>
    </row>
  </sheetData>
  <mergeCells count="4">
    <mergeCell ref="L4:M4"/>
    <mergeCell ref="P2:V2"/>
    <mergeCell ref="P3:V3"/>
    <mergeCell ref="P1:V1"/>
  </mergeCells>
  <conditionalFormatting sqref="P4:X4">
    <cfRule type="containsText" dxfId="0" priority="1" operator="containsText" text="Retired">
      <formula>NOT(ISERROR(SEARCH("Retired",P4)))</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5FB4-23DD-4487-8CF2-BF812D07F548}">
  <dimension ref="A2:AY38"/>
  <sheetViews>
    <sheetView workbookViewId="0">
      <selection activeCell="BK24" sqref="BK24"/>
    </sheetView>
  </sheetViews>
  <sheetFormatPr defaultRowHeight="15" x14ac:dyDescent="0.25"/>
  <cols>
    <col min="2" max="2" width="12.42578125" customWidth="1"/>
    <col min="12" max="12" width="12.5703125" customWidth="1"/>
    <col min="13" max="13" width="11.85546875" customWidth="1"/>
    <col min="14" max="14" width="11.5703125" customWidth="1"/>
    <col min="15" max="15" width="13" customWidth="1"/>
    <col min="27" max="27" width="12.28515625" bestFit="1" customWidth="1"/>
    <col min="38" max="38" width="14.5703125" customWidth="1"/>
    <col min="39" max="39" width="22.7109375" customWidth="1"/>
    <col min="50" max="50" width="12.42578125" customWidth="1"/>
    <col min="51" max="51" width="13.7109375" customWidth="1"/>
  </cols>
  <sheetData>
    <row r="2" spans="1:51" x14ac:dyDescent="0.25">
      <c r="A2" s="174" t="s">
        <v>370</v>
      </c>
      <c r="B2" s="174"/>
      <c r="C2" s="174"/>
      <c r="D2" s="174"/>
      <c r="X2" s="174" t="s">
        <v>376</v>
      </c>
      <c r="Y2" s="174"/>
      <c r="Z2" s="174"/>
      <c r="AA2" s="174"/>
      <c r="AK2" s="167" t="s">
        <v>383</v>
      </c>
      <c r="AL2" s="167"/>
      <c r="AM2" s="167"/>
      <c r="AV2" s="167" t="s">
        <v>398</v>
      </c>
      <c r="AW2" s="167"/>
      <c r="AX2" s="167"/>
      <c r="AY2" s="167"/>
    </row>
    <row r="3" spans="1:51" x14ac:dyDescent="0.25">
      <c r="A3" s="174" t="s">
        <v>371</v>
      </c>
      <c r="B3" s="174"/>
      <c r="C3" s="174"/>
      <c r="D3" s="174"/>
      <c r="L3" s="174" t="s">
        <v>373</v>
      </c>
      <c r="M3" s="174"/>
      <c r="N3" s="174"/>
      <c r="O3" s="174"/>
      <c r="X3" s="174" t="s">
        <v>371</v>
      </c>
      <c r="Y3" s="174"/>
      <c r="Z3" s="174"/>
      <c r="AA3" s="174"/>
      <c r="AK3" s="167" t="s">
        <v>371</v>
      </c>
      <c r="AL3" s="167"/>
      <c r="AM3" s="167"/>
      <c r="AV3" s="167" t="s">
        <v>371</v>
      </c>
      <c r="AW3" s="167"/>
      <c r="AX3" s="167"/>
      <c r="AY3" s="167"/>
    </row>
    <row r="4" spans="1:51" x14ac:dyDescent="0.25">
      <c r="L4" s="174" t="s">
        <v>371</v>
      </c>
      <c r="M4" s="174"/>
      <c r="N4" s="174"/>
      <c r="O4" s="174"/>
    </row>
    <row r="5" spans="1:51" x14ac:dyDescent="0.25">
      <c r="A5" s="32" t="s">
        <v>267</v>
      </c>
      <c r="B5" s="32" t="s">
        <v>372</v>
      </c>
      <c r="X5" s="109" t="s">
        <v>377</v>
      </c>
      <c r="Y5" s="110" t="s">
        <v>378</v>
      </c>
    </row>
    <row r="6" spans="1:51" ht="31.5" x14ac:dyDescent="0.25">
      <c r="A6" s="101">
        <v>1990</v>
      </c>
      <c r="B6" s="102">
        <v>2156</v>
      </c>
      <c r="L6" s="104" t="s">
        <v>267</v>
      </c>
      <c r="M6" s="104" t="s">
        <v>372</v>
      </c>
      <c r="N6" s="104" t="s">
        <v>374</v>
      </c>
      <c r="O6" s="105" t="s">
        <v>375</v>
      </c>
      <c r="X6" s="111" t="s">
        <v>379</v>
      </c>
      <c r="Y6" s="111" t="s">
        <v>380</v>
      </c>
      <c r="Z6" s="110" t="s">
        <v>381</v>
      </c>
      <c r="AA6" s="110" t="s">
        <v>382</v>
      </c>
      <c r="AK6" s="10" t="s">
        <v>384</v>
      </c>
      <c r="AL6" s="10" t="s">
        <v>385</v>
      </c>
      <c r="AV6" s="116" t="s">
        <v>399</v>
      </c>
      <c r="AW6" s="117" t="s">
        <v>400</v>
      </c>
      <c r="AX6" s="117" t="s">
        <v>401</v>
      </c>
      <c r="AY6" s="118" t="s">
        <v>402</v>
      </c>
    </row>
    <row r="7" spans="1:51" x14ac:dyDescent="0.25">
      <c r="A7" s="101">
        <v>1991</v>
      </c>
      <c r="B7" s="102">
        <v>3562</v>
      </c>
      <c r="L7" s="61">
        <v>38353</v>
      </c>
      <c r="M7" s="106">
        <v>528</v>
      </c>
      <c r="N7" s="107"/>
      <c r="O7" s="14"/>
      <c r="X7" s="112">
        <v>130</v>
      </c>
      <c r="Y7" s="112">
        <v>3504</v>
      </c>
      <c r="Z7">
        <f>X7-AVERAGE($X$7:$X$38)</f>
        <v>-12.5</v>
      </c>
      <c r="AA7" s="114">
        <f>Y7-AVERAGE($Y$7:$Y$38)</f>
        <v>240.46875</v>
      </c>
      <c r="AK7" s="10" t="s">
        <v>386</v>
      </c>
      <c r="AL7" s="115">
        <v>100000</v>
      </c>
      <c r="AV7" s="119" t="s">
        <v>403</v>
      </c>
      <c r="AW7" s="120">
        <v>40081</v>
      </c>
      <c r="AX7" s="121">
        <v>40240</v>
      </c>
      <c r="AY7" s="122">
        <f>AX7-AW7</f>
        <v>159</v>
      </c>
    </row>
    <row r="8" spans="1:51" x14ac:dyDescent="0.25">
      <c r="A8" s="101">
        <v>1992</v>
      </c>
      <c r="B8" s="102">
        <v>7506</v>
      </c>
      <c r="L8" s="61">
        <v>38718</v>
      </c>
      <c r="M8" s="106">
        <v>4550</v>
      </c>
      <c r="N8" s="108">
        <f>SUM($M$7:M8)</f>
        <v>5078</v>
      </c>
      <c r="O8" s="107">
        <f>N8/$N$24</f>
        <v>6.5615712624370076E-2</v>
      </c>
      <c r="X8" s="113">
        <v>165</v>
      </c>
      <c r="Y8" s="113">
        <v>3693</v>
      </c>
      <c r="Z8">
        <f t="shared" ref="Z8:Z38" si="0">X8-AVERAGE($X$7:$X$38)</f>
        <v>22.5</v>
      </c>
      <c r="AA8" s="114">
        <f t="shared" ref="AA8:AA38" si="1">Y8-AVERAGE($Y$7:$Y$38)</f>
        <v>429.46875</v>
      </c>
      <c r="AK8" s="10" t="s">
        <v>387</v>
      </c>
      <c r="AL8" s="115">
        <v>-25000</v>
      </c>
      <c r="AV8" s="123" t="s">
        <v>404</v>
      </c>
      <c r="AW8" s="124">
        <v>40081</v>
      </c>
      <c r="AX8" s="125">
        <v>40195</v>
      </c>
      <c r="AY8" s="122">
        <f t="shared" ref="AY8:AY17" si="2">AX8-AW8</f>
        <v>114</v>
      </c>
    </row>
    <row r="9" spans="1:51" x14ac:dyDescent="0.25">
      <c r="A9" s="101">
        <v>1993</v>
      </c>
      <c r="B9" s="102">
        <v>6258</v>
      </c>
      <c r="L9" s="61">
        <v>39083</v>
      </c>
      <c r="M9" s="106">
        <v>8189</v>
      </c>
      <c r="N9" s="108">
        <f>SUM($M$7:M9)</f>
        <v>13267</v>
      </c>
      <c r="O9" s="107">
        <f t="shared" ref="O9:O24" si="3">N9/$N$24</f>
        <v>0.17143041736658482</v>
      </c>
      <c r="X9" s="112">
        <v>150</v>
      </c>
      <c r="Y9" s="112">
        <v>3436</v>
      </c>
      <c r="Z9">
        <f t="shared" si="0"/>
        <v>7.5</v>
      </c>
      <c r="AA9" s="114">
        <f t="shared" si="1"/>
        <v>172.46875</v>
      </c>
      <c r="AK9" s="10" t="s">
        <v>388</v>
      </c>
      <c r="AL9" s="115">
        <v>10000</v>
      </c>
      <c r="AV9" s="123" t="s">
        <v>405</v>
      </c>
      <c r="AW9" s="124">
        <v>40119</v>
      </c>
      <c r="AX9" s="125">
        <v>40207</v>
      </c>
      <c r="AY9" s="122">
        <f t="shared" si="2"/>
        <v>88</v>
      </c>
    </row>
    <row r="10" spans="1:51" x14ac:dyDescent="0.25">
      <c r="A10" s="101">
        <v>1994</v>
      </c>
      <c r="B10" s="102">
        <v>6279</v>
      </c>
      <c r="L10" s="61">
        <v>39448</v>
      </c>
      <c r="M10" s="106">
        <v>1730</v>
      </c>
      <c r="N10" s="108">
        <f>SUM($M$7:M10)</f>
        <v>14997</v>
      </c>
      <c r="O10" s="107">
        <f t="shared" si="3"/>
        <v>0.19378472670887711</v>
      </c>
      <c r="X10" s="113">
        <v>150</v>
      </c>
      <c r="Y10" s="113">
        <v>3433</v>
      </c>
      <c r="Z10">
        <f t="shared" si="0"/>
        <v>7.5</v>
      </c>
      <c r="AA10" s="114">
        <f t="shared" si="1"/>
        <v>169.46875</v>
      </c>
      <c r="AK10" s="10" t="s">
        <v>389</v>
      </c>
      <c r="AL10" s="115">
        <v>14000</v>
      </c>
      <c r="AV10" s="123" t="s">
        <v>406</v>
      </c>
      <c r="AW10" s="124">
        <v>40148</v>
      </c>
      <c r="AX10" s="125">
        <v>40168</v>
      </c>
      <c r="AY10" s="122">
        <f t="shared" si="2"/>
        <v>20</v>
      </c>
    </row>
    <row r="11" spans="1:51" x14ac:dyDescent="0.25">
      <c r="A11" s="101">
        <v>1995</v>
      </c>
      <c r="B11" s="102">
        <v>1963</v>
      </c>
      <c r="L11" s="61">
        <v>39814</v>
      </c>
      <c r="M11" s="106">
        <v>5262</v>
      </c>
      <c r="N11" s="108">
        <f>SUM($M$7:M11)</f>
        <v>20259</v>
      </c>
      <c r="O11" s="107">
        <f t="shared" si="3"/>
        <v>0.26177800749450836</v>
      </c>
      <c r="X11" s="112">
        <v>140</v>
      </c>
      <c r="Y11" s="112">
        <v>3449</v>
      </c>
      <c r="Z11">
        <f t="shared" si="0"/>
        <v>-2.5</v>
      </c>
      <c r="AA11" s="114">
        <f t="shared" si="1"/>
        <v>185.46875</v>
      </c>
      <c r="AK11" s="10" t="s">
        <v>390</v>
      </c>
      <c r="AL11" s="115">
        <v>-15000</v>
      </c>
      <c r="AV11" s="123" t="s">
        <v>407</v>
      </c>
      <c r="AW11" s="124">
        <v>40148</v>
      </c>
      <c r="AX11" s="125">
        <v>40193</v>
      </c>
      <c r="AY11" s="122">
        <f t="shared" si="2"/>
        <v>45</v>
      </c>
    </row>
    <row r="12" spans="1:51" x14ac:dyDescent="0.25">
      <c r="A12" s="101">
        <v>1996</v>
      </c>
      <c r="B12" s="102">
        <v>6736</v>
      </c>
      <c r="L12" s="61">
        <v>40179</v>
      </c>
      <c r="M12" s="106">
        <v>2172</v>
      </c>
      <c r="N12" s="108">
        <f>SUM($M$7:M12)</f>
        <v>22431</v>
      </c>
      <c r="O12" s="107">
        <f t="shared" si="3"/>
        <v>0.28984364905026488</v>
      </c>
      <c r="X12" s="113">
        <v>198</v>
      </c>
      <c r="Y12" s="113">
        <v>4341</v>
      </c>
      <c r="Z12">
        <f t="shared" si="0"/>
        <v>55.5</v>
      </c>
      <c r="AA12" s="114">
        <f t="shared" si="1"/>
        <v>1077.46875</v>
      </c>
      <c r="AK12" s="10" t="s">
        <v>391</v>
      </c>
      <c r="AL12" s="115">
        <v>-5000</v>
      </c>
      <c r="AV12" s="123" t="s">
        <v>408</v>
      </c>
      <c r="AW12" s="124">
        <v>40168</v>
      </c>
      <c r="AX12" s="125">
        <v>40193</v>
      </c>
      <c r="AY12" s="122">
        <f t="shared" si="2"/>
        <v>25</v>
      </c>
    </row>
    <row r="13" spans="1:51" x14ac:dyDescent="0.25">
      <c r="A13" s="101">
        <v>1997</v>
      </c>
      <c r="B13" s="102">
        <v>3280</v>
      </c>
      <c r="L13" s="61">
        <v>40544</v>
      </c>
      <c r="M13" s="106">
        <v>4384</v>
      </c>
      <c r="N13" s="108">
        <f>SUM($M$7:M13)</f>
        <v>26815</v>
      </c>
      <c r="O13" s="107">
        <f t="shared" si="3"/>
        <v>0.34649179480553044</v>
      </c>
      <c r="X13" s="112">
        <v>220</v>
      </c>
      <c r="Y13" s="112">
        <v>4354</v>
      </c>
      <c r="Z13">
        <f t="shared" si="0"/>
        <v>77.5</v>
      </c>
      <c r="AA13" s="114">
        <f t="shared" si="1"/>
        <v>1090.46875</v>
      </c>
      <c r="AK13" s="10" t="s">
        <v>392</v>
      </c>
      <c r="AL13" s="115">
        <v>7000</v>
      </c>
      <c r="AV13" s="123" t="s">
        <v>409</v>
      </c>
      <c r="AW13" s="124">
        <v>40182</v>
      </c>
      <c r="AX13" s="125">
        <v>40207</v>
      </c>
      <c r="AY13" s="122">
        <f t="shared" si="2"/>
        <v>25</v>
      </c>
    </row>
    <row r="14" spans="1:51" x14ac:dyDescent="0.25">
      <c r="A14" s="101">
        <v>1998</v>
      </c>
      <c r="B14" s="102">
        <v>8398</v>
      </c>
      <c r="L14" s="61">
        <v>40909</v>
      </c>
      <c r="M14" s="106">
        <v>8709</v>
      </c>
      <c r="N14" s="108">
        <f>SUM($M$7:M14)</f>
        <v>35524</v>
      </c>
      <c r="O14" s="107">
        <f t="shared" si="3"/>
        <v>0.45902571391652669</v>
      </c>
      <c r="X14" s="113">
        <v>215</v>
      </c>
      <c r="Y14" s="113">
        <v>4312</v>
      </c>
      <c r="Z14">
        <f t="shared" si="0"/>
        <v>72.5</v>
      </c>
      <c r="AA14" s="114">
        <f t="shared" si="1"/>
        <v>1048.46875</v>
      </c>
      <c r="AK14" s="10" t="s">
        <v>393</v>
      </c>
      <c r="AL14" s="115">
        <v>8500</v>
      </c>
      <c r="AV14" s="123" t="s">
        <v>410</v>
      </c>
      <c r="AW14" s="124">
        <v>40182</v>
      </c>
      <c r="AX14" s="125">
        <v>40233</v>
      </c>
      <c r="AY14" s="122">
        <f t="shared" si="2"/>
        <v>51</v>
      </c>
    </row>
    <row r="15" spans="1:51" x14ac:dyDescent="0.25">
      <c r="A15" s="101">
        <v>1999</v>
      </c>
      <c r="B15" s="102">
        <v>2882</v>
      </c>
      <c r="L15" s="61">
        <v>41275</v>
      </c>
      <c r="M15" s="106">
        <v>3618</v>
      </c>
      <c r="N15" s="108">
        <f>SUM($M$7:M15)</f>
        <v>39142</v>
      </c>
      <c r="O15" s="107">
        <f t="shared" si="3"/>
        <v>0.50577594004393334</v>
      </c>
      <c r="X15" s="112">
        <v>225</v>
      </c>
      <c r="Y15" s="112">
        <v>4425</v>
      </c>
      <c r="Z15">
        <f t="shared" si="0"/>
        <v>82.5</v>
      </c>
      <c r="AA15" s="114">
        <f t="shared" si="1"/>
        <v>1161.46875</v>
      </c>
      <c r="AK15" s="10" t="s">
        <v>394</v>
      </c>
      <c r="AL15" s="115">
        <v>-10000</v>
      </c>
      <c r="AV15" s="123" t="s">
        <v>404</v>
      </c>
      <c r="AW15" s="124">
        <v>40182</v>
      </c>
      <c r="AX15" s="125">
        <v>40189</v>
      </c>
      <c r="AY15" s="122">
        <f t="shared" si="2"/>
        <v>7</v>
      </c>
    </row>
    <row r="16" spans="1:51" x14ac:dyDescent="0.25">
      <c r="A16" s="101">
        <v>2000</v>
      </c>
      <c r="B16" s="102">
        <v>4686</v>
      </c>
      <c r="L16" s="61">
        <v>41640</v>
      </c>
      <c r="M16" s="106">
        <v>6372</v>
      </c>
      <c r="N16" s="108">
        <f>SUM($M$7:M16)</f>
        <v>45514</v>
      </c>
      <c r="O16" s="107">
        <f t="shared" si="3"/>
        <v>0.58811215919369431</v>
      </c>
      <c r="X16" s="113">
        <v>190</v>
      </c>
      <c r="Y16" s="113">
        <v>3850</v>
      </c>
      <c r="Z16">
        <f t="shared" si="0"/>
        <v>47.5</v>
      </c>
      <c r="AA16" s="114">
        <f t="shared" si="1"/>
        <v>586.46875</v>
      </c>
      <c r="AK16" s="10" t="s">
        <v>395</v>
      </c>
      <c r="AL16" s="115">
        <v>-16000</v>
      </c>
      <c r="AV16" s="123" t="s">
        <v>405</v>
      </c>
      <c r="AW16" s="124">
        <v>40189</v>
      </c>
      <c r="AX16" s="125">
        <v>40204</v>
      </c>
      <c r="AY16" s="122">
        <f t="shared" si="2"/>
        <v>15</v>
      </c>
    </row>
    <row r="17" spans="1:51" x14ac:dyDescent="0.25">
      <c r="A17" s="101">
        <v>2001</v>
      </c>
      <c r="B17" s="102">
        <v>6976</v>
      </c>
      <c r="L17" s="61">
        <v>42005</v>
      </c>
      <c r="M17" s="106">
        <v>3456</v>
      </c>
      <c r="N17" s="108">
        <f>SUM($M$7:M17)</f>
        <v>48970</v>
      </c>
      <c r="O17" s="107">
        <f t="shared" si="3"/>
        <v>0.6327690916139036</v>
      </c>
      <c r="X17" s="112">
        <v>170</v>
      </c>
      <c r="Y17" s="112">
        <v>3563</v>
      </c>
      <c r="Z17">
        <f t="shared" si="0"/>
        <v>27.5</v>
      </c>
      <c r="AA17" s="114">
        <f t="shared" si="1"/>
        <v>299.46875</v>
      </c>
      <c r="AK17" s="10" t="s">
        <v>396</v>
      </c>
      <c r="AL17" s="115">
        <v>10000</v>
      </c>
      <c r="AV17" s="123" t="s">
        <v>406</v>
      </c>
      <c r="AW17" s="124">
        <v>40203</v>
      </c>
      <c r="AX17" s="126">
        <v>40233</v>
      </c>
      <c r="AY17" s="122">
        <f t="shared" si="2"/>
        <v>30</v>
      </c>
    </row>
    <row r="18" spans="1:51" x14ac:dyDescent="0.25">
      <c r="A18" s="101">
        <v>2002</v>
      </c>
      <c r="B18" s="102">
        <v>2173</v>
      </c>
      <c r="L18" s="61">
        <v>42370</v>
      </c>
      <c r="M18" s="106">
        <v>7478</v>
      </c>
      <c r="N18" s="108">
        <f>SUM($M$7:M18)</f>
        <v>56448</v>
      </c>
      <c r="O18" s="107">
        <f t="shared" si="3"/>
        <v>0.72939656286341903</v>
      </c>
      <c r="X18" s="113">
        <v>160</v>
      </c>
      <c r="Y18" s="113">
        <v>3609</v>
      </c>
      <c r="Z18">
        <f t="shared" si="0"/>
        <v>17.5</v>
      </c>
      <c r="AA18" s="114">
        <f t="shared" si="1"/>
        <v>345.46875</v>
      </c>
      <c r="AK18" s="10" t="s">
        <v>397</v>
      </c>
      <c r="AL18" s="115">
        <f>SUM(AL7:AL17)</f>
        <v>78500</v>
      </c>
    </row>
    <row r="19" spans="1:51" x14ac:dyDescent="0.25">
      <c r="A19" s="101">
        <v>2003</v>
      </c>
      <c r="B19" s="102">
        <v>2166</v>
      </c>
      <c r="L19" s="61">
        <v>42736</v>
      </c>
      <c r="M19" s="106">
        <v>4649</v>
      </c>
      <c r="N19" s="108">
        <f>SUM($M$7:M19)</f>
        <v>61097</v>
      </c>
      <c r="O19" s="107">
        <f t="shared" si="3"/>
        <v>0.78946892363354437</v>
      </c>
      <c r="X19" s="112">
        <v>150</v>
      </c>
      <c r="Y19" s="112">
        <v>3761</v>
      </c>
      <c r="Z19">
        <f t="shared" si="0"/>
        <v>7.5</v>
      </c>
      <c r="AA19" s="114">
        <f t="shared" si="1"/>
        <v>497.46875</v>
      </c>
    </row>
    <row r="20" spans="1:51" x14ac:dyDescent="0.25">
      <c r="A20" s="9">
        <v>2004</v>
      </c>
      <c r="B20" s="103">
        <v>8418</v>
      </c>
      <c r="L20" s="61">
        <v>43101</v>
      </c>
      <c r="M20" s="106">
        <v>5831</v>
      </c>
      <c r="N20" s="108">
        <f>SUM($M$7:M20)</f>
        <v>66928</v>
      </c>
      <c r="O20" s="107">
        <f t="shared" si="3"/>
        <v>0.86481457552655383</v>
      </c>
      <c r="X20" s="113">
        <v>225</v>
      </c>
      <c r="Y20" s="113">
        <v>3086</v>
      </c>
      <c r="Z20">
        <f t="shared" si="0"/>
        <v>82.5</v>
      </c>
      <c r="AA20" s="114">
        <f t="shared" si="1"/>
        <v>-177.53125</v>
      </c>
    </row>
    <row r="21" spans="1:51" x14ac:dyDescent="0.25">
      <c r="L21" s="61">
        <v>43466</v>
      </c>
      <c r="M21" s="106">
        <v>1599</v>
      </c>
      <c r="N21" s="108">
        <f>SUM($M$7:M21)</f>
        <v>68527</v>
      </c>
      <c r="O21" s="107">
        <f t="shared" si="3"/>
        <v>0.88547615971055693</v>
      </c>
      <c r="X21" s="112">
        <v>95</v>
      </c>
      <c r="Y21" s="112">
        <v>2372</v>
      </c>
      <c r="Z21">
        <f t="shared" si="0"/>
        <v>-47.5</v>
      </c>
      <c r="AA21" s="114">
        <f t="shared" si="1"/>
        <v>-891.53125</v>
      </c>
    </row>
    <row r="22" spans="1:51" x14ac:dyDescent="0.25">
      <c r="L22" s="61">
        <v>43831</v>
      </c>
      <c r="M22" s="106">
        <v>3695</v>
      </c>
      <c r="N22" s="108">
        <f>SUM($M$7:M22)</f>
        <v>72222</v>
      </c>
      <c r="O22" s="107">
        <f t="shared" si="3"/>
        <v>0.93322134642718702</v>
      </c>
      <c r="X22" s="113">
        <v>95</v>
      </c>
      <c r="Y22" s="113">
        <v>2833</v>
      </c>
      <c r="Z22">
        <f t="shared" si="0"/>
        <v>-47.5</v>
      </c>
      <c r="AA22" s="114">
        <f t="shared" si="1"/>
        <v>-430.53125</v>
      </c>
    </row>
    <row r="23" spans="1:51" x14ac:dyDescent="0.25">
      <c r="L23" s="61">
        <v>44197</v>
      </c>
      <c r="M23" s="106">
        <v>1678</v>
      </c>
      <c r="N23" s="108">
        <f>SUM($M$7:M23)</f>
        <v>73900</v>
      </c>
      <c r="O23" s="107">
        <f t="shared" si="3"/>
        <v>0.95490373433260112</v>
      </c>
      <c r="X23" s="112">
        <v>97</v>
      </c>
      <c r="Y23" s="112">
        <v>2774</v>
      </c>
      <c r="Z23">
        <f t="shared" si="0"/>
        <v>-45.5</v>
      </c>
      <c r="AA23" s="114">
        <f t="shared" si="1"/>
        <v>-489.53125</v>
      </c>
    </row>
    <row r="24" spans="1:51" x14ac:dyDescent="0.25">
      <c r="L24" s="61">
        <v>44562</v>
      </c>
      <c r="M24" s="106">
        <v>3490</v>
      </c>
      <c r="N24" s="108">
        <f>SUM($M$7:M24)</f>
        <v>77390</v>
      </c>
      <c r="O24" s="107">
        <f t="shared" si="3"/>
        <v>1</v>
      </c>
      <c r="X24" s="113">
        <v>85</v>
      </c>
      <c r="Y24" s="113">
        <v>2587</v>
      </c>
      <c r="Z24">
        <f t="shared" si="0"/>
        <v>-57.5</v>
      </c>
      <c r="AA24" s="114">
        <f t="shared" si="1"/>
        <v>-676.53125</v>
      </c>
    </row>
    <row r="25" spans="1:51" x14ac:dyDescent="0.25">
      <c r="X25" s="112">
        <v>88</v>
      </c>
      <c r="Y25" s="112">
        <v>2130</v>
      </c>
      <c r="Z25">
        <f t="shared" si="0"/>
        <v>-54.5</v>
      </c>
      <c r="AA25" s="114">
        <f t="shared" si="1"/>
        <v>-1133.53125</v>
      </c>
    </row>
    <row r="26" spans="1:51" x14ac:dyDescent="0.25">
      <c r="X26" s="113">
        <v>46</v>
      </c>
      <c r="Y26" s="113">
        <v>1835</v>
      </c>
      <c r="Z26">
        <f t="shared" si="0"/>
        <v>-96.5</v>
      </c>
      <c r="AA26" s="114">
        <f t="shared" si="1"/>
        <v>-1428.53125</v>
      </c>
    </row>
    <row r="27" spans="1:51" x14ac:dyDescent="0.25">
      <c r="X27" s="112">
        <v>87</v>
      </c>
      <c r="Y27" s="112">
        <v>2672</v>
      </c>
      <c r="Z27">
        <f t="shared" si="0"/>
        <v>-55.5</v>
      </c>
      <c r="AA27" s="114">
        <f t="shared" si="1"/>
        <v>-591.53125</v>
      </c>
    </row>
    <row r="28" spans="1:51" x14ac:dyDescent="0.25">
      <c r="X28" s="113">
        <v>90</v>
      </c>
      <c r="Y28" s="113">
        <v>2430</v>
      </c>
      <c r="Z28">
        <f t="shared" si="0"/>
        <v>-52.5</v>
      </c>
      <c r="AA28" s="114">
        <f t="shared" si="1"/>
        <v>-833.53125</v>
      </c>
    </row>
    <row r="29" spans="1:51" x14ac:dyDescent="0.25">
      <c r="X29" s="112">
        <v>95</v>
      </c>
      <c r="Y29" s="112">
        <v>2375</v>
      </c>
      <c r="Z29">
        <f t="shared" si="0"/>
        <v>-47.5</v>
      </c>
      <c r="AA29" s="114">
        <f t="shared" si="1"/>
        <v>-888.53125</v>
      </c>
    </row>
    <row r="30" spans="1:51" x14ac:dyDescent="0.25">
      <c r="X30" s="113">
        <v>113</v>
      </c>
      <c r="Y30" s="113">
        <v>2234</v>
      </c>
      <c r="Z30">
        <f t="shared" si="0"/>
        <v>-29.5</v>
      </c>
      <c r="AA30" s="114">
        <f t="shared" si="1"/>
        <v>-1029.53125</v>
      </c>
    </row>
    <row r="31" spans="1:51" x14ac:dyDescent="0.25">
      <c r="X31" s="112">
        <v>90</v>
      </c>
      <c r="Y31" s="112">
        <v>2648</v>
      </c>
      <c r="Z31">
        <f t="shared" si="0"/>
        <v>-52.5</v>
      </c>
      <c r="AA31" s="114">
        <f t="shared" si="1"/>
        <v>-615.53125</v>
      </c>
    </row>
    <row r="32" spans="1:51" x14ac:dyDescent="0.25">
      <c r="X32" s="113">
        <v>215</v>
      </c>
      <c r="Y32" s="113">
        <v>4615</v>
      </c>
      <c r="Z32">
        <f t="shared" si="0"/>
        <v>72.5</v>
      </c>
      <c r="AA32" s="114">
        <f t="shared" si="1"/>
        <v>1351.46875</v>
      </c>
    </row>
    <row r="33" spans="24:27" x14ac:dyDescent="0.25">
      <c r="X33" s="112">
        <v>200</v>
      </c>
      <c r="Y33" s="112">
        <v>4376</v>
      </c>
      <c r="Z33">
        <f t="shared" si="0"/>
        <v>57.5</v>
      </c>
      <c r="AA33" s="114">
        <f t="shared" si="1"/>
        <v>1112.46875</v>
      </c>
    </row>
    <row r="34" spans="24:27" x14ac:dyDescent="0.25">
      <c r="X34" s="113">
        <v>210</v>
      </c>
      <c r="Y34" s="113">
        <v>4382</v>
      </c>
      <c r="Z34">
        <f t="shared" si="0"/>
        <v>67.5</v>
      </c>
      <c r="AA34" s="114">
        <f t="shared" si="1"/>
        <v>1118.46875</v>
      </c>
    </row>
    <row r="35" spans="24:27" x14ac:dyDescent="0.25">
      <c r="X35" s="112">
        <v>193</v>
      </c>
      <c r="Y35" s="112">
        <v>4732</v>
      </c>
      <c r="Z35">
        <f t="shared" si="0"/>
        <v>50.5</v>
      </c>
      <c r="AA35" s="114">
        <f t="shared" si="1"/>
        <v>1468.46875</v>
      </c>
    </row>
    <row r="36" spans="24:27" x14ac:dyDescent="0.25">
      <c r="X36" s="113">
        <v>88</v>
      </c>
      <c r="Y36" s="113">
        <v>2130</v>
      </c>
      <c r="Z36">
        <f t="shared" si="0"/>
        <v>-54.5</v>
      </c>
      <c r="AA36" s="114">
        <f t="shared" si="1"/>
        <v>-1133.53125</v>
      </c>
    </row>
    <row r="37" spans="24:27" x14ac:dyDescent="0.25">
      <c r="X37" s="112">
        <v>90</v>
      </c>
      <c r="Y37" s="112">
        <v>2264</v>
      </c>
      <c r="Z37">
        <f t="shared" si="0"/>
        <v>-52.5</v>
      </c>
      <c r="AA37" s="114">
        <f t="shared" si="1"/>
        <v>-999.53125</v>
      </c>
    </row>
    <row r="38" spans="24:27" x14ac:dyDescent="0.25">
      <c r="X38" s="113">
        <v>95</v>
      </c>
      <c r="Y38" s="113">
        <v>2228</v>
      </c>
      <c r="Z38">
        <f t="shared" si="0"/>
        <v>-47.5</v>
      </c>
      <c r="AA38" s="114">
        <f t="shared" si="1"/>
        <v>-1035.53125</v>
      </c>
    </row>
  </sheetData>
  <mergeCells count="10">
    <mergeCell ref="L4:O4"/>
    <mergeCell ref="X2:AA2"/>
    <mergeCell ref="X3:AA3"/>
    <mergeCell ref="AK2:AM2"/>
    <mergeCell ref="AK3:AM3"/>
    <mergeCell ref="AV2:AY2"/>
    <mergeCell ref="AV3:AY3"/>
    <mergeCell ref="A2:D2"/>
    <mergeCell ref="A3:D3"/>
    <mergeCell ref="L3:O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AEFC-27F6-4316-86BF-ED19FAF0C5EA}">
  <dimension ref="B1:M23"/>
  <sheetViews>
    <sheetView workbookViewId="0">
      <selection activeCell="F6" sqref="F6"/>
    </sheetView>
  </sheetViews>
  <sheetFormatPr defaultRowHeight="15" x14ac:dyDescent="0.25"/>
  <cols>
    <col min="7" max="7" width="34.28515625" customWidth="1"/>
    <col min="13" max="13" width="12" customWidth="1"/>
  </cols>
  <sheetData>
    <row r="1" spans="2:13" ht="15.75" thickBot="1" x14ac:dyDescent="0.3"/>
    <row r="2" spans="2:13" ht="12.75" customHeight="1" x14ac:dyDescent="0.3">
      <c r="B2" s="192" t="s">
        <v>411</v>
      </c>
      <c r="C2" s="193"/>
      <c r="D2" s="193"/>
      <c r="E2" s="193"/>
      <c r="F2" s="193"/>
      <c r="G2" s="194"/>
    </row>
    <row r="3" spans="2:13" ht="36.75" customHeight="1" thickBot="1" x14ac:dyDescent="0.3">
      <c r="B3" s="195" t="s">
        <v>412</v>
      </c>
      <c r="C3" s="196"/>
      <c r="D3" s="196"/>
      <c r="E3" s="196"/>
      <c r="F3" s="196"/>
      <c r="G3" s="197"/>
    </row>
    <row r="4" spans="2:13" ht="18.75" x14ac:dyDescent="0.25">
      <c r="J4" s="191" t="s">
        <v>447</v>
      </c>
      <c r="K4" s="191"/>
      <c r="L4" s="191"/>
      <c r="M4" s="191"/>
    </row>
    <row r="5" spans="2:13" x14ac:dyDescent="0.25">
      <c r="B5" s="127" t="s">
        <v>413</v>
      </c>
      <c r="C5" s="127" t="s">
        <v>9</v>
      </c>
      <c r="D5" s="127" t="s">
        <v>369</v>
      </c>
      <c r="E5" s="127" t="s">
        <v>414</v>
      </c>
      <c r="F5" s="127" t="s">
        <v>13</v>
      </c>
      <c r="G5" s="127" t="s">
        <v>415</v>
      </c>
    </row>
    <row r="6" spans="2:13" x14ac:dyDescent="0.25">
      <c r="B6" s="10"/>
      <c r="C6" s="128"/>
      <c r="D6" s="10"/>
      <c r="E6" s="10"/>
      <c r="F6" s="10" t="s">
        <v>21</v>
      </c>
      <c r="G6" s="10" t="str" cm="1">
        <f t="array" ref="G6:G11">_xlfn.XLOOKUP(F6,J7:M7,J8:M13)</f>
        <v>Virar</v>
      </c>
    </row>
    <row r="7" spans="2:13" x14ac:dyDescent="0.25">
      <c r="B7" s="10"/>
      <c r="C7" s="128"/>
      <c r="D7" s="10"/>
      <c r="E7" s="10"/>
      <c r="F7" s="10"/>
      <c r="G7" s="10" t="str">
        <v>Bhyander</v>
      </c>
      <c r="J7" s="129" t="s">
        <v>52</v>
      </c>
      <c r="K7" s="129" t="s">
        <v>416</v>
      </c>
      <c r="L7" s="129" t="s">
        <v>21</v>
      </c>
      <c r="M7" s="129" t="s">
        <v>34</v>
      </c>
    </row>
    <row r="8" spans="2:13" x14ac:dyDescent="0.25">
      <c r="B8" s="10"/>
      <c r="C8" s="128"/>
      <c r="D8" s="10"/>
      <c r="E8" s="10"/>
      <c r="F8" s="10"/>
      <c r="G8" s="10" t="str">
        <v>Mira Road</v>
      </c>
      <c r="J8" s="130" t="s">
        <v>417</v>
      </c>
      <c r="K8" s="131" t="s">
        <v>418</v>
      </c>
      <c r="L8" s="131" t="s">
        <v>419</v>
      </c>
      <c r="M8" s="131" t="s">
        <v>420</v>
      </c>
    </row>
    <row r="9" spans="2:13" x14ac:dyDescent="0.25">
      <c r="B9" s="10"/>
      <c r="C9" s="128"/>
      <c r="D9" s="10"/>
      <c r="E9" s="10"/>
      <c r="F9" s="10"/>
      <c r="G9" s="10" t="str">
        <v>Vasai</v>
      </c>
      <c r="J9" s="132" t="s">
        <v>421</v>
      </c>
      <c r="K9" s="133" t="s">
        <v>422</v>
      </c>
      <c r="L9" s="133" t="s">
        <v>423</v>
      </c>
      <c r="M9" s="133" t="s">
        <v>424</v>
      </c>
    </row>
    <row r="10" spans="2:13" x14ac:dyDescent="0.25">
      <c r="B10" s="10"/>
      <c r="C10" s="10"/>
      <c r="D10" s="10"/>
      <c r="E10" s="10"/>
      <c r="F10" s="10"/>
      <c r="G10" s="10" t="str">
        <v>Nallasopara</v>
      </c>
      <c r="J10" s="132" t="s">
        <v>425</v>
      </c>
      <c r="K10" s="133" t="s">
        <v>426</v>
      </c>
      <c r="L10" s="133" t="s">
        <v>427</v>
      </c>
      <c r="M10" s="133" t="s">
        <v>428</v>
      </c>
    </row>
    <row r="11" spans="2:13" x14ac:dyDescent="0.25">
      <c r="B11" s="10"/>
      <c r="C11" s="10"/>
      <c r="D11" s="10"/>
      <c r="E11" s="10"/>
      <c r="F11" s="10"/>
      <c r="G11" s="10" t="str">
        <v>Naigaon</v>
      </c>
      <c r="J11" s="132" t="s">
        <v>429</v>
      </c>
      <c r="K11" s="133" t="s">
        <v>430</v>
      </c>
      <c r="L11" s="133" t="s">
        <v>431</v>
      </c>
      <c r="M11" s="133" t="s">
        <v>432</v>
      </c>
    </row>
    <row r="12" spans="2:13" x14ac:dyDescent="0.25">
      <c r="B12" s="10"/>
      <c r="C12" s="10"/>
      <c r="D12" s="10"/>
      <c r="E12" s="10"/>
      <c r="F12" s="10"/>
      <c r="G12" s="10"/>
      <c r="J12" s="132" t="s">
        <v>433</v>
      </c>
      <c r="K12" s="133" t="s">
        <v>434</v>
      </c>
      <c r="L12" s="133" t="s">
        <v>435</v>
      </c>
      <c r="M12" s="133" t="s">
        <v>436</v>
      </c>
    </row>
    <row r="13" spans="2:13" x14ac:dyDescent="0.25">
      <c r="B13" s="10"/>
      <c r="C13" s="10"/>
      <c r="D13" s="10"/>
      <c r="E13" s="10"/>
      <c r="F13" s="10"/>
      <c r="G13" s="10"/>
      <c r="J13" s="134" t="s">
        <v>437</v>
      </c>
      <c r="K13" s="135" t="s">
        <v>438</v>
      </c>
      <c r="L13" s="135" t="s">
        <v>439</v>
      </c>
      <c r="M13" s="135" t="s">
        <v>440</v>
      </c>
    </row>
    <row r="14" spans="2:13" x14ac:dyDescent="0.25">
      <c r="B14" s="10"/>
      <c r="C14" s="10"/>
      <c r="D14" s="10"/>
      <c r="E14" s="10"/>
      <c r="F14" s="10"/>
      <c r="G14" s="10"/>
    </row>
    <row r="15" spans="2:13" x14ac:dyDescent="0.25">
      <c r="B15" s="10"/>
      <c r="C15" s="10"/>
      <c r="D15" s="10"/>
      <c r="E15" s="10"/>
      <c r="F15" s="10"/>
      <c r="G15" s="10"/>
    </row>
    <row r="17" spans="2:8" ht="15.75" thickBot="1" x14ac:dyDescent="0.3"/>
    <row r="18" spans="2:8" x14ac:dyDescent="0.25">
      <c r="B18" s="198" t="s">
        <v>441</v>
      </c>
      <c r="C18" s="199"/>
      <c r="D18" s="199"/>
      <c r="E18" s="199"/>
      <c r="F18" s="199"/>
      <c r="G18" s="199"/>
      <c r="H18" s="200"/>
    </row>
    <row r="19" spans="2:8" x14ac:dyDescent="0.25">
      <c r="B19" s="185" t="s">
        <v>442</v>
      </c>
      <c r="C19" s="186"/>
      <c r="D19" s="186"/>
      <c r="E19" s="186"/>
      <c r="F19" s="186"/>
      <c r="G19" s="186"/>
      <c r="H19" s="187"/>
    </row>
    <row r="20" spans="2:8" x14ac:dyDescent="0.25">
      <c r="B20" s="185" t="s">
        <v>443</v>
      </c>
      <c r="C20" s="186"/>
      <c r="D20" s="186"/>
      <c r="E20" s="186"/>
      <c r="F20" s="186"/>
      <c r="G20" s="186"/>
      <c r="H20" s="187"/>
    </row>
    <row r="21" spans="2:8" x14ac:dyDescent="0.25">
      <c r="B21" s="185" t="s">
        <v>444</v>
      </c>
      <c r="C21" s="186"/>
      <c r="D21" s="186"/>
      <c r="E21" s="186"/>
      <c r="F21" s="186"/>
      <c r="G21" s="186"/>
      <c r="H21" s="187"/>
    </row>
    <row r="22" spans="2:8" x14ac:dyDescent="0.25">
      <c r="B22" s="185" t="s">
        <v>445</v>
      </c>
      <c r="C22" s="186"/>
      <c r="D22" s="186"/>
      <c r="E22" s="186"/>
      <c r="F22" s="186"/>
      <c r="G22" s="186"/>
      <c r="H22" s="187"/>
    </row>
    <row r="23" spans="2:8" ht="15.75" thickBot="1" x14ac:dyDescent="0.3">
      <c r="B23" s="188" t="s">
        <v>446</v>
      </c>
      <c r="C23" s="189"/>
      <c r="D23" s="189"/>
      <c r="E23" s="189"/>
      <c r="F23" s="189"/>
      <c r="G23" s="189"/>
      <c r="H23" s="190"/>
    </row>
  </sheetData>
  <mergeCells count="9">
    <mergeCell ref="B22:H22"/>
    <mergeCell ref="B23:H23"/>
    <mergeCell ref="J4:M4"/>
    <mergeCell ref="B2:G2"/>
    <mergeCell ref="B3:G3"/>
    <mergeCell ref="B18:H18"/>
    <mergeCell ref="B19:H19"/>
    <mergeCell ref="B20:H20"/>
    <mergeCell ref="B21:H21"/>
  </mergeCells>
  <dataValidations count="5">
    <dataValidation type="list" allowBlank="1" showInputMessage="1" showErrorMessage="1" sqref="F6:F15" xr:uid="{73DD8375-124B-4D8A-AE53-E0C9F138D227}">
      <formula1>$J$7:$M$7</formula1>
    </dataValidation>
    <dataValidation type="textLength" operator="greaterThanOrEqual" allowBlank="1" showInputMessage="1" showErrorMessage="1" sqref="E6:E15" xr:uid="{FD11C1B3-0D9D-41CC-9715-87381AE32E57}">
      <formula1>5</formula1>
    </dataValidation>
    <dataValidation type="decimal" allowBlank="1" showInputMessage="1" showErrorMessage="1" sqref="D6:D15" xr:uid="{7D9201BA-5D36-4D09-AAE3-C101B5B84057}">
      <formula1>25000</formula1>
      <formula2>85000</formula2>
    </dataValidation>
    <dataValidation type="date" operator="lessThan" allowBlank="1" showInputMessage="1" showErrorMessage="1" sqref="C6:C15" xr:uid="{C47FC11E-60D5-4A39-BCEC-702CF36A1BCB}">
      <formula1>37621</formula1>
    </dataValidation>
    <dataValidation type="whole" showInputMessage="1" showErrorMessage="1" sqref="B6:B15" xr:uid="{2EC09851-518D-47B2-86C7-F4C3533C5301}">
      <formula1>1</formula1>
      <formula2>1000</formula2>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D6A38-02D6-4323-8A6D-B9E276F47A74}">
  <dimension ref="B2:W24"/>
  <sheetViews>
    <sheetView topLeftCell="A3" workbookViewId="0">
      <selection activeCell="D15" sqref="D15"/>
    </sheetView>
  </sheetViews>
  <sheetFormatPr defaultRowHeight="15" x14ac:dyDescent="0.25"/>
  <cols>
    <col min="2" max="2" width="13.140625" customWidth="1"/>
    <col min="3" max="3" width="12.140625" customWidth="1"/>
    <col min="9" max="9" width="11.85546875" customWidth="1"/>
    <col min="10" max="10" width="12.28515625" customWidth="1"/>
    <col min="11" max="11" width="24.5703125" customWidth="1"/>
  </cols>
  <sheetData>
    <row r="2" spans="2:23" x14ac:dyDescent="0.25">
      <c r="B2" s="220" t="s">
        <v>448</v>
      </c>
      <c r="C2" s="221"/>
      <c r="D2" s="221"/>
      <c r="E2" s="221"/>
      <c r="F2" s="222"/>
    </row>
    <row r="3" spans="2:23" ht="19.5" x14ac:dyDescent="0.25">
      <c r="B3" s="223" t="s">
        <v>449</v>
      </c>
      <c r="C3" s="224"/>
      <c r="D3" s="224"/>
      <c r="E3" s="224"/>
      <c r="F3" s="225"/>
    </row>
    <row r="4" spans="2:23" x14ac:dyDescent="0.25">
      <c r="B4" s="226" t="s">
        <v>450</v>
      </c>
      <c r="C4" s="227"/>
      <c r="D4" s="228"/>
      <c r="E4" s="227"/>
      <c r="F4" s="229"/>
      <c r="I4" s="156" t="s">
        <v>205</v>
      </c>
      <c r="J4" s="156" t="s">
        <v>467</v>
      </c>
      <c r="M4" s="207" t="s">
        <v>493</v>
      </c>
      <c r="N4" s="208"/>
      <c r="O4" s="208"/>
      <c r="P4" s="208"/>
      <c r="Q4" s="208"/>
      <c r="R4" s="208"/>
      <c r="S4" s="208"/>
      <c r="T4" s="208"/>
      <c r="U4" s="208"/>
      <c r="V4" s="208"/>
      <c r="W4" s="209"/>
    </row>
    <row r="5" spans="2:23" x14ac:dyDescent="0.25">
      <c r="B5" s="136" t="s">
        <v>451</v>
      </c>
      <c r="C5" s="137">
        <v>2</v>
      </c>
      <c r="D5" s="138"/>
      <c r="E5" s="230" t="str">
        <f>_xlfn.XLOOKUP(C7,I13:I24,K13:K24)</f>
        <v>Bangalore, India</v>
      </c>
      <c r="F5" s="231"/>
      <c r="I5" s="157" t="s">
        <v>461</v>
      </c>
      <c r="J5" s="157">
        <v>150</v>
      </c>
      <c r="M5" s="210"/>
      <c r="N5" s="211"/>
      <c r="O5" s="211"/>
      <c r="P5" s="211"/>
      <c r="Q5" s="211"/>
      <c r="R5" s="211"/>
      <c r="S5" s="211"/>
      <c r="T5" s="211"/>
      <c r="U5" s="211"/>
      <c r="V5" s="211"/>
      <c r="W5" s="212"/>
    </row>
    <row r="6" spans="2:23" x14ac:dyDescent="0.25">
      <c r="B6" s="136" t="s">
        <v>267</v>
      </c>
      <c r="C6" s="139">
        <f ca="1">TODAY()</f>
        <v>45585</v>
      </c>
      <c r="D6" s="140" t="s">
        <v>452</v>
      </c>
      <c r="E6" s="232"/>
      <c r="F6" s="233"/>
      <c r="I6" s="157" t="s">
        <v>458</v>
      </c>
      <c r="J6" s="157">
        <v>100</v>
      </c>
    </row>
    <row r="7" spans="2:23" x14ac:dyDescent="0.25">
      <c r="B7" s="136" t="s">
        <v>453</v>
      </c>
      <c r="C7" s="141" t="s">
        <v>474</v>
      </c>
      <c r="D7" s="142"/>
      <c r="E7" s="234"/>
      <c r="F7" s="235"/>
      <c r="I7" s="157" t="s">
        <v>459</v>
      </c>
      <c r="J7" s="157">
        <v>200</v>
      </c>
    </row>
    <row r="8" spans="2:23" x14ac:dyDescent="0.25">
      <c r="B8" s="143" t="s">
        <v>335</v>
      </c>
      <c r="C8" s="143" t="s">
        <v>205</v>
      </c>
      <c r="D8" s="144" t="s">
        <v>455</v>
      </c>
      <c r="E8" s="143" t="s">
        <v>456</v>
      </c>
      <c r="F8" s="143" t="s">
        <v>457</v>
      </c>
      <c r="I8" s="157" t="s">
        <v>460</v>
      </c>
      <c r="J8" s="157">
        <v>50</v>
      </c>
      <c r="M8" s="213" t="s">
        <v>494</v>
      </c>
      <c r="N8" s="213"/>
    </row>
    <row r="9" spans="2:23" x14ac:dyDescent="0.25">
      <c r="B9" s="145">
        <f>IF(C9&lt;&gt;"", COUNTA($C$9:C9), "")</f>
        <v>1</v>
      </c>
      <c r="C9" s="146" t="s">
        <v>458</v>
      </c>
      <c r="D9" s="145">
        <v>1</v>
      </c>
      <c r="E9" s="145">
        <f>IF(C9="","",_xlfn.XLOOKUP(C9,$I$5:$I$9,$J$5:$J$9))</f>
        <v>100</v>
      </c>
      <c r="F9" s="147">
        <f>IF(OR(D9="", E9=""), "", D9*E9)</f>
        <v>100</v>
      </c>
      <c r="I9" s="157" t="s">
        <v>462</v>
      </c>
      <c r="J9" s="157">
        <v>30</v>
      </c>
    </row>
    <row r="10" spans="2:23" x14ac:dyDescent="0.25">
      <c r="B10" s="145">
        <f>IF(C10&lt;&gt;"", COUNTA($C$9:C10), "")</f>
        <v>2</v>
      </c>
      <c r="C10" s="146" t="s">
        <v>458</v>
      </c>
      <c r="D10" s="145">
        <v>3</v>
      </c>
      <c r="E10" s="145">
        <f t="shared" ref="E10:E19" si="0">IF(C10="","",_xlfn.XLOOKUP(C10,$I$5:$I$9,$J$5:$J$9))</f>
        <v>100</v>
      </c>
      <c r="F10" s="147">
        <f t="shared" ref="F10:F19" si="1">IF(OR(D10="", E10=""), "", D10*E10)</f>
        <v>300</v>
      </c>
      <c r="M10" s="158">
        <v>1</v>
      </c>
      <c r="N10" s="214" t="s">
        <v>495</v>
      </c>
      <c r="O10" s="214"/>
      <c r="P10" s="214"/>
      <c r="Q10" s="214"/>
      <c r="R10" s="214"/>
      <c r="S10" s="214"/>
      <c r="T10" s="214"/>
      <c r="U10" s="214"/>
      <c r="V10" s="214"/>
      <c r="W10" s="215"/>
    </row>
    <row r="11" spans="2:23" x14ac:dyDescent="0.25">
      <c r="B11" s="145">
        <f>IF(C11&lt;&gt;"", COUNTA($C$9:C11), "")</f>
        <v>3</v>
      </c>
      <c r="C11" s="146" t="s">
        <v>459</v>
      </c>
      <c r="D11" s="145">
        <v>1</v>
      </c>
      <c r="E11" s="145">
        <f t="shared" si="0"/>
        <v>200</v>
      </c>
      <c r="F11" s="147">
        <f t="shared" si="1"/>
        <v>200</v>
      </c>
      <c r="M11" s="159">
        <v>2</v>
      </c>
      <c r="N11" s="216" t="s">
        <v>496</v>
      </c>
      <c r="O11" s="216"/>
      <c r="P11" s="216"/>
      <c r="Q11" s="216"/>
      <c r="R11" s="216"/>
      <c r="S11" s="216"/>
      <c r="T11" s="216"/>
      <c r="U11" s="216"/>
      <c r="V11" s="216"/>
      <c r="W11" s="217"/>
    </row>
    <row r="12" spans="2:23" x14ac:dyDescent="0.25">
      <c r="B12" s="145">
        <f>IF(C12&lt;&gt;"", COUNTA($C$9:C12), "")</f>
        <v>4</v>
      </c>
      <c r="C12" s="146" t="s">
        <v>460</v>
      </c>
      <c r="D12" s="145">
        <v>5</v>
      </c>
      <c r="E12" s="145">
        <f t="shared" si="0"/>
        <v>50</v>
      </c>
      <c r="F12" s="147">
        <f t="shared" si="1"/>
        <v>250</v>
      </c>
      <c r="I12" s="156" t="s">
        <v>453</v>
      </c>
      <c r="J12" s="156" t="s">
        <v>468</v>
      </c>
      <c r="K12" s="156" t="s">
        <v>452</v>
      </c>
      <c r="M12" s="159">
        <v>3</v>
      </c>
      <c r="N12" s="218" t="s">
        <v>497</v>
      </c>
      <c r="O12" s="218"/>
      <c r="P12" s="218"/>
      <c r="Q12" s="218"/>
      <c r="R12" s="218"/>
      <c r="S12" s="218"/>
      <c r="T12" s="218"/>
      <c r="U12" s="218"/>
      <c r="V12" s="218"/>
      <c r="W12" s="219"/>
    </row>
    <row r="13" spans="2:23" x14ac:dyDescent="0.25">
      <c r="B13" s="145">
        <f>IF(C13&lt;&gt;"", COUNTA($C$9:C13), "")</f>
        <v>5</v>
      </c>
      <c r="C13" s="146" t="s">
        <v>462</v>
      </c>
      <c r="D13" s="145">
        <v>6</v>
      </c>
      <c r="E13" s="145">
        <f t="shared" si="0"/>
        <v>30</v>
      </c>
      <c r="F13" s="147">
        <f t="shared" si="1"/>
        <v>180</v>
      </c>
      <c r="I13" s="157" t="s">
        <v>454</v>
      </c>
      <c r="J13" s="157" t="s">
        <v>469</v>
      </c>
      <c r="K13" s="157" t="s">
        <v>470</v>
      </c>
      <c r="M13" s="159">
        <v>4</v>
      </c>
      <c r="N13" s="216" t="s">
        <v>498</v>
      </c>
      <c r="O13" s="216"/>
      <c r="P13" s="216"/>
      <c r="Q13" s="216"/>
      <c r="R13" s="216"/>
      <c r="S13" s="216"/>
      <c r="T13" s="216"/>
      <c r="U13" s="216"/>
      <c r="V13" s="216"/>
      <c r="W13" s="217"/>
    </row>
    <row r="14" spans="2:23" x14ac:dyDescent="0.25">
      <c r="B14" s="145">
        <f>IF(C14&lt;&gt;"", COUNTA($C$9:C14), "")</f>
        <v>6</v>
      </c>
      <c r="C14" s="146" t="s">
        <v>460</v>
      </c>
      <c r="D14" s="145">
        <v>4</v>
      </c>
      <c r="E14" s="145">
        <f t="shared" si="0"/>
        <v>50</v>
      </c>
      <c r="F14" s="147">
        <f t="shared" si="1"/>
        <v>200</v>
      </c>
      <c r="I14" s="157" t="s">
        <v>471</v>
      </c>
      <c r="J14" s="157" t="s">
        <v>472</v>
      </c>
      <c r="K14" s="157" t="s">
        <v>473</v>
      </c>
      <c r="M14" s="159">
        <v>5</v>
      </c>
      <c r="N14" s="216" t="s">
        <v>499</v>
      </c>
      <c r="O14" s="216"/>
      <c r="P14" s="216"/>
      <c r="Q14" s="216"/>
      <c r="R14" s="216"/>
      <c r="S14" s="216"/>
      <c r="T14" s="216"/>
      <c r="U14" s="216"/>
      <c r="V14" s="216"/>
      <c r="W14" s="217"/>
    </row>
    <row r="15" spans="2:23" x14ac:dyDescent="0.25">
      <c r="B15" s="145" t="str">
        <f>IF(C15&lt;&gt;"", COUNTA($C$9:C15), "")</f>
        <v/>
      </c>
      <c r="C15" s="146"/>
      <c r="D15" s="145"/>
      <c r="E15" s="145" t="str">
        <f t="shared" si="0"/>
        <v/>
      </c>
      <c r="F15" s="147" t="str">
        <f t="shared" si="1"/>
        <v/>
      </c>
      <c r="I15" s="157" t="s">
        <v>474</v>
      </c>
      <c r="J15" s="157" t="s">
        <v>469</v>
      </c>
      <c r="K15" s="157" t="s">
        <v>475</v>
      </c>
      <c r="M15" s="159">
        <v>6</v>
      </c>
      <c r="N15" s="216" t="s">
        <v>500</v>
      </c>
      <c r="O15" s="216"/>
      <c r="P15" s="216"/>
      <c r="Q15" s="216"/>
      <c r="R15" s="216"/>
      <c r="S15" s="216"/>
      <c r="T15" s="216"/>
      <c r="U15" s="216"/>
      <c r="V15" s="216"/>
      <c r="W15" s="217"/>
    </row>
    <row r="16" spans="2:23" x14ac:dyDescent="0.25">
      <c r="B16" s="145" t="str">
        <f>IF(C16&lt;&gt;"", COUNTA($C$9:C16), "")</f>
        <v/>
      </c>
      <c r="C16" s="146"/>
      <c r="D16" s="145"/>
      <c r="E16" s="145" t="str">
        <f t="shared" si="0"/>
        <v/>
      </c>
      <c r="F16" s="147" t="str">
        <f t="shared" si="1"/>
        <v/>
      </c>
      <c r="I16" s="157" t="s">
        <v>476</v>
      </c>
      <c r="J16" s="157" t="s">
        <v>472</v>
      </c>
      <c r="K16" s="157" t="s">
        <v>477</v>
      </c>
      <c r="M16" s="160">
        <v>7</v>
      </c>
      <c r="N16" s="201" t="s">
        <v>501</v>
      </c>
      <c r="O16" s="201"/>
      <c r="P16" s="201"/>
      <c r="Q16" s="201"/>
      <c r="R16" s="201"/>
      <c r="S16" s="201"/>
      <c r="T16" s="201"/>
      <c r="U16" s="201"/>
      <c r="V16" s="201"/>
      <c r="W16" s="202"/>
    </row>
    <row r="17" spans="2:11" x14ac:dyDescent="0.25">
      <c r="B17" s="145" t="str">
        <f>IF(C17&lt;&gt;"", COUNTA($C$9:C17), "")</f>
        <v/>
      </c>
      <c r="C17" s="146"/>
      <c r="D17" s="145"/>
      <c r="E17" s="145" t="str">
        <f t="shared" si="0"/>
        <v/>
      </c>
      <c r="F17" s="147" t="str">
        <f t="shared" si="1"/>
        <v/>
      </c>
      <c r="I17" s="157" t="s">
        <v>478</v>
      </c>
      <c r="J17" s="157" t="s">
        <v>469</v>
      </c>
      <c r="K17" s="157" t="s">
        <v>479</v>
      </c>
    </row>
    <row r="18" spans="2:11" x14ac:dyDescent="0.25">
      <c r="B18" s="145" t="str">
        <f>IF(C18&lt;&gt;"", COUNTA($C$9:C18), "")</f>
        <v/>
      </c>
      <c r="C18" s="146"/>
      <c r="D18" s="145"/>
      <c r="E18" s="145" t="str">
        <f t="shared" si="0"/>
        <v/>
      </c>
      <c r="F18" s="147" t="str">
        <f t="shared" si="1"/>
        <v/>
      </c>
      <c r="I18" s="157" t="s">
        <v>480</v>
      </c>
      <c r="J18" s="157" t="s">
        <v>472</v>
      </c>
      <c r="K18" s="157" t="s">
        <v>481</v>
      </c>
    </row>
    <row r="19" spans="2:11" x14ac:dyDescent="0.25">
      <c r="B19" s="145" t="str">
        <f>IF(C19&lt;&gt;"", COUNTA($C$9:C19), "")</f>
        <v/>
      </c>
      <c r="C19" s="146"/>
      <c r="D19" s="145"/>
      <c r="E19" s="145" t="str">
        <f t="shared" si="0"/>
        <v/>
      </c>
      <c r="F19" s="147" t="str">
        <f t="shared" si="1"/>
        <v/>
      </c>
      <c r="I19" s="157" t="s">
        <v>482</v>
      </c>
      <c r="J19" s="157" t="s">
        <v>469</v>
      </c>
      <c r="K19" s="157" t="s">
        <v>483</v>
      </c>
    </row>
    <row r="20" spans="2:11" x14ac:dyDescent="0.25">
      <c r="B20" s="148"/>
      <c r="C20" s="149"/>
      <c r="D20" s="203" t="s">
        <v>463</v>
      </c>
      <c r="E20" s="204"/>
      <c r="F20" s="150">
        <f>SUM(F9:F19)</f>
        <v>1230</v>
      </c>
      <c r="I20" s="157" t="s">
        <v>484</v>
      </c>
      <c r="J20" s="157" t="s">
        <v>472</v>
      </c>
      <c r="K20" s="157" t="s">
        <v>475</v>
      </c>
    </row>
    <row r="21" spans="2:11" x14ac:dyDescent="0.25">
      <c r="B21" s="151"/>
      <c r="C21" s="152"/>
      <c r="D21" s="203" t="s">
        <v>464</v>
      </c>
      <c r="E21" s="204"/>
      <c r="F21" s="150">
        <f>F20*5%</f>
        <v>61.5</v>
      </c>
      <c r="I21" s="157" t="s">
        <v>485</v>
      </c>
      <c r="J21" s="157" t="s">
        <v>469</v>
      </c>
      <c r="K21" s="157" t="s">
        <v>477</v>
      </c>
    </row>
    <row r="22" spans="2:11" x14ac:dyDescent="0.25">
      <c r="B22" s="151"/>
      <c r="C22" s="152"/>
      <c r="D22" s="203" t="s">
        <v>465</v>
      </c>
      <c r="E22" s="204"/>
      <c r="F22" s="150" cm="1">
        <f t="array" ref="F22">_xlfn.IFS(F20&lt;2500,F20*0%,F20&gt;=2500,F20*2%)</f>
        <v>0</v>
      </c>
      <c r="I22" s="157" t="s">
        <v>486</v>
      </c>
      <c r="J22" s="157" t="s">
        <v>469</v>
      </c>
      <c r="K22" s="157" t="s">
        <v>487</v>
      </c>
    </row>
    <row r="23" spans="2:11" x14ac:dyDescent="0.25">
      <c r="B23" s="153"/>
      <c r="C23" s="154"/>
      <c r="D23" s="205" t="s">
        <v>466</v>
      </c>
      <c r="E23" s="206"/>
      <c r="F23" s="155">
        <f>F20+F21-F22</f>
        <v>1291.5</v>
      </c>
      <c r="I23" s="157" t="s">
        <v>488</v>
      </c>
      <c r="J23" s="157" t="s">
        <v>472</v>
      </c>
      <c r="K23" s="157" t="s">
        <v>489</v>
      </c>
    </row>
    <row r="24" spans="2:11" x14ac:dyDescent="0.25">
      <c r="I24" s="157" t="s">
        <v>490</v>
      </c>
      <c r="J24" s="157" t="s">
        <v>491</v>
      </c>
      <c r="K24" s="157" t="s">
        <v>492</v>
      </c>
    </row>
  </sheetData>
  <mergeCells count="17">
    <mergeCell ref="B2:F2"/>
    <mergeCell ref="B3:F3"/>
    <mergeCell ref="B4:F4"/>
    <mergeCell ref="E5:F7"/>
    <mergeCell ref="D20:E20"/>
    <mergeCell ref="N16:W16"/>
    <mergeCell ref="D22:E22"/>
    <mergeCell ref="D23:E23"/>
    <mergeCell ref="M4:W5"/>
    <mergeCell ref="M8:N8"/>
    <mergeCell ref="N10:W10"/>
    <mergeCell ref="N11:W11"/>
    <mergeCell ref="N12:W12"/>
    <mergeCell ref="N13:W13"/>
    <mergeCell ref="N14:W14"/>
    <mergeCell ref="N15:W15"/>
    <mergeCell ref="D21:E21"/>
  </mergeCells>
  <dataValidations count="2">
    <dataValidation type="list" allowBlank="1" showInputMessage="1" showErrorMessage="1" sqref="C7" xr:uid="{321ECE9C-B1EC-404D-8377-8BED7CA2A5FA}">
      <formula1>$I$13:$I$24</formula1>
    </dataValidation>
    <dataValidation type="list" allowBlank="1" showInputMessage="1" showErrorMessage="1" sqref="C9:C19" xr:uid="{30E1675A-B48A-4CCE-BC81-FB0BC5B03CDD}">
      <formula1>$I$5:$I$9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8</vt:i4>
      </vt:variant>
    </vt:vector>
  </HeadingPairs>
  <TitlesOfParts>
    <vt:vector size="28" baseType="lpstr">
      <vt:lpstr>Assignment 1</vt:lpstr>
      <vt:lpstr>Assignment 1(b)</vt:lpstr>
      <vt:lpstr>Assignment 2</vt:lpstr>
      <vt:lpstr>Assignment 2(b)</vt:lpstr>
      <vt:lpstr>Assignment 3</vt:lpstr>
      <vt:lpstr>Assignment 3(b)</vt:lpstr>
      <vt:lpstr>Assignment 3(c)</vt:lpstr>
      <vt:lpstr>Assignment 3(d)</vt:lpstr>
      <vt:lpstr>Assignment 4</vt:lpstr>
      <vt:lpstr>Assignment 4(b)</vt:lpstr>
      <vt:lpstr>Assignment 5</vt:lpstr>
      <vt:lpstr>Assignment 6</vt:lpstr>
      <vt:lpstr>Assignment 7</vt:lpstr>
      <vt:lpstr>Assignment 7(b)</vt:lpstr>
      <vt:lpstr>Assignment 8</vt:lpstr>
      <vt:lpstr>Assignment 9</vt:lpstr>
      <vt:lpstr>assignment 10</vt:lpstr>
      <vt:lpstr>Assignment 11</vt:lpstr>
      <vt:lpstr>Assignment 12</vt:lpstr>
      <vt:lpstr>Assignment 13</vt:lpstr>
      <vt:lpstr>Depart</vt:lpstr>
      <vt:lpstr>Grade</vt:lpstr>
      <vt:lpstr>Head</vt:lpstr>
      <vt:lpstr>Mname</vt:lpstr>
      <vt:lpstr>Reg</vt:lpstr>
      <vt:lpstr>Salary</vt:lpstr>
      <vt:lpstr>Score</vt:lpstr>
      <vt:lpstr>Score1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Shanu Halli</dc:creator>
  <cp:lastModifiedBy>Prasun Mondal</cp:lastModifiedBy>
  <dcterms:created xsi:type="dcterms:W3CDTF">2015-06-05T18:17:20Z</dcterms:created>
  <dcterms:modified xsi:type="dcterms:W3CDTF">2024-10-20T12:38:27Z</dcterms:modified>
</cp:coreProperties>
</file>