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33" i="1"/>
  <c r="W32"/>
  <c r="W31"/>
  <c r="W30"/>
  <c r="W29"/>
  <c r="W28"/>
  <c r="T29"/>
  <c r="T30"/>
  <c r="U30" s="1"/>
  <c r="T31"/>
  <c r="U31" s="1"/>
  <c r="T32"/>
  <c r="U32" s="1"/>
  <c r="X32" s="1"/>
  <c r="T33"/>
  <c r="T28"/>
  <c r="U29"/>
  <c r="U33"/>
  <c r="H11"/>
  <c r="U28"/>
  <c r="X28" s="1"/>
  <c r="Q29"/>
  <c r="Q30"/>
  <c r="Q31"/>
  <c r="Q32"/>
  <c r="Q33"/>
  <c r="Q28"/>
  <c r="P29"/>
  <c r="P30"/>
  <c r="P31"/>
  <c r="P32"/>
  <c r="P33"/>
  <c r="P28"/>
  <c r="H10"/>
  <c r="H9"/>
  <c r="O29"/>
  <c r="O30"/>
  <c r="O31"/>
  <c r="O32"/>
  <c r="O33"/>
  <c r="O28"/>
  <c r="O37"/>
  <c r="N37"/>
  <c r="M37"/>
  <c r="O36"/>
  <c r="N36"/>
  <c r="M36"/>
  <c r="V29"/>
  <c r="V30"/>
  <c r="V31"/>
  <c r="V32"/>
  <c r="V33"/>
  <c r="V28"/>
  <c r="AC16"/>
  <c r="Z16"/>
  <c r="N33"/>
  <c r="N32"/>
  <c r="N31"/>
  <c r="N30"/>
  <c r="N29"/>
  <c r="N28"/>
  <c r="M29"/>
  <c r="M30"/>
  <c r="M31"/>
  <c r="M32"/>
  <c r="M33"/>
  <c r="M28"/>
  <c r="L29"/>
  <c r="L30"/>
  <c r="L31"/>
  <c r="L32"/>
  <c r="L33"/>
  <c r="L28"/>
  <c r="K29"/>
  <c r="K30"/>
  <c r="K31"/>
  <c r="K32"/>
  <c r="K33"/>
  <c r="K28"/>
  <c r="J33"/>
  <c r="J29"/>
  <c r="J30"/>
  <c r="J31"/>
  <c r="J32"/>
  <c r="J28"/>
  <c r="H34"/>
  <c r="H35"/>
  <c r="H36"/>
  <c r="H37"/>
  <c r="H38"/>
  <c r="H33"/>
  <c r="G33"/>
  <c r="G38"/>
  <c r="G37"/>
  <c r="G36"/>
  <c r="G35"/>
  <c r="G34"/>
  <c r="D38"/>
  <c r="D37"/>
  <c r="D36"/>
  <c r="D35"/>
  <c r="D34"/>
  <c r="D33"/>
  <c r="H26"/>
  <c r="H27"/>
  <c r="H28"/>
  <c r="H29"/>
  <c r="H30"/>
  <c r="H25"/>
  <c r="G26"/>
  <c r="G27"/>
  <c r="G28"/>
  <c r="G29"/>
  <c r="G30"/>
  <c r="G25"/>
  <c r="D26"/>
  <c r="D27"/>
  <c r="D28"/>
  <c r="D29"/>
  <c r="D30"/>
  <c r="D25"/>
  <c r="N16"/>
  <c r="M16"/>
  <c r="X31" l="1"/>
  <c r="X29"/>
  <c r="X33"/>
  <c r="X30"/>
  <c r="M17"/>
  <c r="AC17" s="1"/>
  <c r="AF17" s="1"/>
  <c r="M18"/>
  <c r="AC18" s="1"/>
  <c r="AF18" s="1"/>
  <c r="M19"/>
  <c r="AC19" s="1"/>
  <c r="AF19" s="1"/>
  <c r="M20"/>
  <c r="AC20" s="1"/>
  <c r="AF20" s="1"/>
  <c r="M21"/>
  <c r="AC21" s="1"/>
  <c r="AF21" s="1"/>
  <c r="AF16"/>
  <c r="Y17"/>
  <c r="X17"/>
  <c r="N17"/>
  <c r="O17" s="1"/>
  <c r="P17"/>
  <c r="Q17" s="1"/>
  <c r="H17"/>
  <c r="T17"/>
  <c r="S17"/>
  <c r="G17"/>
  <c r="Y19"/>
  <c r="Y20"/>
  <c r="Y21"/>
  <c r="X19"/>
  <c r="X20"/>
  <c r="X21"/>
  <c r="T19"/>
  <c r="T20"/>
  <c r="T21"/>
  <c r="S19"/>
  <c r="S20"/>
  <c r="S21"/>
  <c r="P19"/>
  <c r="Q19" s="1"/>
  <c r="W19" s="1"/>
  <c r="P20"/>
  <c r="Q20" s="1"/>
  <c r="P21"/>
  <c r="Q21" s="1"/>
  <c r="N19"/>
  <c r="O19" s="1"/>
  <c r="N20"/>
  <c r="O20" s="1"/>
  <c r="N21"/>
  <c r="O21" s="1"/>
  <c r="V21" s="1"/>
  <c r="H19"/>
  <c r="H20"/>
  <c r="H21"/>
  <c r="G19"/>
  <c r="G20"/>
  <c r="G21"/>
  <c r="Y18"/>
  <c r="X18"/>
  <c r="T18"/>
  <c r="S18"/>
  <c r="P18"/>
  <c r="Q18" s="1"/>
  <c r="W18" s="1"/>
  <c r="N18"/>
  <c r="O18" s="1"/>
  <c r="H18"/>
  <c r="G18"/>
  <c r="Y16"/>
  <c r="X16"/>
  <c r="T16"/>
  <c r="S16"/>
  <c r="P16"/>
  <c r="Q16" s="1"/>
  <c r="W16" s="1"/>
  <c r="O16"/>
  <c r="H16"/>
  <c r="G16"/>
  <c r="W20" l="1"/>
  <c r="W21"/>
  <c r="V19"/>
  <c r="W17"/>
  <c r="V16"/>
  <c r="V18"/>
  <c r="V20"/>
  <c r="U17"/>
  <c r="V17"/>
  <c r="R18"/>
  <c r="Z18" s="1"/>
  <c r="U18"/>
  <c r="U21"/>
  <c r="U19"/>
  <c r="R17"/>
  <c r="AA17" s="1"/>
  <c r="AG17" s="1"/>
  <c r="U20"/>
  <c r="Z17"/>
  <c r="R21"/>
  <c r="R19"/>
  <c r="R20"/>
  <c r="R16"/>
  <c r="U16"/>
  <c r="AA18" l="1"/>
  <c r="AG18" s="1"/>
  <c r="AA16"/>
  <c r="AG16" s="1"/>
  <c r="AA20"/>
  <c r="AG20" s="1"/>
  <c r="Z20"/>
  <c r="AA21"/>
  <c r="AG21" s="1"/>
  <c r="Z21"/>
  <c r="AA19"/>
  <c r="AG19" s="1"/>
  <c r="Z19"/>
</calcChain>
</file>

<file path=xl/sharedStrings.xml><?xml version="1.0" encoding="utf-8"?>
<sst xmlns="http://schemas.openxmlformats.org/spreadsheetml/2006/main" count="84" uniqueCount="66">
  <si>
    <t>Fh (LPH)</t>
  </si>
  <si>
    <t>Fc (LPH)</t>
  </si>
  <si>
    <r>
      <t>C</t>
    </r>
    <r>
      <rPr>
        <b/>
        <sz val="10"/>
        <color theme="1"/>
        <rFont val="Calibri"/>
        <family val="2"/>
        <scheme val="minor"/>
      </rPr>
      <t>p</t>
    </r>
    <r>
      <rPr>
        <b/>
        <sz val="8"/>
        <color theme="1"/>
        <rFont val="Calibri"/>
        <family val="2"/>
        <scheme val="minor"/>
      </rPr>
      <t>h (KJ/Kg.K)</t>
    </r>
  </si>
  <si>
    <r>
      <rPr>
        <b/>
        <sz val="12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p</t>
    </r>
    <r>
      <rPr>
        <b/>
        <sz val="10"/>
        <color theme="1"/>
        <rFont val="Calibri"/>
        <family val="2"/>
        <scheme val="minor"/>
      </rPr>
      <t>c(KJ/Kg.K)</t>
    </r>
  </si>
  <si>
    <r>
      <rPr>
        <b/>
        <sz val="14"/>
        <color theme="1"/>
        <rFont val="Calibri"/>
        <family val="2"/>
      </rPr>
      <t>ρ</t>
    </r>
    <r>
      <rPr>
        <b/>
        <sz val="8"/>
        <color theme="1"/>
        <rFont val="Calibri"/>
        <family val="2"/>
      </rPr>
      <t>h (Kg/m3)</t>
    </r>
  </si>
  <si>
    <r>
      <t>ρ</t>
    </r>
    <r>
      <rPr>
        <b/>
        <sz val="11"/>
        <color theme="1"/>
        <rFont val="Calibri"/>
        <family val="2"/>
      </rPr>
      <t>c(Kg/m3)</t>
    </r>
  </si>
  <si>
    <r>
      <rPr>
        <b/>
        <sz val="12"/>
        <color theme="1"/>
        <rFont val="Calibri"/>
        <family val="2"/>
        <scheme val="minor"/>
      </rPr>
      <t>m</t>
    </r>
    <r>
      <rPr>
        <b/>
        <sz val="10"/>
        <color theme="1"/>
        <rFont val="Calibri"/>
        <family val="2"/>
        <scheme val="minor"/>
      </rPr>
      <t>h (kg/s)</t>
    </r>
  </si>
  <si>
    <r>
      <t>Q</t>
    </r>
    <r>
      <rPr>
        <b/>
        <sz val="9"/>
        <color theme="1"/>
        <rFont val="Calibri"/>
        <family val="2"/>
        <scheme val="minor"/>
      </rPr>
      <t>h (W)</t>
    </r>
  </si>
  <si>
    <r>
      <t>m</t>
    </r>
    <r>
      <rPr>
        <b/>
        <sz val="10"/>
        <color theme="1"/>
        <rFont val="Calibri"/>
        <family val="2"/>
        <scheme val="minor"/>
      </rPr>
      <t>c(kg/s)</t>
    </r>
  </si>
  <si>
    <t>Qc(W)</t>
  </si>
  <si>
    <t>T1(⁰C)</t>
  </si>
  <si>
    <t>T2(⁰C)</t>
  </si>
  <si>
    <t>LMTD Tm (⁰C)</t>
  </si>
  <si>
    <t>Inner overall heat transfer coefficient Ui (W/m2.⁰C)</t>
  </si>
  <si>
    <t xml:space="preserve"> Outside overall heat transfer coefficient Uo (W/m2.⁰C)</t>
  </si>
  <si>
    <t>Heat loss from the heat exchanger (Qh-Qc) (W)</t>
  </si>
  <si>
    <t>viscosity (kg/m.s)</t>
  </si>
  <si>
    <t>Re</t>
  </si>
  <si>
    <t>Pr</t>
  </si>
  <si>
    <t>Thermal conductivity (W/m.K)</t>
  </si>
  <si>
    <t>outside film heat transfer coefficient ho</t>
  </si>
  <si>
    <t>Outer Surface Area Ao(m2)</t>
  </si>
  <si>
    <t>Efficiency of H.E (Qc*100/Qh)</t>
  </si>
  <si>
    <r>
      <t>Inside film heat tr co-eff (hi)  W/m2.⁰C (hi Di)/k=j</t>
    </r>
    <r>
      <rPr>
        <b/>
        <sz val="8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RePr^(1/3)</t>
    </r>
  </si>
  <si>
    <r>
      <t>T</t>
    </r>
    <r>
      <rPr>
        <b/>
        <sz val="10"/>
        <color rgb="FFFF0000"/>
        <rFont val="Calibri"/>
        <family val="2"/>
        <scheme val="minor"/>
      </rPr>
      <t>ho (</t>
    </r>
    <r>
      <rPr>
        <b/>
        <sz val="10"/>
        <color rgb="FFFF0000"/>
        <rFont val="Calibri"/>
        <family val="2"/>
      </rPr>
      <t>⁰C)</t>
    </r>
  </si>
  <si>
    <r>
      <t>T</t>
    </r>
    <r>
      <rPr>
        <b/>
        <sz val="9"/>
        <color rgb="FFFF0000"/>
        <rFont val="Calibri"/>
        <family val="2"/>
        <scheme val="minor"/>
      </rPr>
      <t>h</t>
    </r>
    <r>
      <rPr>
        <b/>
        <sz val="10"/>
        <color rgb="FFFF0000"/>
        <rFont val="Calibri"/>
        <family val="2"/>
        <scheme val="minor"/>
      </rPr>
      <t>i (</t>
    </r>
    <r>
      <rPr>
        <b/>
        <sz val="10"/>
        <color rgb="FFFF0000"/>
        <rFont val="Calibri"/>
        <family val="2"/>
      </rPr>
      <t>⁰C)</t>
    </r>
  </si>
  <si>
    <r>
      <t>Tc</t>
    </r>
    <r>
      <rPr>
        <b/>
        <sz val="8"/>
        <color rgb="FF0000FF"/>
        <rFont val="Calibri"/>
        <family val="2"/>
        <scheme val="minor"/>
      </rPr>
      <t>o (</t>
    </r>
    <r>
      <rPr>
        <b/>
        <sz val="8"/>
        <color rgb="FF0000FF"/>
        <rFont val="Calibri"/>
        <family val="2"/>
      </rPr>
      <t>⁰C)</t>
    </r>
  </si>
  <si>
    <r>
      <t>Tc</t>
    </r>
    <r>
      <rPr>
        <b/>
        <sz val="8"/>
        <color rgb="FF0000FF"/>
        <rFont val="Calibri"/>
        <family val="2"/>
        <scheme val="minor"/>
      </rPr>
      <t>i (</t>
    </r>
    <r>
      <rPr>
        <b/>
        <sz val="8"/>
        <color rgb="FF0000FF"/>
        <rFont val="Calibri"/>
        <family val="2"/>
      </rPr>
      <t>⁰C)</t>
    </r>
  </si>
  <si>
    <r>
      <t>T</t>
    </r>
    <r>
      <rPr>
        <b/>
        <sz val="10"/>
        <color rgb="FF0000FF"/>
        <rFont val="Calibri"/>
        <family val="2"/>
        <scheme val="minor"/>
      </rPr>
      <t>c, avg(⁰C)</t>
    </r>
  </si>
  <si>
    <r>
      <t>T</t>
    </r>
    <r>
      <rPr>
        <b/>
        <sz val="10"/>
        <color rgb="FFFF0000"/>
        <rFont val="Calibri"/>
        <family val="2"/>
        <scheme val="minor"/>
      </rPr>
      <t>h,avg(⁰C)</t>
    </r>
  </si>
  <si>
    <t>Vcold (m/s)</t>
  </si>
  <si>
    <r>
      <t>T</t>
    </r>
    <r>
      <rPr>
        <b/>
        <sz val="10"/>
        <color rgb="FF0000FF"/>
        <rFont val="Calibri"/>
        <family val="2"/>
        <scheme val="minor"/>
      </rPr>
      <t>c,avg(⁰C)</t>
    </r>
  </si>
  <si>
    <r>
      <rPr>
        <b/>
        <sz val="12"/>
        <color theme="1"/>
        <rFont val="Calibri"/>
        <family val="2"/>
        <scheme val="minor"/>
      </rPr>
      <t>m</t>
    </r>
    <r>
      <rPr>
        <b/>
        <sz val="10"/>
        <color theme="1"/>
        <rFont val="Calibri"/>
        <family val="2"/>
        <scheme val="minor"/>
      </rPr>
      <t>c (kg/s)</t>
    </r>
  </si>
  <si>
    <r>
      <t>Q</t>
    </r>
    <r>
      <rPr>
        <b/>
        <sz val="9"/>
        <color theme="1"/>
        <rFont val="Calibri"/>
        <family val="2"/>
        <scheme val="minor"/>
      </rPr>
      <t>c (W)</t>
    </r>
  </si>
  <si>
    <t>Relative Error</t>
  </si>
  <si>
    <t>Qmin (W)</t>
  </si>
  <si>
    <t>LMTD (0C)</t>
  </si>
  <si>
    <t>T1 (0C)</t>
  </si>
  <si>
    <t>T2 (0C)</t>
  </si>
  <si>
    <t xml:space="preserve"> Ui (W/m2.⁰C)</t>
  </si>
  <si>
    <t xml:space="preserve"> Uo (W/m2.⁰C)</t>
  </si>
  <si>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 xml:space="preserve"> (kg/m.s)</t>
    </r>
  </si>
  <si>
    <t>k (W/m.K)</t>
  </si>
  <si>
    <t>Qavg (W)</t>
  </si>
  <si>
    <t>Vh (m/s)</t>
  </si>
  <si>
    <t>Assumptions:</t>
  </si>
  <si>
    <t>U - tube inside the heat exchanger</t>
  </si>
  <si>
    <t>X = (t2 - t1)/(T1 - t1)</t>
  </si>
  <si>
    <t>Y = (T1 - T2)/t2 - t1)</t>
  </si>
  <si>
    <t>Correction factor €</t>
  </si>
  <si>
    <t>Coulson and Richerdson (Figure 9.71, page number 512)</t>
  </si>
  <si>
    <t>No fouling in the heat exchanger</t>
  </si>
  <si>
    <t>No density correction during the heat transfer</t>
  </si>
  <si>
    <t>L/D</t>
  </si>
  <si>
    <t>LMTD (corr) (0C)</t>
  </si>
  <si>
    <t>jh not jH</t>
  </si>
  <si>
    <t>hi (W/m2.K)</t>
  </si>
  <si>
    <t>ho (W/m2.K)</t>
  </si>
  <si>
    <r>
      <t>Ai (m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</si>
  <si>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m</t>
  </si>
  <si>
    <t>Inner tube diameter, di</t>
  </si>
  <si>
    <t>Inner tube diameter, do</t>
  </si>
  <si>
    <t>Tube length, L</t>
  </si>
  <si>
    <t>Inner Surface Area, Ai</t>
  </si>
  <si>
    <t>m2</t>
  </si>
  <si>
    <t>Outer Surface Area, Ao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</si>
</sst>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9" formatCode="0.00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9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rgb="FF0000FF"/>
      <name val="Calibri"/>
      <family val="2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38"/>
  <sheetViews>
    <sheetView tabSelected="1" topLeftCell="L13" workbookViewId="0">
      <selection activeCell="Y34" sqref="Y34"/>
    </sheetView>
  </sheetViews>
  <sheetFormatPr defaultRowHeight="15"/>
  <cols>
    <col min="2" max="3" width="9.140625" customWidth="1"/>
    <col min="5" max="5" width="10.85546875" bestFit="1" customWidth="1"/>
    <col min="6" max="6" width="10.7109375" bestFit="1" customWidth="1"/>
    <col min="8" max="8" width="10.28515625" bestFit="1" customWidth="1"/>
    <col min="9" max="9" width="10.140625" bestFit="1" customWidth="1"/>
    <col min="10" max="10" width="13.140625" bestFit="1" customWidth="1"/>
    <col min="11" max="11" width="9.5703125" bestFit="1" customWidth="1"/>
    <col min="12" max="12" width="10.7109375" bestFit="1" customWidth="1"/>
    <col min="13" max="13" width="12.140625" bestFit="1" customWidth="1"/>
    <col min="14" max="14" width="9.85546875" bestFit="1" customWidth="1"/>
    <col min="15" max="15" width="15.5703125" customWidth="1"/>
    <col min="16" max="16" width="14.7109375" bestFit="1" customWidth="1"/>
    <col min="17" max="17" width="11" bestFit="1" customWidth="1"/>
    <col min="18" max="18" width="10.140625" bestFit="1" customWidth="1"/>
    <col min="19" max="19" width="8.7109375" bestFit="1" customWidth="1"/>
    <col min="21" max="21" width="11.140625" customWidth="1"/>
    <col min="23" max="23" width="12.85546875" customWidth="1"/>
    <col min="24" max="24" width="12.42578125" bestFit="1" customWidth="1"/>
    <col min="25" max="25" width="22.85546875" customWidth="1"/>
    <col min="26" max="26" width="29.5703125" customWidth="1"/>
    <col min="27" max="27" width="21.85546875" customWidth="1"/>
    <col min="28" max="28" width="12.140625" customWidth="1"/>
    <col min="29" max="29" width="10.85546875" customWidth="1"/>
    <col min="31" max="31" width="11" customWidth="1"/>
    <col min="32" max="32" width="37.42578125" customWidth="1"/>
  </cols>
  <sheetData>
    <row r="2" spans="1:34">
      <c r="E2" t="s">
        <v>45</v>
      </c>
      <c r="G2" t="s">
        <v>46</v>
      </c>
    </row>
    <row r="3" spans="1:34">
      <c r="G3" t="s">
        <v>51</v>
      </c>
    </row>
    <row r="4" spans="1:34">
      <c r="G4" t="s">
        <v>52</v>
      </c>
    </row>
    <row r="5" spans="1:34">
      <c r="AF5" s="10" t="s">
        <v>55</v>
      </c>
    </row>
    <row r="6" spans="1:34">
      <c r="E6" t="s">
        <v>60</v>
      </c>
      <c r="H6">
        <v>1.2999999999999999E-2</v>
      </c>
      <c r="I6" t="s">
        <v>59</v>
      </c>
      <c r="AF6" s="10"/>
    </row>
    <row r="7" spans="1:34">
      <c r="E7" t="s">
        <v>61</v>
      </c>
      <c r="H7">
        <v>1.6E-2</v>
      </c>
      <c r="I7" t="s">
        <v>59</v>
      </c>
      <c r="AF7" s="10"/>
    </row>
    <row r="8" spans="1:34">
      <c r="E8" t="s">
        <v>62</v>
      </c>
      <c r="H8">
        <v>0.5</v>
      </c>
      <c r="I8" t="s">
        <v>59</v>
      </c>
      <c r="AF8" s="10"/>
    </row>
    <row r="9" spans="1:34">
      <c r="E9" t="s">
        <v>63</v>
      </c>
      <c r="H9" s="22">
        <f>24*PI()*H6*H8</f>
        <v>0.49008845396000772</v>
      </c>
      <c r="I9" t="s">
        <v>64</v>
      </c>
      <c r="AF9" s="10"/>
    </row>
    <row r="10" spans="1:34">
      <c r="E10" t="s">
        <v>65</v>
      </c>
      <c r="H10" s="22">
        <f>24*PI()*H7*H9</f>
        <v>0.59122878204285689</v>
      </c>
      <c r="I10" t="s">
        <v>64</v>
      </c>
      <c r="AF10" s="10"/>
    </row>
    <row r="11" spans="1:34">
      <c r="E11" t="s">
        <v>53</v>
      </c>
      <c r="H11">
        <f>H8/H7</f>
        <v>31.25</v>
      </c>
      <c r="AF11" s="10"/>
    </row>
    <row r="12" spans="1:34">
      <c r="AF12" s="10"/>
    </row>
    <row r="13" spans="1:34">
      <c r="AF13" s="10"/>
    </row>
    <row r="14" spans="1:34">
      <c r="AF14" s="10"/>
    </row>
    <row r="15" spans="1:34" ht="18.75">
      <c r="A15" s="8" t="s">
        <v>24</v>
      </c>
      <c r="B15" s="8" t="s">
        <v>25</v>
      </c>
      <c r="C15" s="8" t="s">
        <v>0</v>
      </c>
      <c r="D15" s="10" t="s">
        <v>26</v>
      </c>
      <c r="E15" s="10" t="s">
        <v>27</v>
      </c>
      <c r="F15" s="10" t="s">
        <v>1</v>
      </c>
      <c r="G15" s="8" t="s">
        <v>29</v>
      </c>
      <c r="H15" s="10" t="s">
        <v>28</v>
      </c>
      <c r="I15" s="1" t="s">
        <v>2</v>
      </c>
      <c r="J15" s="2" t="s">
        <v>3</v>
      </c>
      <c r="K15" s="3" t="s">
        <v>4</v>
      </c>
      <c r="L15" s="4" t="s">
        <v>5</v>
      </c>
      <c r="M15" s="5" t="s">
        <v>30</v>
      </c>
      <c r="N15" s="1" t="s">
        <v>6</v>
      </c>
      <c r="O15" s="1" t="s">
        <v>7</v>
      </c>
      <c r="P15" s="1" t="s">
        <v>8</v>
      </c>
      <c r="Q15" s="1" t="s">
        <v>9</v>
      </c>
      <c r="R15" s="1" t="s">
        <v>43</v>
      </c>
      <c r="S15" s="3" t="s">
        <v>10</v>
      </c>
      <c r="T15" s="1" t="s">
        <v>11</v>
      </c>
      <c r="U15" s="1" t="s">
        <v>12</v>
      </c>
      <c r="V15" s="1" t="s">
        <v>15</v>
      </c>
      <c r="W15" s="1" t="s">
        <v>22</v>
      </c>
      <c r="X15" s="1" t="s">
        <v>58</v>
      </c>
      <c r="Y15" s="1" t="s">
        <v>21</v>
      </c>
      <c r="Z15" s="1" t="s">
        <v>13</v>
      </c>
      <c r="AA15" s="1" t="s">
        <v>14</v>
      </c>
      <c r="AB15" s="1" t="s">
        <v>16</v>
      </c>
      <c r="AC15" s="1" t="s">
        <v>17</v>
      </c>
      <c r="AD15" s="1" t="s">
        <v>18</v>
      </c>
      <c r="AE15" s="1" t="s">
        <v>19</v>
      </c>
      <c r="AF15" s="1" t="s">
        <v>23</v>
      </c>
      <c r="AG15" s="1" t="s">
        <v>20</v>
      </c>
      <c r="AH15" s="6"/>
    </row>
    <row r="16" spans="1:34">
      <c r="A16" s="9">
        <v>44.2</v>
      </c>
      <c r="B16" s="9">
        <v>55.8</v>
      </c>
      <c r="C16" s="9">
        <v>96</v>
      </c>
      <c r="D16" s="11">
        <v>39.299999999999997</v>
      </c>
      <c r="E16" s="11">
        <v>29.7</v>
      </c>
      <c r="F16" s="11">
        <v>111</v>
      </c>
      <c r="G16" s="9">
        <f>(A16+B16)/2</f>
        <v>50</v>
      </c>
      <c r="H16" s="11">
        <f>(D16+E16)/2</f>
        <v>34.5</v>
      </c>
      <c r="I16" s="6">
        <v>4.181</v>
      </c>
      <c r="J16" s="6">
        <v>4.1779999999999999</v>
      </c>
      <c r="K16" s="6">
        <v>988.03</v>
      </c>
      <c r="L16" s="6">
        <v>994.20500000000004</v>
      </c>
      <c r="M16" s="12">
        <f>F16/(24*(PI()*0.013^2/4)*3600*1000)</f>
        <v>9.679048149901592E-3</v>
      </c>
      <c r="N16" s="12">
        <f>(C16*L16)/(3600*1000)</f>
        <v>2.6512133333333337E-2</v>
      </c>
      <c r="O16" s="12">
        <f>(N16*I16*(B16-A16)*10^3)</f>
        <v>1285.8278618133329</v>
      </c>
      <c r="P16" s="12">
        <f>(F16*L16)/(3600*1000)</f>
        <v>3.0654654166666667E-2</v>
      </c>
      <c r="Q16" s="12">
        <f>P16*J16*(D16-E16)*10^3</f>
        <v>1229.5213930399998</v>
      </c>
      <c r="R16" s="12">
        <f>(O16+Q16)/2</f>
        <v>1257.6746274266663</v>
      </c>
      <c r="S16" s="6">
        <f>(B16-D16)</f>
        <v>16.5</v>
      </c>
      <c r="T16" s="6">
        <f>A16-E16</f>
        <v>14.500000000000004</v>
      </c>
      <c r="U16" s="6">
        <f>(S16-T16)/LN(S16/T16)</f>
        <v>15.478470701473976</v>
      </c>
      <c r="V16" s="6">
        <f>O16-Q16</f>
        <v>56.306468773333108</v>
      </c>
      <c r="W16" s="6">
        <f>Q16*100/O16</f>
        <v>95.620994812328362</v>
      </c>
      <c r="X16" s="6">
        <f>24*PI()*0.013*0.5</f>
        <v>0.49008845396000772</v>
      </c>
      <c r="Y16" s="6">
        <f>24*PI()*0.016*0.5</f>
        <v>0.60318578948924029</v>
      </c>
      <c r="Z16" s="6">
        <f>(R16/(X16*U16))</f>
        <v>165.7928430420973</v>
      </c>
      <c r="AA16" s="6">
        <f t="shared" ref="AA16:AA21" si="0">(R16/(Y16*U16))</f>
        <v>134.70668497170405</v>
      </c>
      <c r="AB16" s="6">
        <v>7.0768999999999997E-4</v>
      </c>
      <c r="AC16" s="6">
        <f>L16*M16*0.013/AB16</f>
        <v>176.77013219961827</v>
      </c>
      <c r="AD16" s="6">
        <v>4.6032999999999999</v>
      </c>
      <c r="AE16" s="6">
        <v>0.62416000000000005</v>
      </c>
      <c r="AF16" s="6">
        <f>(AE16/0.013)*AC16*(AD16^(1/3))*3.6</f>
        <v>50826.132132938867</v>
      </c>
      <c r="AG16" s="6">
        <f t="shared" ref="AG16:AG21" si="1">(1/((1/AA16)-(0.016/(0.013*AF16))))</f>
        <v>135.14753089953007</v>
      </c>
      <c r="AH16" s="6"/>
    </row>
    <row r="17" spans="1:34">
      <c r="A17" s="9">
        <v>42.5</v>
      </c>
      <c r="B17" s="9">
        <v>55.7</v>
      </c>
      <c r="C17" s="9">
        <v>96</v>
      </c>
      <c r="D17" s="11">
        <v>37.6</v>
      </c>
      <c r="E17" s="11">
        <v>29.6</v>
      </c>
      <c r="F17" s="11">
        <v>132</v>
      </c>
      <c r="G17" s="9">
        <f>(A17+B17)/2</f>
        <v>49.1</v>
      </c>
      <c r="H17" s="11">
        <f>(D17+E17)/2</f>
        <v>33.6</v>
      </c>
      <c r="I17" s="6">
        <v>4.1802000000000001</v>
      </c>
      <c r="J17" s="6">
        <v>4.1779999999999999</v>
      </c>
      <c r="K17" s="6">
        <v>988.44299999999998</v>
      </c>
      <c r="L17" s="6">
        <v>994.50800000000004</v>
      </c>
      <c r="M17" s="12">
        <f t="shared" ref="M17:M21" si="2">F17/(24*(PI()*0.013^2/4)*3600*1000)</f>
        <v>1.1510219421504597E-2</v>
      </c>
      <c r="N17" s="12">
        <f>(C17*L17)/(3600*1000)</f>
        <v>2.6520213333333337E-2</v>
      </c>
      <c r="O17" s="12">
        <f>(N17*I17*(B17-A17)*10^3)</f>
        <v>1463.3493042432005</v>
      </c>
      <c r="P17" s="12">
        <f>(F17*L17)/(3600*1000)</f>
        <v>3.6465293333333336E-2</v>
      </c>
      <c r="Q17" s="12">
        <f>P17*J17*(D17-E17)*10^3</f>
        <v>1218.8159643733334</v>
      </c>
      <c r="R17" s="12">
        <f>(O17+Q17)/2</f>
        <v>1341.082634308267</v>
      </c>
      <c r="S17" s="6">
        <f>(B17-D17)</f>
        <v>18.100000000000001</v>
      </c>
      <c r="T17" s="6">
        <f>A17-E17</f>
        <v>12.899999999999999</v>
      </c>
      <c r="U17" s="6">
        <f>(S17-T17)/LN(S17/T17)</f>
        <v>15.353516477946247</v>
      </c>
      <c r="V17" s="6">
        <f t="shared" ref="V17:V21" si="3">O17-Q17</f>
        <v>244.53333986986718</v>
      </c>
      <c r="W17" s="6">
        <f t="shared" ref="W17:W21" si="4">Q17*100/O17</f>
        <v>83.289475782657902</v>
      </c>
      <c r="X17" s="6">
        <f t="shared" ref="X17:X21" si="5">24*PI()*0.013*0.5</f>
        <v>0.49008845396000772</v>
      </c>
      <c r="Y17" s="6">
        <f t="shared" ref="Y17:Y21" si="6">24*PI()*0.016*0.5</f>
        <v>0.60318578948924029</v>
      </c>
      <c r="Z17" s="6">
        <f t="shared" ref="Z17:Z21" si="7">(R17/(X17*U17))</f>
        <v>178.22688159590214</v>
      </c>
      <c r="AA17" s="6">
        <f t="shared" si="0"/>
        <v>144.80934129667048</v>
      </c>
      <c r="AB17" s="7">
        <v>7.2079000000000002E-4</v>
      </c>
      <c r="AC17" s="6">
        <f t="shared" ref="AC17:AC21" si="8">L17*M17*0.013/AB17</f>
        <v>206.45551249842816</v>
      </c>
      <c r="AD17" s="6">
        <v>4.6978</v>
      </c>
      <c r="AE17" s="6">
        <v>0.62429999999999997</v>
      </c>
      <c r="AF17" s="6">
        <f t="shared" ref="AF17:AF21" si="9">(AE17/0.013)*AC17*(AD17^(1/3))*3.6</f>
        <v>59778.334089316151</v>
      </c>
      <c r="AG17" s="6">
        <f t="shared" si="1"/>
        <v>145.24237604332475</v>
      </c>
      <c r="AH17" s="6"/>
    </row>
    <row r="18" spans="1:34">
      <c r="A18" s="9">
        <v>43.2</v>
      </c>
      <c r="B18" s="9">
        <v>54.2</v>
      </c>
      <c r="C18" s="9">
        <v>120</v>
      </c>
      <c r="D18" s="11">
        <v>38.1</v>
      </c>
      <c r="E18" s="11">
        <v>29.6</v>
      </c>
      <c r="F18" s="11">
        <v>132</v>
      </c>
      <c r="G18" s="9">
        <f>(A18+B18)/2</f>
        <v>48.7</v>
      </c>
      <c r="H18" s="11">
        <f>(D18+E18)/2</f>
        <v>33.85</v>
      </c>
      <c r="I18" s="6">
        <v>4.1802999999999999</v>
      </c>
      <c r="J18" s="6">
        <v>4.1779999999999999</v>
      </c>
      <c r="K18" s="6">
        <v>988.62099999999998</v>
      </c>
      <c r="L18" s="6">
        <v>994.42399999999998</v>
      </c>
      <c r="M18" s="12">
        <f t="shared" si="2"/>
        <v>1.1510219421504597E-2</v>
      </c>
      <c r="N18" s="12">
        <f>(C18*L18)/(3600*1000)</f>
        <v>3.3147466666666667E-2</v>
      </c>
      <c r="O18" s="12">
        <f>(N18*I18*(B18-A18)*10^3)</f>
        <v>1524.2299039733334</v>
      </c>
      <c r="P18" s="12">
        <f>(F18*L18)/(3600*1000)</f>
        <v>3.6462213333333333E-2</v>
      </c>
      <c r="Q18" s="12">
        <f>P18*J18*(D18-E18)*10^3</f>
        <v>1294.8825821066664</v>
      </c>
      <c r="R18" s="12">
        <f>(O18+Q18)/2</f>
        <v>1409.55624304</v>
      </c>
      <c r="S18" s="6">
        <f>(B18-D18)</f>
        <v>16.100000000000001</v>
      </c>
      <c r="T18" s="6">
        <f>A18-E18</f>
        <v>13.600000000000001</v>
      </c>
      <c r="U18" s="6">
        <f>(S18-T18)/LN(S18/T18)</f>
        <v>14.814860532516523</v>
      </c>
      <c r="V18" s="6">
        <f t="shared" si="3"/>
        <v>229.34732186666702</v>
      </c>
      <c r="W18" s="6">
        <f t="shared" si="4"/>
        <v>84.953233021553459</v>
      </c>
      <c r="X18" s="6">
        <f>24*PI()*0.013*0.5</f>
        <v>0.49008845396000772</v>
      </c>
      <c r="Y18" s="6">
        <f>24*PI()*0.016*0.5</f>
        <v>0.60318578948924029</v>
      </c>
      <c r="Z18" s="6">
        <f t="shared" si="7"/>
        <v>194.13791944076829</v>
      </c>
      <c r="AA18" s="6">
        <f t="shared" si="0"/>
        <v>157.73705954562425</v>
      </c>
      <c r="AB18" s="7">
        <v>7.1710999999999997E-4</v>
      </c>
      <c r="AC18" s="6">
        <f t="shared" si="8"/>
        <v>207.49745463615585</v>
      </c>
      <c r="AD18" s="6">
        <v>4.6711999999999998</v>
      </c>
      <c r="AE18" s="6">
        <v>0.62463000000000002</v>
      </c>
      <c r="AF18" s="6">
        <f t="shared" si="9"/>
        <v>59998.111630259249</v>
      </c>
      <c r="AG18" s="6">
        <f t="shared" si="1"/>
        <v>158.2491115491745</v>
      </c>
      <c r="AH18" s="6"/>
    </row>
    <row r="19" spans="1:34">
      <c r="A19" s="9">
        <v>44.9</v>
      </c>
      <c r="B19" s="9">
        <v>55.6</v>
      </c>
      <c r="C19" s="9">
        <v>180</v>
      </c>
      <c r="D19" s="11">
        <v>37.799999999999997</v>
      </c>
      <c r="E19" s="11">
        <v>29.5</v>
      </c>
      <c r="F19" s="11">
        <v>165</v>
      </c>
      <c r="G19" s="9">
        <f t="shared" ref="G19:G21" si="10">(A19+B19)/2</f>
        <v>50.25</v>
      </c>
      <c r="H19" s="11">
        <f t="shared" ref="H19:H21" si="11">(D19+E19)/2</f>
        <v>33.65</v>
      </c>
      <c r="I19" s="6">
        <v>4.181</v>
      </c>
      <c r="J19" s="6">
        <v>4.1779999999999999</v>
      </c>
      <c r="K19" s="6">
        <v>987.92600000000004</v>
      </c>
      <c r="L19" s="6">
        <v>994.49099999999999</v>
      </c>
      <c r="M19" s="12">
        <f t="shared" si="2"/>
        <v>1.4387774276880747E-2</v>
      </c>
      <c r="N19" s="12">
        <f t="shared" ref="N19:N21" si="12">(C19*L19)/(3600*1000)</f>
        <v>4.9724549999999999E-2</v>
      </c>
      <c r="O19" s="12">
        <f t="shared" ref="O19:O21" si="13">(N19*I19*(B19-A19)*10^3)</f>
        <v>2224.5122759850005</v>
      </c>
      <c r="P19" s="12">
        <f t="shared" ref="P19:P21" si="14">(F19*L19)/(3600*1000)</f>
        <v>4.5580837499999999E-2</v>
      </c>
      <c r="Q19" s="12">
        <f t="shared" ref="Q19:Q21" si="15">P19*J19*(D19-E19)*10^3</f>
        <v>1580.6249343224995</v>
      </c>
      <c r="R19" s="12">
        <f t="shared" ref="R19:R21" si="16">(O19+Q19)/2</f>
        <v>1902.56860515375</v>
      </c>
      <c r="S19" s="6">
        <f t="shared" ref="S19:S21" si="17">(B19-D19)</f>
        <v>17.800000000000004</v>
      </c>
      <c r="T19" s="6">
        <f t="shared" ref="T19:T21" si="18">A19-E19</f>
        <v>15.399999999999999</v>
      </c>
      <c r="U19" s="6">
        <f t="shared" ref="U19:U21" si="19">(S19-T19)/LN(S19/T19)</f>
        <v>16.571043931951014</v>
      </c>
      <c r="V19" s="6">
        <f t="shared" si="3"/>
        <v>643.88734166250106</v>
      </c>
      <c r="W19" s="6">
        <f t="shared" si="4"/>
        <v>71.054898252814027</v>
      </c>
      <c r="X19" s="6">
        <f t="shared" si="5"/>
        <v>0.49008845396000772</v>
      </c>
      <c r="Y19" s="6">
        <f t="shared" si="6"/>
        <v>0.60318578948924029</v>
      </c>
      <c r="Z19" s="6">
        <f t="shared" si="7"/>
        <v>234.26962713032242</v>
      </c>
      <c r="AA19" s="6">
        <f t="shared" si="0"/>
        <v>190.34407204338697</v>
      </c>
      <c r="AB19" s="7">
        <v>7.2004999999999997E-4</v>
      </c>
      <c r="AC19" s="6">
        <f t="shared" si="8"/>
        <v>258.33019424909708</v>
      </c>
      <c r="AD19" s="6">
        <v>4.6924999999999999</v>
      </c>
      <c r="AE19" s="6">
        <v>0.62436000000000003</v>
      </c>
      <c r="AF19" s="6">
        <f t="shared" si="9"/>
        <v>74777.478737844518</v>
      </c>
      <c r="AG19" s="6">
        <f t="shared" si="1"/>
        <v>190.94227321175688</v>
      </c>
      <c r="AH19" s="6"/>
    </row>
    <row r="20" spans="1:34">
      <c r="A20" s="9">
        <v>44.3</v>
      </c>
      <c r="B20" s="9">
        <v>55.1</v>
      </c>
      <c r="C20" s="9">
        <v>180</v>
      </c>
      <c r="D20" s="11">
        <v>36.9</v>
      </c>
      <c r="E20" s="11">
        <v>29.5</v>
      </c>
      <c r="F20" s="11">
        <v>190</v>
      </c>
      <c r="G20" s="9">
        <f t="shared" si="10"/>
        <v>49.7</v>
      </c>
      <c r="H20" s="11">
        <f t="shared" si="11"/>
        <v>33.200000000000003</v>
      </c>
      <c r="I20" s="6">
        <v>4.1805000000000003</v>
      </c>
      <c r="J20" s="6">
        <v>4.1779999999999999</v>
      </c>
      <c r="K20" s="6">
        <v>988.17399999999998</v>
      </c>
      <c r="L20" s="6">
        <v>994.64</v>
      </c>
      <c r="M20" s="12">
        <f t="shared" si="2"/>
        <v>1.6567740076408131E-2</v>
      </c>
      <c r="N20" s="12">
        <f t="shared" si="12"/>
        <v>4.9732000000000005E-2</v>
      </c>
      <c r="O20" s="12">
        <f t="shared" si="13"/>
        <v>2245.3699608000011</v>
      </c>
      <c r="P20" s="12">
        <f t="shared" si="14"/>
        <v>5.249488888888889E-2</v>
      </c>
      <c r="Q20" s="12">
        <f t="shared" si="15"/>
        <v>1622.9949787555552</v>
      </c>
      <c r="R20" s="12">
        <f t="shared" si="16"/>
        <v>1934.1824697777781</v>
      </c>
      <c r="S20" s="6">
        <f t="shared" si="17"/>
        <v>18.200000000000003</v>
      </c>
      <c r="T20" s="6">
        <f t="shared" si="18"/>
        <v>14.799999999999997</v>
      </c>
      <c r="U20" s="6">
        <f t="shared" si="19"/>
        <v>16.441449967311659</v>
      </c>
      <c r="V20" s="6">
        <f t="shared" si="3"/>
        <v>622.37498204444591</v>
      </c>
      <c r="W20" s="6">
        <f t="shared" si="4"/>
        <v>72.281851413799956</v>
      </c>
      <c r="X20" s="6">
        <f t="shared" si="5"/>
        <v>0.49008845396000772</v>
      </c>
      <c r="Y20" s="6">
        <f t="shared" si="6"/>
        <v>0.60318578948924029</v>
      </c>
      <c r="Z20" s="6">
        <f t="shared" si="7"/>
        <v>240.03957907734176</v>
      </c>
      <c r="AA20" s="6">
        <f t="shared" si="0"/>
        <v>195.03215800034019</v>
      </c>
      <c r="AB20" s="7">
        <v>7.2674000000000002E-4</v>
      </c>
      <c r="AC20" s="6">
        <f t="shared" si="8"/>
        <v>294.77692278501468</v>
      </c>
      <c r="AD20" s="6">
        <v>4.7408000000000001</v>
      </c>
      <c r="AE20" s="6">
        <v>0.62375999999999998</v>
      </c>
      <c r="AF20" s="6">
        <f t="shared" si="9"/>
        <v>85537.002802068993</v>
      </c>
      <c r="AG20" s="6">
        <f t="shared" si="1"/>
        <v>195.58101033158385</v>
      </c>
      <c r="AH20" s="6"/>
    </row>
    <row r="21" spans="1:34">
      <c r="A21" s="9">
        <v>44.9</v>
      </c>
      <c r="B21" s="9">
        <v>55</v>
      </c>
      <c r="C21" s="9">
        <v>200</v>
      </c>
      <c r="D21" s="11">
        <v>36.799999999999997</v>
      </c>
      <c r="E21" s="11">
        <v>29.3</v>
      </c>
      <c r="F21" s="11">
        <v>212</v>
      </c>
      <c r="G21" s="9">
        <f t="shared" si="10"/>
        <v>49.95</v>
      </c>
      <c r="H21" s="11">
        <f t="shared" si="11"/>
        <v>33.049999999999997</v>
      </c>
      <c r="I21" s="6">
        <v>4.1806000000000001</v>
      </c>
      <c r="J21" s="6">
        <v>4.1779999999999999</v>
      </c>
      <c r="K21" s="6">
        <v>988.06100000000004</v>
      </c>
      <c r="L21" s="6">
        <v>994.68899999999996</v>
      </c>
      <c r="M21" s="12">
        <f t="shared" si="2"/>
        <v>1.848610997999223E-2</v>
      </c>
      <c r="N21" s="12">
        <f t="shared" si="12"/>
        <v>5.5260499999999997E-2</v>
      </c>
      <c r="O21" s="12">
        <f t="shared" si="13"/>
        <v>2333.3226676300005</v>
      </c>
      <c r="P21" s="12">
        <f t="shared" si="14"/>
        <v>5.8576129999999997E-2</v>
      </c>
      <c r="Q21" s="12">
        <f t="shared" si="15"/>
        <v>1835.4830335499989</v>
      </c>
      <c r="R21" s="12">
        <f t="shared" si="16"/>
        <v>2084.4028505899996</v>
      </c>
      <c r="S21" s="6">
        <f t="shared" si="17"/>
        <v>18.200000000000003</v>
      </c>
      <c r="T21" s="6">
        <f t="shared" si="18"/>
        <v>15.599999999999998</v>
      </c>
      <c r="U21" s="6">
        <f t="shared" si="19"/>
        <v>16.8666139060403</v>
      </c>
      <c r="V21" s="6">
        <f t="shared" si="3"/>
        <v>497.83963408000159</v>
      </c>
      <c r="W21" s="6">
        <f t="shared" si="4"/>
        <v>78.66391815472025</v>
      </c>
      <c r="X21" s="6">
        <f t="shared" si="5"/>
        <v>0.49008845396000772</v>
      </c>
      <c r="Y21" s="6">
        <f t="shared" si="6"/>
        <v>0.60318578948924029</v>
      </c>
      <c r="Z21" s="6">
        <f t="shared" si="7"/>
        <v>252.16179294233723</v>
      </c>
      <c r="AA21" s="6">
        <f t="shared" si="0"/>
        <v>204.88145676564898</v>
      </c>
      <c r="AB21" s="7">
        <v>7.2899E-4</v>
      </c>
      <c r="AC21" s="6">
        <f t="shared" si="8"/>
        <v>327.90997578643106</v>
      </c>
      <c r="AD21" s="6">
        <v>4.7569999999999997</v>
      </c>
      <c r="AE21" s="6">
        <v>0.62356</v>
      </c>
      <c r="AF21" s="6">
        <f t="shared" si="9"/>
        <v>95229.113862295228</v>
      </c>
      <c r="AG21" s="6">
        <f t="shared" si="1"/>
        <v>205.42541268709127</v>
      </c>
      <c r="AH21" s="6"/>
    </row>
    <row r="23" spans="1:34">
      <c r="N23" s="12"/>
    </row>
    <row r="24" spans="1:34" ht="18.75">
      <c r="A24" s="8" t="s">
        <v>24</v>
      </c>
      <c r="B24" s="8" t="s">
        <v>25</v>
      </c>
      <c r="C24" s="8" t="s">
        <v>0</v>
      </c>
      <c r="D24" s="8" t="s">
        <v>29</v>
      </c>
      <c r="E24" s="1" t="s">
        <v>2</v>
      </c>
      <c r="F24" s="3" t="s">
        <v>4</v>
      </c>
      <c r="G24" s="1" t="s">
        <v>6</v>
      </c>
      <c r="H24" s="1" t="s">
        <v>7</v>
      </c>
    </row>
    <row r="25" spans="1:34">
      <c r="A25" s="9">
        <v>44.2</v>
      </c>
      <c r="B25" s="9">
        <v>55.8</v>
      </c>
      <c r="C25" s="9">
        <v>96</v>
      </c>
      <c r="D25" s="14">
        <f>(A25+B25)/2</f>
        <v>50</v>
      </c>
      <c r="E25" s="13">
        <v>4.181</v>
      </c>
      <c r="F25" s="13">
        <v>988.03</v>
      </c>
      <c r="G25" s="12">
        <f>C25*F25/(1000*3600)</f>
        <v>2.6347466666666666E-2</v>
      </c>
      <c r="H25" s="18">
        <f>G25*E25*(B25-A25)*1000</f>
        <v>1277.8415943466659</v>
      </c>
    </row>
    <row r="26" spans="1:34">
      <c r="A26" s="9">
        <v>42.5</v>
      </c>
      <c r="B26" s="9">
        <v>55.7</v>
      </c>
      <c r="C26" s="9">
        <v>96</v>
      </c>
      <c r="D26" s="14">
        <f t="shared" ref="D26:D30" si="20">(A26+B26)/2</f>
        <v>49.1</v>
      </c>
      <c r="E26" s="13">
        <v>4.1802000000000001</v>
      </c>
      <c r="F26" s="13">
        <v>988.44299999999998</v>
      </c>
      <c r="G26" s="12">
        <f t="shared" ref="G26:G30" si="21">C26*F26/(1000*3600)</f>
        <v>2.6358479999999997E-2</v>
      </c>
      <c r="H26" s="18">
        <f t="shared" ref="H26:H30" si="22">G26*E26*(B26-A26)*1000</f>
        <v>1454.4250788672002</v>
      </c>
    </row>
    <row r="27" spans="1:34">
      <c r="A27" s="9">
        <v>43.2</v>
      </c>
      <c r="B27" s="9">
        <v>54.2</v>
      </c>
      <c r="C27" s="9">
        <v>120</v>
      </c>
      <c r="D27" s="14">
        <f t="shared" si="20"/>
        <v>48.7</v>
      </c>
      <c r="E27" s="13">
        <v>4.1802999999999999</v>
      </c>
      <c r="F27" s="13">
        <v>988.62099999999998</v>
      </c>
      <c r="G27" s="12">
        <f t="shared" si="21"/>
        <v>3.2954033333333334E-2</v>
      </c>
      <c r="H27" s="18">
        <f t="shared" si="22"/>
        <v>1515.3352009766668</v>
      </c>
      <c r="J27" s="16" t="s">
        <v>34</v>
      </c>
      <c r="K27" s="16" t="s">
        <v>35</v>
      </c>
      <c r="L27" s="1" t="s">
        <v>37</v>
      </c>
      <c r="M27" s="1" t="s">
        <v>38</v>
      </c>
      <c r="N27" s="1" t="s">
        <v>36</v>
      </c>
      <c r="O27" s="1" t="s">
        <v>54</v>
      </c>
      <c r="P27" s="16" t="s">
        <v>39</v>
      </c>
      <c r="Q27" s="16" t="s">
        <v>40</v>
      </c>
      <c r="R27" s="1" t="s">
        <v>41</v>
      </c>
      <c r="S27" s="1" t="s">
        <v>42</v>
      </c>
      <c r="T27" s="1" t="s">
        <v>44</v>
      </c>
      <c r="U27" s="1" t="s">
        <v>17</v>
      </c>
      <c r="V27" s="1" t="s">
        <v>18</v>
      </c>
      <c r="W27" s="1" t="s">
        <v>56</v>
      </c>
      <c r="X27" s="1" t="s">
        <v>57</v>
      </c>
    </row>
    <row r="28" spans="1:34">
      <c r="A28" s="9">
        <v>44.9</v>
      </c>
      <c r="B28" s="9">
        <v>55.6</v>
      </c>
      <c r="C28" s="9">
        <v>180</v>
      </c>
      <c r="D28" s="14">
        <f t="shared" si="20"/>
        <v>50.25</v>
      </c>
      <c r="E28" s="13">
        <v>4.181</v>
      </c>
      <c r="F28" s="13">
        <v>987.92600000000004</v>
      </c>
      <c r="G28" s="12">
        <f t="shared" si="21"/>
        <v>4.9396300000000004E-2</v>
      </c>
      <c r="H28" s="18">
        <f t="shared" si="22"/>
        <v>2209.8274542100007</v>
      </c>
      <c r="J28" s="18">
        <f>(H25-H33)/H25*100</f>
        <v>3.781392116240454</v>
      </c>
      <c r="K28" s="19">
        <f>MIN(H25,H33)</f>
        <v>1229.5213930399998</v>
      </c>
      <c r="L28" s="18">
        <f>B25-A33</f>
        <v>16.5</v>
      </c>
      <c r="M28" s="6">
        <f>A25-B33</f>
        <v>14.500000000000004</v>
      </c>
      <c r="N28" s="18">
        <f>(L28-M28)/LN(L28/M28)</f>
        <v>15.478470701473976</v>
      </c>
      <c r="O28" s="18">
        <f>$M$38*N28</f>
        <v>13.930623631326577</v>
      </c>
      <c r="P28" s="18">
        <f>K28/(O28*$H$9)</f>
        <v>180.09060609673779</v>
      </c>
      <c r="Q28" s="18">
        <f>K28/(O28*$H$10)</f>
        <v>149.28286544120439</v>
      </c>
      <c r="R28" s="20">
        <v>7.0768999999999997E-4</v>
      </c>
      <c r="S28" s="18">
        <v>0.62416000000000005</v>
      </c>
      <c r="T28" s="12">
        <f>G25/(12*F25*3.1415*0.013*0.013/4)</f>
        <v>1.674263112331649E-2</v>
      </c>
      <c r="U28" s="19">
        <f>0.013*F25*T28/R28</f>
        <v>303.87441361897874</v>
      </c>
      <c r="V28" s="18">
        <f>E25*R28*1000/S28</f>
        <v>4.7405343021020245</v>
      </c>
      <c r="W28" s="18">
        <f>(S28/0.013)*0.0125*U28*V28^0.33</f>
        <v>304.77527675481144</v>
      </c>
      <c r="X28" s="19">
        <f>1/(1/Q28-(0.016/(W28*0.013)))</f>
        <v>375.88218501196269</v>
      </c>
    </row>
    <row r="29" spans="1:34">
      <c r="A29" s="9">
        <v>44.3</v>
      </c>
      <c r="B29" s="9">
        <v>55.1</v>
      </c>
      <c r="C29" s="9">
        <v>180</v>
      </c>
      <c r="D29" s="14">
        <f t="shared" si="20"/>
        <v>49.7</v>
      </c>
      <c r="E29" s="13">
        <v>4.1805000000000003</v>
      </c>
      <c r="F29" s="13">
        <v>988.17399999999998</v>
      </c>
      <c r="G29" s="12">
        <f t="shared" si="21"/>
        <v>4.94087E-2</v>
      </c>
      <c r="H29" s="18">
        <f t="shared" si="22"/>
        <v>2230.7731597800007</v>
      </c>
      <c r="J29" s="18">
        <f t="shared" ref="J29:J33" si="23">(H26-H34)/H26*100</f>
        <v>16.199467261481381</v>
      </c>
      <c r="K29" s="19">
        <f t="shared" ref="K29:K33" si="24">MIN(H26,H34)</f>
        <v>1218.8159643733334</v>
      </c>
      <c r="L29" s="18">
        <f t="shared" ref="L29:L33" si="25">B26-A34</f>
        <v>18.100000000000001</v>
      </c>
      <c r="M29" s="6">
        <f t="shared" ref="M29:M33" si="26">A26-B34</f>
        <v>12.899999999999999</v>
      </c>
      <c r="N29" s="18">
        <f t="shared" ref="N29:P33" si="27">(L29-M29)/LN(L29/M29)</f>
        <v>15.353516477946247</v>
      </c>
      <c r="O29" s="18">
        <f t="shared" ref="O29:O33" si="28">$M$38*N29</f>
        <v>13.818164830151623</v>
      </c>
      <c r="P29" s="18">
        <f t="shared" ref="P29:P33" si="29">K29/(O29*$H$9)</f>
        <v>179.97546079760053</v>
      </c>
      <c r="Q29" s="18">
        <f t="shared" ref="Q29:Q33" si="30">K29/(O29*$H$10)</f>
        <v>149.18741781864455</v>
      </c>
      <c r="R29" s="20">
        <v>7.2079000000000002E-4</v>
      </c>
      <c r="S29" s="18">
        <v>0.62429999999999997</v>
      </c>
      <c r="T29" s="12">
        <f t="shared" ref="T29:T33" si="31">G26/(12*F26*3.1415*0.013*0.013/4)</f>
        <v>1.674263112331649E-2</v>
      </c>
      <c r="U29" s="19">
        <f>0.013*F26*T29/R29</f>
        <v>298.47635921768637</v>
      </c>
      <c r="V29" s="18">
        <f>E26*R29*1000/S29</f>
        <v>4.8262796059586739</v>
      </c>
      <c r="W29" s="18">
        <f t="shared" ref="W29:W33" si="32">(S29/0.013)*0.0125*U29*V29^0.33</f>
        <v>301.20491353728409</v>
      </c>
      <c r="X29" s="19">
        <f t="shared" ref="X29:X33" si="33">1/(1/Q29-(0.016/(W29*0.013)))</f>
        <v>382.14239860147399</v>
      </c>
    </row>
    <row r="30" spans="1:34">
      <c r="A30" s="9">
        <v>44.9</v>
      </c>
      <c r="B30" s="9">
        <v>55</v>
      </c>
      <c r="C30" s="9">
        <v>200</v>
      </c>
      <c r="D30" s="14">
        <f t="shared" si="20"/>
        <v>49.95</v>
      </c>
      <c r="E30" s="13">
        <v>4.1806000000000001</v>
      </c>
      <c r="F30" s="13">
        <v>988.06100000000004</v>
      </c>
      <c r="G30" s="12">
        <f t="shared" si="21"/>
        <v>5.4892277777777783E-2</v>
      </c>
      <c r="H30" s="18">
        <f t="shared" si="22"/>
        <v>2317.774830425556</v>
      </c>
      <c r="J30" s="18">
        <f t="shared" si="23"/>
        <v>14.548109139675091</v>
      </c>
      <c r="K30" s="19">
        <f t="shared" si="24"/>
        <v>1294.8825821066664</v>
      </c>
      <c r="L30" s="18">
        <f t="shared" si="25"/>
        <v>16.100000000000001</v>
      </c>
      <c r="M30" s="6">
        <f t="shared" si="26"/>
        <v>13.600000000000001</v>
      </c>
      <c r="N30" s="18">
        <f t="shared" si="27"/>
        <v>14.814860532516523</v>
      </c>
      <c r="O30" s="18">
        <f t="shared" si="28"/>
        <v>13.333374479264871</v>
      </c>
      <c r="P30" s="18">
        <f t="shared" si="29"/>
        <v>198.15993047579639</v>
      </c>
      <c r="Q30" s="18">
        <f t="shared" si="30"/>
        <v>164.26110655192349</v>
      </c>
      <c r="R30" s="20">
        <v>7.1710999999999997E-4</v>
      </c>
      <c r="S30" s="18">
        <v>0.62463000000000002</v>
      </c>
      <c r="T30" s="12">
        <f t="shared" si="31"/>
        <v>2.0928288904145612E-2</v>
      </c>
      <c r="U30" s="19">
        <f>0.013*F27*T30/R30</f>
        <v>375.07759864061217</v>
      </c>
      <c r="V30" s="18">
        <f>E27*R30*1000/S30</f>
        <v>4.7992170292813343</v>
      </c>
      <c r="W30" s="18">
        <f>(S30/0.013)*0.011*U30*V30^0.33</f>
        <v>332.64387203057805</v>
      </c>
      <c r="X30" s="19">
        <f t="shared" si="33"/>
        <v>418.77664327597967</v>
      </c>
    </row>
    <row r="31" spans="1:34">
      <c r="H31" s="17"/>
      <c r="J31" s="18">
        <f t="shared" si="23"/>
        <v>28.472925281509688</v>
      </c>
      <c r="K31" s="19">
        <f t="shared" si="24"/>
        <v>1580.6249343224995</v>
      </c>
      <c r="L31" s="18">
        <f t="shared" si="25"/>
        <v>17.800000000000004</v>
      </c>
      <c r="M31" s="6">
        <f t="shared" si="26"/>
        <v>15.399999999999999</v>
      </c>
      <c r="N31" s="18">
        <f t="shared" si="27"/>
        <v>16.571043931951014</v>
      </c>
      <c r="O31" s="18">
        <f t="shared" si="28"/>
        <v>14.913939538755912</v>
      </c>
      <c r="P31" s="18">
        <f t="shared" si="29"/>
        <v>216.25291957267092</v>
      </c>
      <c r="Q31" s="18">
        <f t="shared" si="30"/>
        <v>179.25896410439927</v>
      </c>
      <c r="R31" s="20">
        <v>7.2004999999999997E-4</v>
      </c>
      <c r="S31" s="18">
        <v>0.62436000000000003</v>
      </c>
      <c r="T31" s="12">
        <f t="shared" si="31"/>
        <v>3.139243335621842E-2</v>
      </c>
      <c r="U31" s="19">
        <f>0.013*F28*T31/R31</f>
        <v>559.92530311281257</v>
      </c>
      <c r="V31" s="18">
        <f>E28*R31*1000/S31</f>
        <v>4.821783986802485</v>
      </c>
      <c r="W31" s="18">
        <f>(S31/0.013)*0.009*U31*V31^0.33</f>
        <v>406.74561576929898</v>
      </c>
      <c r="X31" s="19">
        <f t="shared" si="33"/>
        <v>391.75323319508766</v>
      </c>
    </row>
    <row r="32" spans="1:34" ht="18.75">
      <c r="A32" s="10" t="s">
        <v>26</v>
      </c>
      <c r="B32" s="10" t="s">
        <v>27</v>
      </c>
      <c r="C32" s="10" t="s">
        <v>1</v>
      </c>
      <c r="D32" s="10" t="s">
        <v>31</v>
      </c>
      <c r="E32" s="2" t="s">
        <v>3</v>
      </c>
      <c r="F32" s="4" t="s">
        <v>5</v>
      </c>
      <c r="G32" s="1" t="s">
        <v>32</v>
      </c>
      <c r="H32" s="21" t="s">
        <v>33</v>
      </c>
      <c r="J32" s="18">
        <f t="shared" si="23"/>
        <v>27.245180818133242</v>
      </c>
      <c r="K32" s="19">
        <f t="shared" si="24"/>
        <v>1622.9949787555552</v>
      </c>
      <c r="L32" s="18">
        <f t="shared" si="25"/>
        <v>18.200000000000003</v>
      </c>
      <c r="M32" s="6">
        <f t="shared" si="26"/>
        <v>14.799999999999997</v>
      </c>
      <c r="N32" s="18">
        <f t="shared" si="27"/>
        <v>16.441449967311659</v>
      </c>
      <c r="O32" s="18">
        <f t="shared" si="28"/>
        <v>14.797304970580493</v>
      </c>
      <c r="P32" s="18">
        <f t="shared" si="29"/>
        <v>223.79999912824647</v>
      </c>
      <c r="Q32" s="18">
        <f t="shared" si="30"/>
        <v>185.5149798188661</v>
      </c>
      <c r="R32" s="20">
        <v>7.2674000000000002E-4</v>
      </c>
      <c r="S32" s="18">
        <v>0.62375999999999998</v>
      </c>
      <c r="T32" s="12">
        <f t="shared" si="31"/>
        <v>3.139243335621842E-2</v>
      </c>
      <c r="U32" s="19">
        <f>0.013*F29*T32/R32</f>
        <v>554.91017930968587</v>
      </c>
      <c r="V32" s="18">
        <f>E29*R32*1000/S32</f>
        <v>4.8706819449788386</v>
      </c>
      <c r="W32" s="18">
        <f>(S32/0.013)*0.009*U32*V32^0.33</f>
        <v>404.05826477050567</v>
      </c>
      <c r="X32" s="19">
        <f t="shared" si="33"/>
        <v>426.55181142155902</v>
      </c>
    </row>
    <row r="33" spans="1:24">
      <c r="A33" s="11">
        <v>39.299999999999997</v>
      </c>
      <c r="B33" s="11">
        <v>29.7</v>
      </c>
      <c r="C33" s="11">
        <v>111</v>
      </c>
      <c r="D33" s="15">
        <f>(A33+B33)/2</f>
        <v>34.5</v>
      </c>
      <c r="E33" s="6">
        <v>4.1779999999999999</v>
      </c>
      <c r="F33" s="6">
        <v>994.20500000000004</v>
      </c>
      <c r="G33" s="12">
        <f>C33*F33/(1000*3600)</f>
        <v>3.0654654166666667E-2</v>
      </c>
      <c r="H33" s="18">
        <f>G33*E33*(A33-B33)*1000</f>
        <v>1229.5213930399998</v>
      </c>
      <c r="J33" s="18">
        <f>(H30-H38)/H30*100</f>
        <v>20.808397370809558</v>
      </c>
      <c r="K33" s="19">
        <f t="shared" si="24"/>
        <v>1835.4830335499989</v>
      </c>
      <c r="L33" s="18">
        <f t="shared" si="25"/>
        <v>18.200000000000003</v>
      </c>
      <c r="M33" s="6">
        <f t="shared" si="26"/>
        <v>15.599999999999998</v>
      </c>
      <c r="N33" s="18">
        <f t="shared" si="27"/>
        <v>16.8666139060403</v>
      </c>
      <c r="O33" s="18">
        <f t="shared" si="28"/>
        <v>15.17995251543627</v>
      </c>
      <c r="P33" s="18">
        <f t="shared" si="29"/>
        <v>246.72064419590339</v>
      </c>
      <c r="Q33" s="18">
        <f t="shared" si="30"/>
        <v>204.51463586768105</v>
      </c>
      <c r="R33" s="20">
        <v>7.2899E-4</v>
      </c>
      <c r="S33" s="18">
        <v>0.62356</v>
      </c>
      <c r="T33" s="12">
        <f t="shared" si="31"/>
        <v>3.4880481506909353E-2</v>
      </c>
      <c r="U33" s="19">
        <f>0.013*F30*T33/R33</f>
        <v>614.59356739678003</v>
      </c>
      <c r="V33" s="18">
        <f>E30*R33*1000/S33</f>
        <v>4.8874456251202778</v>
      </c>
      <c r="W33" s="18">
        <f>(S33/0.013)*0.009*U33*V33^0.33</f>
        <v>447.88081077408611</v>
      </c>
      <c r="X33" s="19">
        <f t="shared" si="33"/>
        <v>466.93149955827721</v>
      </c>
    </row>
    <row r="34" spans="1:24">
      <c r="A34" s="11">
        <v>37.6</v>
      </c>
      <c r="B34" s="11">
        <v>29.6</v>
      </c>
      <c r="C34" s="11">
        <v>132</v>
      </c>
      <c r="D34" s="15">
        <f t="shared" ref="D34:D38" si="34">(A34+B34)/2</f>
        <v>33.6</v>
      </c>
      <c r="E34" s="6">
        <v>4.1779999999999999</v>
      </c>
      <c r="F34" s="6">
        <v>994.50800000000004</v>
      </c>
      <c r="G34" s="12">
        <f t="shared" ref="G34:G38" si="35">C34*F34/(1000*3600)</f>
        <v>3.6465293333333336E-2</v>
      </c>
      <c r="H34" s="18">
        <f t="shared" ref="H34:H38" si="36">G34*E34*(A34-B34)*1000</f>
        <v>1218.8159643733334</v>
      </c>
    </row>
    <row r="35" spans="1:24">
      <c r="A35" s="11">
        <v>38.1</v>
      </c>
      <c r="B35" s="11">
        <v>29.6</v>
      </c>
      <c r="C35" s="11">
        <v>132</v>
      </c>
      <c r="D35" s="15">
        <f t="shared" si="34"/>
        <v>33.85</v>
      </c>
      <c r="E35" s="6">
        <v>4.1779999999999999</v>
      </c>
      <c r="F35" s="6">
        <v>994.42399999999998</v>
      </c>
      <c r="G35" s="12">
        <f t="shared" si="35"/>
        <v>3.6462213333333333E-2</v>
      </c>
      <c r="H35" s="18">
        <f t="shared" si="36"/>
        <v>1294.8825821066664</v>
      </c>
    </row>
    <row r="36" spans="1:24">
      <c r="A36" s="11">
        <v>37.799999999999997</v>
      </c>
      <c r="B36" s="11">
        <v>29.5</v>
      </c>
      <c r="C36" s="11">
        <v>165</v>
      </c>
      <c r="D36" s="15">
        <f t="shared" si="34"/>
        <v>33.65</v>
      </c>
      <c r="E36" s="6">
        <v>4.1779999999999999</v>
      </c>
      <c r="F36" s="6">
        <v>994.49099999999999</v>
      </c>
      <c r="G36" s="12">
        <f t="shared" si="35"/>
        <v>4.5580837499999999E-2</v>
      </c>
      <c r="H36" s="18">
        <f t="shared" si="36"/>
        <v>1580.6249343224995</v>
      </c>
      <c r="K36" t="s">
        <v>47</v>
      </c>
      <c r="M36">
        <f>A25-B25</f>
        <v>-11.599999999999994</v>
      </c>
      <c r="N36">
        <f>B33-B25</f>
        <v>-26.099999999999998</v>
      </c>
      <c r="O36">
        <f>M36/N36</f>
        <v>0.44444444444444425</v>
      </c>
    </row>
    <row r="37" spans="1:24">
      <c r="A37" s="11">
        <v>36.9</v>
      </c>
      <c r="B37" s="11">
        <v>29.5</v>
      </c>
      <c r="C37" s="11">
        <v>190</v>
      </c>
      <c r="D37" s="15">
        <f t="shared" si="34"/>
        <v>33.200000000000003</v>
      </c>
      <c r="E37" s="6">
        <v>4.1779999999999999</v>
      </c>
      <c r="F37" s="6">
        <v>994.64</v>
      </c>
      <c r="G37" s="12">
        <f t="shared" si="35"/>
        <v>5.249488888888889E-2</v>
      </c>
      <c r="H37" s="18">
        <f t="shared" si="36"/>
        <v>1622.9949787555552</v>
      </c>
      <c r="K37" t="s">
        <v>48</v>
      </c>
      <c r="M37">
        <f>B33-A33</f>
        <v>-9.5999999999999979</v>
      </c>
      <c r="N37">
        <f>A25-B25</f>
        <v>-11.599999999999994</v>
      </c>
      <c r="O37">
        <f>M37/N37</f>
        <v>0.82758620689655193</v>
      </c>
    </row>
    <row r="38" spans="1:24">
      <c r="A38" s="11">
        <v>36.799999999999997</v>
      </c>
      <c r="B38" s="11">
        <v>29.3</v>
      </c>
      <c r="C38" s="11">
        <v>212</v>
      </c>
      <c r="D38" s="15">
        <f t="shared" si="34"/>
        <v>33.049999999999997</v>
      </c>
      <c r="E38" s="6">
        <v>4.1779999999999999</v>
      </c>
      <c r="F38" s="6">
        <v>994.68899999999996</v>
      </c>
      <c r="G38" s="12">
        <f t="shared" si="35"/>
        <v>5.8576129999999997E-2</v>
      </c>
      <c r="H38" s="18">
        <f t="shared" si="36"/>
        <v>1835.4830335499989</v>
      </c>
      <c r="K38" t="s">
        <v>49</v>
      </c>
      <c r="M38">
        <v>0.9</v>
      </c>
      <c r="O38" t="s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2015-07-09T05:50:04Z</dcterms:created>
  <dcterms:modified xsi:type="dcterms:W3CDTF">2015-07-11T06:18:52Z</dcterms:modified>
</cp:coreProperties>
</file>