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20" firstSheet="2" activeTab="7"/>
  </bookViews>
  <sheets>
    <sheet name="Exchange Rates" sheetId="22" r:id="rId1"/>
    <sheet name="Exchange Rates Solver Table" sheetId="23" r:id="rId2"/>
    <sheet name="Answer Report 1" sheetId="24" r:id="rId3"/>
    <sheet name="Advertising" sheetId="3" r:id="rId4"/>
    <sheet name="Answer Report 2" sheetId="16" r:id="rId5"/>
    <sheet name="Monroe County" sheetId="4" r:id="rId6"/>
    <sheet name="STS_2" sheetId="20" r:id="rId7"/>
    <sheet name="Martine Santana" sheetId="21" r:id="rId8"/>
    <sheet name="Monroe County_STS" sheetId="17" state="veryHidden" r:id="rId9"/>
    <sheet name="Exchange Rates_STS" sheetId="7" state="veryHidden" r:id="rId10"/>
  </sheets>
  <definedNames>
    <definedName name="ChartData" localSheetId="1">'Exchange Rates Solver Table'!$K$5:$K$10</definedName>
    <definedName name="ChartData" localSheetId="6">STS_2!$K$5:$K$55</definedName>
    <definedName name="InputValues" localSheetId="1">'Exchange Rates Solver Table'!$A$5:$A$10</definedName>
    <definedName name="InputValues" localSheetId="6">STS_2!$A$5:$A$55</definedName>
    <definedName name="OutputAddresses" localSheetId="1">'Exchange Rates Solver Table'!$B$4</definedName>
    <definedName name="OutputAddresses" localSheetId="6">STS_2!$B$4:$C$4</definedName>
    <definedName name="OutputValues" localSheetId="1">'Exchange Rates Solver Table'!$B$5:$B$10</definedName>
    <definedName name="OutputValues" localSheetId="6">STS_2!$B$5:$C$55</definedName>
    <definedName name="solver_adj" localSheetId="3" hidden="1">Advertising!$B$18:$C$18</definedName>
    <definedName name="solver_adj" localSheetId="0" hidden="1">'Exchange Rates'!$B$12</definedName>
    <definedName name="solver_adj" localSheetId="7" hidden="1">'Martine Santana'!$B$56:$E$56</definedName>
    <definedName name="solver_adj" localSheetId="5" hidden="1">'Monroe County'!$B$18:$C$18</definedName>
    <definedName name="solver_cvg" localSheetId="3" hidden="1">0.0001</definedName>
    <definedName name="solver_cvg" localSheetId="0" hidden="1">0.0001</definedName>
    <definedName name="solver_cvg" localSheetId="7" hidden="1">0.0001</definedName>
    <definedName name="solver_cvg" localSheetId="5" hidden="1">0.0001</definedName>
    <definedName name="solver_drv" localSheetId="3" hidden="1">2</definedName>
    <definedName name="solver_drv" localSheetId="0" hidden="1">2</definedName>
    <definedName name="solver_drv" localSheetId="7" hidden="1">1</definedName>
    <definedName name="solver_drv" localSheetId="5" hidden="1">1</definedName>
    <definedName name="solver_eng" localSheetId="3" hidden="1">1</definedName>
    <definedName name="solver_eng" localSheetId="0" hidden="1">1</definedName>
    <definedName name="solver_eng" localSheetId="7" hidden="1">1</definedName>
    <definedName name="solver_eng" localSheetId="5" hidden="1">1</definedName>
    <definedName name="solver_est" localSheetId="3" hidden="1">1</definedName>
    <definedName name="solver_est" localSheetId="0" hidden="1">1</definedName>
    <definedName name="solver_est" localSheetId="7" hidden="1">1</definedName>
    <definedName name="solver_est" localSheetId="5" hidden="1">1</definedName>
    <definedName name="solver_itr" localSheetId="3" hidden="1">2147483647</definedName>
    <definedName name="solver_itr" localSheetId="0" hidden="1">2147483647</definedName>
    <definedName name="solver_itr" localSheetId="7" hidden="1">2147483647</definedName>
    <definedName name="solver_itr" localSheetId="5" hidden="1">2147483647</definedName>
    <definedName name="solver_lhs1" localSheetId="3" hidden="1">Advertising!$B$18:$C$18</definedName>
    <definedName name="solver_lhs1" localSheetId="7" hidden="1">'Martine Santana'!$F$48</definedName>
    <definedName name="solver_lhs1" localSheetId="5" hidden="1">'Monroe County'!$B$18:$C$18</definedName>
    <definedName name="solver_lhs2" localSheetId="3" hidden="1">Advertising!$B$18:$C$18</definedName>
    <definedName name="solver_lhs2" localSheetId="7" hidden="1">'Martine Santana'!$F$56</definedName>
    <definedName name="solver_lhs3" localSheetId="3" hidden="1">Advertising!$B$20:$B$21</definedName>
    <definedName name="solver_mip" localSheetId="3" hidden="1">2147483647</definedName>
    <definedName name="solver_mip" localSheetId="0" hidden="1">2147483647</definedName>
    <definedName name="solver_mip" localSheetId="7" hidden="1">2147483647</definedName>
    <definedName name="solver_mip" localSheetId="5" hidden="1">2147483647</definedName>
    <definedName name="solver_mni" localSheetId="3" hidden="1">30</definedName>
    <definedName name="solver_mni" localSheetId="0" hidden="1">30</definedName>
    <definedName name="solver_mni" localSheetId="7" hidden="1">30</definedName>
    <definedName name="solver_mni" localSheetId="5" hidden="1">30</definedName>
    <definedName name="solver_mrt" localSheetId="3" hidden="1">0.075</definedName>
    <definedName name="solver_mrt" localSheetId="0" hidden="1">0.075</definedName>
    <definedName name="solver_mrt" localSheetId="7" hidden="1">0.075</definedName>
    <definedName name="solver_mrt" localSheetId="5" hidden="1">0.075</definedName>
    <definedName name="solver_msl" localSheetId="3" hidden="1">2</definedName>
    <definedName name="solver_msl" localSheetId="0" hidden="1">2</definedName>
    <definedName name="solver_msl" localSheetId="7" hidden="1">2</definedName>
    <definedName name="solver_msl" localSheetId="5" hidden="1">1</definedName>
    <definedName name="solver_neg" localSheetId="3" hidden="1">1</definedName>
    <definedName name="solver_neg" localSheetId="0" hidden="1">1</definedName>
    <definedName name="solver_neg" localSheetId="7" hidden="1">1</definedName>
    <definedName name="solver_neg" localSheetId="5" hidden="1">1</definedName>
    <definedName name="solver_nod" localSheetId="3" hidden="1">2147483647</definedName>
    <definedName name="solver_nod" localSheetId="0" hidden="1">2147483647</definedName>
    <definedName name="solver_nod" localSheetId="7" hidden="1">2147483647</definedName>
    <definedName name="solver_nod" localSheetId="5" hidden="1">2147483647</definedName>
    <definedName name="solver_num" localSheetId="3" hidden="1">3</definedName>
    <definedName name="solver_num" localSheetId="0" hidden="1">0</definedName>
    <definedName name="solver_num" localSheetId="7" hidden="1">2</definedName>
    <definedName name="solver_num" localSheetId="5" hidden="1">1</definedName>
    <definedName name="solver_nwt" localSheetId="3" hidden="1">1</definedName>
    <definedName name="solver_nwt" localSheetId="0" hidden="1">1</definedName>
    <definedName name="solver_nwt" localSheetId="7" hidden="1">1</definedName>
    <definedName name="solver_nwt" localSheetId="5" hidden="1">1</definedName>
    <definedName name="solver_opt" localSheetId="3" hidden="1">Advertising!$B$23</definedName>
    <definedName name="solver_opt" localSheetId="0" hidden="1">'Exchange Rates'!$B$17</definedName>
    <definedName name="solver_opt" localSheetId="7" hidden="1">'Martine Santana'!$B$61</definedName>
    <definedName name="solver_opt" localSheetId="5" hidden="1">'Monroe County'!$D$26</definedName>
    <definedName name="solver_pre" localSheetId="3" hidden="1">0.000001</definedName>
    <definedName name="solver_pre" localSheetId="0" hidden="1">0.000001</definedName>
    <definedName name="solver_pre" localSheetId="7" hidden="1">0.000001</definedName>
    <definedName name="solver_pre" localSheetId="5" hidden="1">0.000001</definedName>
    <definedName name="solver_rbv" localSheetId="3" hidden="1">2</definedName>
    <definedName name="solver_rbv" localSheetId="0" hidden="1">2</definedName>
    <definedName name="solver_rbv" localSheetId="7" hidden="1">1</definedName>
    <definedName name="solver_rbv" localSheetId="5" hidden="1">2</definedName>
    <definedName name="solver_rel1" localSheetId="3" hidden="1">4</definedName>
    <definedName name="solver_rel1" localSheetId="7" hidden="1">2</definedName>
    <definedName name="solver_rel1" localSheetId="5" hidden="1">3</definedName>
    <definedName name="solver_rel2" localSheetId="3" hidden="1">3</definedName>
    <definedName name="solver_rel2" localSheetId="7" hidden="1">2</definedName>
    <definedName name="solver_rel3" localSheetId="3" hidden="1">3</definedName>
    <definedName name="solver_rhs1" localSheetId="3" hidden="1">integer</definedName>
    <definedName name="solver_rhs1" localSheetId="7" hidden="1">'Martine Santana'!$H$48</definedName>
    <definedName name="solver_rhs1" localSheetId="5" hidden="1">0</definedName>
    <definedName name="solver_rhs2" localSheetId="3" hidden="1">0</definedName>
    <definedName name="solver_rhs2" localSheetId="7" hidden="1">'Martine Santana'!$H$56</definedName>
    <definedName name="solver_rhs3" localSheetId="3" hidden="1">Advertising!$D$20:$D$21</definedName>
    <definedName name="solver_rlx" localSheetId="3" hidden="1">2</definedName>
    <definedName name="solver_rlx" localSheetId="0" hidden="1">2</definedName>
    <definedName name="solver_rlx" localSheetId="7" hidden="1">2</definedName>
    <definedName name="solver_rlx" localSheetId="5" hidden="1">2</definedName>
    <definedName name="solver_rsd" localSheetId="3" hidden="1">0</definedName>
    <definedName name="solver_rsd" localSheetId="0" hidden="1">0</definedName>
    <definedName name="solver_rsd" localSheetId="7" hidden="1">0</definedName>
    <definedName name="solver_rsd" localSheetId="5" hidden="1">0</definedName>
    <definedName name="solver_scl" localSheetId="3" hidden="1">1</definedName>
    <definedName name="solver_scl" localSheetId="0" hidden="1">2</definedName>
    <definedName name="solver_scl" localSheetId="7" hidden="1">1</definedName>
    <definedName name="solver_scl" localSheetId="5" hidden="1">1</definedName>
    <definedName name="solver_sho" localSheetId="3" hidden="1">2</definedName>
    <definedName name="solver_sho" localSheetId="0" hidden="1">2</definedName>
    <definedName name="solver_sho" localSheetId="7" hidden="1">2</definedName>
    <definedName name="solver_sho" localSheetId="5" hidden="1">2</definedName>
    <definedName name="solver_ssz" localSheetId="3" hidden="1">250</definedName>
    <definedName name="solver_ssz" localSheetId="0" hidden="1">100</definedName>
    <definedName name="solver_ssz" localSheetId="7" hidden="1">100</definedName>
    <definedName name="solver_ssz" localSheetId="5" hidden="1">250</definedName>
    <definedName name="solver_tim" localSheetId="3" hidden="1">2147483647</definedName>
    <definedName name="solver_tim" localSheetId="0" hidden="1">2147483647</definedName>
    <definedName name="solver_tim" localSheetId="7" hidden="1">2147483647</definedName>
    <definedName name="solver_tim" localSheetId="5" hidden="1">2147483647</definedName>
    <definedName name="solver_tol" localSheetId="3" hidden="1">0.01</definedName>
    <definedName name="solver_tol" localSheetId="0" hidden="1">0.01</definedName>
    <definedName name="solver_tol" localSheetId="7" hidden="1">0.01</definedName>
    <definedName name="solver_tol" localSheetId="5" hidden="1">0.01</definedName>
    <definedName name="solver_typ" localSheetId="3" hidden="1">2</definedName>
    <definedName name="solver_typ" localSheetId="0" hidden="1">1</definedName>
    <definedName name="solver_typ" localSheetId="7" hidden="1">2</definedName>
    <definedName name="solver_typ" localSheetId="5" hidden="1">2</definedName>
    <definedName name="solver_val" localSheetId="3" hidden="1">0</definedName>
    <definedName name="solver_val" localSheetId="0" hidden="1">0</definedName>
    <definedName name="solver_val" localSheetId="7" hidden="1">0</definedName>
    <definedName name="solver_val" localSheetId="5" hidden="1">0</definedName>
    <definedName name="solver_ver" localSheetId="3" hidden="1">3</definedName>
    <definedName name="solver_ver" localSheetId="0" hidden="1">3</definedName>
    <definedName name="solver_ver" localSheetId="7" hidden="1">3</definedName>
    <definedName name="solver_ver" localSheetId="5"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8" i="21" l="1"/>
  <c r="B36" i="21"/>
  <c r="B44" i="21"/>
  <c r="B27" i="21" a="1"/>
  <c r="B27" i="21" s="1"/>
  <c r="K1" i="23"/>
  <c r="J4" i="23"/>
  <c r="K5" i="23" s="1"/>
  <c r="D4" i="22"/>
  <c r="E4" i="22"/>
  <c r="E5" i="22" s="1"/>
  <c r="D7" i="22" s="1"/>
  <c r="D5" i="22"/>
  <c r="H5" i="21"/>
  <c r="I5" i="21"/>
  <c r="J5" i="21"/>
  <c r="K5" i="21"/>
  <c r="H6" i="21"/>
  <c r="I6" i="21"/>
  <c r="J6" i="21"/>
  <c r="K6" i="21"/>
  <c r="H7" i="21"/>
  <c r="I7" i="21"/>
  <c r="J7" i="21"/>
  <c r="K7" i="21"/>
  <c r="H8" i="21"/>
  <c r="I8" i="21"/>
  <c r="J8" i="21"/>
  <c r="K8" i="21"/>
  <c r="B18" i="21"/>
  <c r="C18" i="21"/>
  <c r="D18" i="21"/>
  <c r="E18" i="21"/>
  <c r="B19" i="21"/>
  <c r="C19" i="21"/>
  <c r="D19" i="21"/>
  <c r="E19" i="21"/>
  <c r="B20" i="21"/>
  <c r="C20" i="21"/>
  <c r="D20" i="21"/>
  <c r="E20" i="21"/>
  <c r="F24" i="21"/>
  <c r="F32" i="21"/>
  <c r="F40" i="21"/>
  <c r="F48" i="21"/>
  <c r="F56" i="21"/>
  <c r="B42" i="21" l="1"/>
  <c r="B50" i="21"/>
  <c r="B43" i="21" a="1"/>
  <c r="B43" i="21" s="1"/>
  <c r="K8" i="23"/>
  <c r="K7" i="23"/>
  <c r="K10" i="23"/>
  <c r="K6" i="23"/>
  <c r="K9" i="23"/>
  <c r="E7" i="22"/>
  <c r="B13" i="22"/>
  <c r="B59" i="21" a="1"/>
  <c r="B59" i="21" s="1"/>
  <c r="B60" i="21" s="1"/>
  <c r="B34" i="21"/>
  <c r="B35" i="21" a="1"/>
  <c r="B35" i="21" s="1"/>
  <c r="B58" i="21"/>
  <c r="B51" i="21" a="1"/>
  <c r="B51" i="21" s="1"/>
  <c r="B52" i="21" s="1"/>
  <c r="B26" i="21"/>
  <c r="B61" i="21" l="1"/>
  <c r="B16" i="22"/>
  <c r="B15" i="22"/>
  <c r="B17" i="22" s="1"/>
  <c r="K1" i="20" l="1"/>
  <c r="J4" i="20"/>
  <c r="K52" i="20" s="1"/>
  <c r="B22" i="4"/>
  <c r="B23" i="4"/>
  <c r="B24" i="4"/>
  <c r="B21" i="4"/>
  <c r="B23" i="3"/>
  <c r="B21" i="3"/>
  <c r="B20" i="3"/>
  <c r="K5" i="20" l="1"/>
  <c r="K9" i="20"/>
  <c r="K13" i="20"/>
  <c r="K17" i="20"/>
  <c r="K21" i="20"/>
  <c r="K25" i="20"/>
  <c r="K29" i="20"/>
  <c r="K33" i="20"/>
  <c r="K37" i="20"/>
  <c r="K41" i="20"/>
  <c r="K45" i="20"/>
  <c r="K49" i="20"/>
  <c r="K53" i="20"/>
  <c r="K10" i="20"/>
  <c r="K18" i="20"/>
  <c r="K26" i="20"/>
  <c r="K30" i="20"/>
  <c r="K34" i="20"/>
  <c r="K38" i="20"/>
  <c r="K42" i="20"/>
  <c r="K46" i="20"/>
  <c r="K50" i="20"/>
  <c r="K54" i="20"/>
  <c r="K14" i="20"/>
  <c r="K22" i="20"/>
  <c r="K7" i="20"/>
  <c r="K11" i="20"/>
  <c r="K15" i="20"/>
  <c r="K19" i="20"/>
  <c r="K23" i="20"/>
  <c r="K27" i="20"/>
  <c r="K31" i="20"/>
  <c r="K35" i="20"/>
  <c r="K39" i="20"/>
  <c r="K43" i="20"/>
  <c r="K47" i="20"/>
  <c r="K51" i="20"/>
  <c r="K55" i="20"/>
  <c r="K6" i="20"/>
  <c r="K8" i="20"/>
  <c r="K12" i="20"/>
  <c r="K16" i="20"/>
  <c r="K20" i="20"/>
  <c r="K24" i="20"/>
  <c r="K28" i="20"/>
  <c r="K32" i="20"/>
  <c r="K36" i="20"/>
  <c r="K40" i="20"/>
  <c r="K44" i="20"/>
  <c r="K48" i="20"/>
  <c r="D26" i="4"/>
</calcChain>
</file>

<file path=xl/comments1.xml><?xml version="1.0" encoding="utf-8"?>
<comments xmlns="http://schemas.openxmlformats.org/spreadsheetml/2006/main">
  <authors>
    <author>Brian Kosiadi</author>
  </authors>
  <commentList>
    <comment ref="B5" authorId="0" shapeId="0">
      <text>
        <r>
          <rPr>
            <sz val="9"/>
            <color indexed="81"/>
            <rFont val="Tahoma"/>
            <family val="2"/>
          </rPr>
          <t>Solver converged in probability to a global solution.</t>
        </r>
      </text>
    </comment>
    <comment ref="B6" authorId="0" shapeId="0">
      <text>
        <r>
          <rPr>
            <sz val="9"/>
            <color indexed="81"/>
            <rFont val="Tahoma"/>
            <family val="2"/>
          </rPr>
          <t>Solver converged in probability to a global solution.</t>
        </r>
      </text>
    </comment>
    <comment ref="B7" authorId="0" shapeId="0">
      <text>
        <r>
          <rPr>
            <sz val="9"/>
            <color indexed="81"/>
            <rFont val="Tahoma"/>
            <family val="2"/>
          </rPr>
          <t>Solver converged in probability to a global solution.</t>
        </r>
      </text>
    </comment>
    <comment ref="B8" authorId="0" shapeId="0">
      <text>
        <r>
          <rPr>
            <sz val="9"/>
            <color indexed="81"/>
            <rFont val="Tahoma"/>
            <family val="2"/>
          </rPr>
          <t>Solver converged in probability to a global solution.</t>
        </r>
      </text>
    </comment>
    <comment ref="B9" authorId="0" shapeId="0">
      <text>
        <r>
          <rPr>
            <sz val="9"/>
            <color indexed="81"/>
            <rFont val="Tahoma"/>
            <family val="2"/>
          </rPr>
          <t>Solver converged in probability to a global solution.</t>
        </r>
      </text>
    </comment>
    <comment ref="B10" authorId="0" shapeId="0">
      <text>
        <r>
          <rPr>
            <sz val="9"/>
            <color indexed="81"/>
            <rFont val="Tahoma"/>
            <family val="2"/>
          </rPr>
          <t>Solver converged in probability to a global solution.</t>
        </r>
      </text>
    </comment>
  </commentList>
</comments>
</file>

<file path=xl/comments2.xml><?xml version="1.0" encoding="utf-8"?>
<comments xmlns="http://schemas.openxmlformats.org/spreadsheetml/2006/main">
  <authors>
    <author>hp</author>
  </authors>
  <commentList>
    <comment ref="B5" authorId="0" shapeId="0">
      <text>
        <r>
          <rPr>
            <sz val="9"/>
            <color indexed="81"/>
            <rFont val="Tahoma"/>
            <family val="2"/>
          </rPr>
          <t>Solver converged in probability to a global solution.</t>
        </r>
      </text>
    </comment>
    <comment ref="B6" authorId="0" shapeId="0">
      <text>
        <r>
          <rPr>
            <sz val="9"/>
            <color indexed="81"/>
            <rFont val="Tahoma"/>
            <family val="2"/>
          </rPr>
          <t>Solver converged in probability to a global solution.</t>
        </r>
      </text>
    </comment>
    <comment ref="B7" authorId="0" shapeId="0">
      <text>
        <r>
          <rPr>
            <sz val="9"/>
            <color indexed="81"/>
            <rFont val="Tahoma"/>
            <family val="2"/>
          </rPr>
          <t>Solver converged in probability to a global solution.</t>
        </r>
      </text>
    </comment>
    <comment ref="B8" authorId="0" shapeId="0">
      <text>
        <r>
          <rPr>
            <sz val="9"/>
            <color indexed="81"/>
            <rFont val="Tahoma"/>
            <family val="2"/>
          </rPr>
          <t>Solver converged in probability to a global solution.</t>
        </r>
      </text>
    </comment>
    <comment ref="B9" authorId="0" shapeId="0">
      <text>
        <r>
          <rPr>
            <sz val="9"/>
            <color indexed="81"/>
            <rFont val="Tahoma"/>
            <family val="2"/>
          </rPr>
          <t>Solver converged in probability to a global solution.</t>
        </r>
      </text>
    </comment>
    <comment ref="B10" authorId="0" shapeId="0">
      <text>
        <r>
          <rPr>
            <sz val="9"/>
            <color indexed="81"/>
            <rFont val="Tahoma"/>
            <family val="2"/>
          </rPr>
          <t>Solver converged in probability to a global solution.</t>
        </r>
      </text>
    </comment>
    <comment ref="B11" authorId="0" shapeId="0">
      <text>
        <r>
          <rPr>
            <sz val="9"/>
            <color indexed="81"/>
            <rFont val="Tahoma"/>
            <family val="2"/>
          </rPr>
          <t>Solver converged in probability to a global solution.</t>
        </r>
      </text>
    </comment>
    <comment ref="B12" authorId="0" shapeId="0">
      <text>
        <r>
          <rPr>
            <sz val="9"/>
            <color indexed="81"/>
            <rFont val="Tahoma"/>
            <family val="2"/>
          </rPr>
          <t>Solver converged in probability to a global solution.</t>
        </r>
      </text>
    </comment>
    <comment ref="B13" authorId="0" shapeId="0">
      <text>
        <r>
          <rPr>
            <sz val="9"/>
            <color indexed="81"/>
            <rFont val="Tahoma"/>
            <family val="2"/>
          </rPr>
          <t>Solver converged in probability to a global solution.</t>
        </r>
      </text>
    </comment>
    <comment ref="B14" authorId="0" shapeId="0">
      <text>
        <r>
          <rPr>
            <sz val="9"/>
            <color indexed="81"/>
            <rFont val="Tahoma"/>
            <family val="2"/>
          </rPr>
          <t>Solver converged in probability to a global solution.</t>
        </r>
      </text>
    </comment>
    <comment ref="B15" authorId="0" shapeId="0">
      <text>
        <r>
          <rPr>
            <sz val="9"/>
            <color indexed="81"/>
            <rFont val="Tahoma"/>
            <family val="2"/>
          </rPr>
          <t>Solver converged in probability to a global solution.</t>
        </r>
      </text>
    </comment>
    <comment ref="B16" authorId="0" shapeId="0">
      <text>
        <r>
          <rPr>
            <sz val="9"/>
            <color indexed="81"/>
            <rFont val="Tahoma"/>
            <family val="2"/>
          </rPr>
          <t>Solver converged in probability to a global solution.</t>
        </r>
      </text>
    </comment>
    <comment ref="B17" authorId="0" shapeId="0">
      <text>
        <r>
          <rPr>
            <sz val="9"/>
            <color indexed="81"/>
            <rFont val="Tahoma"/>
            <family val="2"/>
          </rPr>
          <t>Solver converged in probability to a global solution.</t>
        </r>
      </text>
    </comment>
    <comment ref="B18" authorId="0" shapeId="0">
      <text>
        <r>
          <rPr>
            <sz val="9"/>
            <color indexed="81"/>
            <rFont val="Tahoma"/>
            <family val="2"/>
          </rPr>
          <t>Solver converged in probability to a global solution.</t>
        </r>
      </text>
    </comment>
    <comment ref="B19" authorId="0" shapeId="0">
      <text>
        <r>
          <rPr>
            <sz val="9"/>
            <color indexed="81"/>
            <rFont val="Tahoma"/>
            <family val="2"/>
          </rPr>
          <t>Solver converged in probability to a global solution.</t>
        </r>
      </text>
    </comment>
    <comment ref="B20" authorId="0" shapeId="0">
      <text>
        <r>
          <rPr>
            <sz val="9"/>
            <color indexed="81"/>
            <rFont val="Tahoma"/>
            <family val="2"/>
          </rPr>
          <t>Solver converged in probability to a global solution.</t>
        </r>
      </text>
    </comment>
    <comment ref="B21" authorId="0" shapeId="0">
      <text>
        <r>
          <rPr>
            <sz val="9"/>
            <color indexed="81"/>
            <rFont val="Tahoma"/>
            <family val="2"/>
          </rPr>
          <t>Solver converged in probability to a global solution.</t>
        </r>
      </text>
    </comment>
    <comment ref="B22" authorId="0" shapeId="0">
      <text>
        <r>
          <rPr>
            <sz val="9"/>
            <color indexed="81"/>
            <rFont val="Tahoma"/>
            <family val="2"/>
          </rPr>
          <t>Solver converged in probability to a global solution.</t>
        </r>
      </text>
    </comment>
    <comment ref="B23" authorId="0" shapeId="0">
      <text>
        <r>
          <rPr>
            <sz val="9"/>
            <color indexed="81"/>
            <rFont val="Tahoma"/>
            <family val="2"/>
          </rPr>
          <t>Solver converged in probability to a global solution.</t>
        </r>
      </text>
    </comment>
    <comment ref="B24" authorId="0" shapeId="0">
      <text>
        <r>
          <rPr>
            <sz val="9"/>
            <color indexed="81"/>
            <rFont val="Tahoma"/>
            <family val="2"/>
          </rPr>
          <t>Solver converged in probability to a global solution.</t>
        </r>
      </text>
    </comment>
    <comment ref="B25" authorId="0" shapeId="0">
      <text>
        <r>
          <rPr>
            <sz val="9"/>
            <color indexed="81"/>
            <rFont val="Tahoma"/>
            <family val="2"/>
          </rPr>
          <t>Solver converged in probability to a global solution.</t>
        </r>
      </text>
    </comment>
    <comment ref="B26" authorId="0" shapeId="0">
      <text>
        <r>
          <rPr>
            <sz val="9"/>
            <color indexed="81"/>
            <rFont val="Tahoma"/>
            <family val="2"/>
          </rPr>
          <t>Solver converged in probability to a global solution.</t>
        </r>
      </text>
    </comment>
    <comment ref="B27" authorId="0" shapeId="0">
      <text>
        <r>
          <rPr>
            <sz val="9"/>
            <color indexed="81"/>
            <rFont val="Tahoma"/>
            <family val="2"/>
          </rPr>
          <t>Solver converged in probability to a global solution.</t>
        </r>
      </text>
    </comment>
    <comment ref="B28" authorId="0" shapeId="0">
      <text>
        <r>
          <rPr>
            <sz val="9"/>
            <color indexed="81"/>
            <rFont val="Tahoma"/>
            <family val="2"/>
          </rPr>
          <t>Solver converged in probability to a global solution.</t>
        </r>
      </text>
    </comment>
    <comment ref="B29" authorId="0" shapeId="0">
      <text>
        <r>
          <rPr>
            <sz val="9"/>
            <color indexed="81"/>
            <rFont val="Tahoma"/>
            <family val="2"/>
          </rPr>
          <t>Solver converged in probability to a global solution.</t>
        </r>
      </text>
    </comment>
    <comment ref="B30" authorId="0" shapeId="0">
      <text>
        <r>
          <rPr>
            <sz val="9"/>
            <color indexed="81"/>
            <rFont val="Tahoma"/>
            <family val="2"/>
          </rPr>
          <t>Solver converged in probability to a global solution.</t>
        </r>
      </text>
    </comment>
    <comment ref="B31" authorId="0" shapeId="0">
      <text>
        <r>
          <rPr>
            <sz val="9"/>
            <color indexed="81"/>
            <rFont val="Tahoma"/>
            <family val="2"/>
          </rPr>
          <t>Solver converged in probability to a global solution.</t>
        </r>
      </text>
    </comment>
    <comment ref="B32" authorId="0" shapeId="0">
      <text>
        <r>
          <rPr>
            <sz val="9"/>
            <color indexed="81"/>
            <rFont val="Tahoma"/>
            <family val="2"/>
          </rPr>
          <t>Solver converged in probability to a global solution.</t>
        </r>
      </text>
    </comment>
    <comment ref="B33" authorId="0" shapeId="0">
      <text>
        <r>
          <rPr>
            <sz val="9"/>
            <color indexed="81"/>
            <rFont val="Tahoma"/>
            <family val="2"/>
          </rPr>
          <t>Solver converged in probability to a global solution.</t>
        </r>
      </text>
    </comment>
    <comment ref="B34" authorId="0" shapeId="0">
      <text>
        <r>
          <rPr>
            <sz val="9"/>
            <color indexed="81"/>
            <rFont val="Tahoma"/>
            <family val="2"/>
          </rPr>
          <t>Solver converged in probability to a global solution.</t>
        </r>
      </text>
    </comment>
    <comment ref="B35" authorId="0" shapeId="0">
      <text>
        <r>
          <rPr>
            <sz val="9"/>
            <color indexed="81"/>
            <rFont val="Tahoma"/>
            <family val="2"/>
          </rPr>
          <t>Solver converged in probability to a global solution.</t>
        </r>
      </text>
    </comment>
    <comment ref="B36" authorId="0" shapeId="0">
      <text>
        <r>
          <rPr>
            <sz val="9"/>
            <color indexed="81"/>
            <rFont val="Tahoma"/>
            <family val="2"/>
          </rPr>
          <t>Solver converged in probability to a global solution.</t>
        </r>
      </text>
    </comment>
    <comment ref="B37" authorId="0" shapeId="0">
      <text>
        <r>
          <rPr>
            <sz val="9"/>
            <color indexed="81"/>
            <rFont val="Tahoma"/>
            <family val="2"/>
          </rPr>
          <t>Solver converged in probability to a global solution.</t>
        </r>
      </text>
    </comment>
    <comment ref="B38" authorId="0" shapeId="0">
      <text>
        <r>
          <rPr>
            <sz val="9"/>
            <color indexed="81"/>
            <rFont val="Tahoma"/>
            <family val="2"/>
          </rPr>
          <t>Solver converged in probability to a global solution.</t>
        </r>
      </text>
    </comment>
    <comment ref="B39" authorId="0" shapeId="0">
      <text>
        <r>
          <rPr>
            <sz val="9"/>
            <color indexed="81"/>
            <rFont val="Tahoma"/>
            <family val="2"/>
          </rPr>
          <t>Solver converged in probability to a global solution.</t>
        </r>
      </text>
    </comment>
    <comment ref="B40" authorId="0" shapeId="0">
      <text>
        <r>
          <rPr>
            <sz val="9"/>
            <color indexed="81"/>
            <rFont val="Tahoma"/>
            <family val="2"/>
          </rPr>
          <t>Solver converged in probability to a global solution.</t>
        </r>
      </text>
    </comment>
    <comment ref="B41" authorId="0" shapeId="0">
      <text>
        <r>
          <rPr>
            <sz val="9"/>
            <color indexed="81"/>
            <rFont val="Tahoma"/>
            <family val="2"/>
          </rPr>
          <t>Solver converged in probability to a global solution.</t>
        </r>
      </text>
    </comment>
    <comment ref="B42" authorId="0" shapeId="0">
      <text>
        <r>
          <rPr>
            <sz val="9"/>
            <color indexed="81"/>
            <rFont val="Tahoma"/>
            <family val="2"/>
          </rPr>
          <t>Solver converged in probability to a global solution.</t>
        </r>
      </text>
    </comment>
    <comment ref="B43" authorId="0" shapeId="0">
      <text>
        <r>
          <rPr>
            <sz val="9"/>
            <color indexed="81"/>
            <rFont val="Tahoma"/>
            <family val="2"/>
          </rPr>
          <t>Solver converged in probability to a global solution.</t>
        </r>
      </text>
    </comment>
    <comment ref="B44" authorId="0" shapeId="0">
      <text>
        <r>
          <rPr>
            <sz val="9"/>
            <color indexed="81"/>
            <rFont val="Tahoma"/>
            <family val="2"/>
          </rPr>
          <t>Solver converged in probability to a global solution.</t>
        </r>
      </text>
    </comment>
    <comment ref="B45" authorId="0" shapeId="0">
      <text>
        <r>
          <rPr>
            <sz val="9"/>
            <color indexed="81"/>
            <rFont val="Tahoma"/>
            <family val="2"/>
          </rPr>
          <t>Solver converged in probability to a global solution.</t>
        </r>
      </text>
    </comment>
    <comment ref="B46" authorId="0" shapeId="0">
      <text>
        <r>
          <rPr>
            <sz val="9"/>
            <color indexed="81"/>
            <rFont val="Tahoma"/>
            <family val="2"/>
          </rPr>
          <t>Solver converged in probability to a global solution.</t>
        </r>
      </text>
    </comment>
    <comment ref="B47" authorId="0" shapeId="0">
      <text>
        <r>
          <rPr>
            <sz val="9"/>
            <color indexed="81"/>
            <rFont val="Tahoma"/>
            <family val="2"/>
          </rPr>
          <t>Solver converged in probability to a global solution.</t>
        </r>
      </text>
    </comment>
    <comment ref="B48" authorId="0" shapeId="0">
      <text>
        <r>
          <rPr>
            <sz val="9"/>
            <color indexed="81"/>
            <rFont val="Tahoma"/>
            <family val="2"/>
          </rPr>
          <t>Solver converged in probability to a global solution.</t>
        </r>
      </text>
    </comment>
    <comment ref="B49" authorId="0" shapeId="0">
      <text>
        <r>
          <rPr>
            <sz val="9"/>
            <color indexed="81"/>
            <rFont val="Tahoma"/>
            <family val="2"/>
          </rPr>
          <t>Solver converged in probability to a global solution.</t>
        </r>
      </text>
    </comment>
    <comment ref="B50" authorId="0" shapeId="0">
      <text>
        <r>
          <rPr>
            <sz val="9"/>
            <color indexed="81"/>
            <rFont val="Tahoma"/>
            <family val="2"/>
          </rPr>
          <t>Solver converged in probability to a global solution.</t>
        </r>
      </text>
    </comment>
    <comment ref="B51" authorId="0" shapeId="0">
      <text>
        <r>
          <rPr>
            <sz val="9"/>
            <color indexed="81"/>
            <rFont val="Tahoma"/>
            <family val="2"/>
          </rPr>
          <t>Solver converged in probability to a global solution.</t>
        </r>
      </text>
    </comment>
    <comment ref="B52" authorId="0" shapeId="0">
      <text>
        <r>
          <rPr>
            <sz val="9"/>
            <color indexed="81"/>
            <rFont val="Tahoma"/>
            <family val="2"/>
          </rPr>
          <t>Solver converged in probability to a global solution.</t>
        </r>
      </text>
    </comment>
    <comment ref="B53" authorId="0" shapeId="0">
      <text>
        <r>
          <rPr>
            <sz val="9"/>
            <color indexed="81"/>
            <rFont val="Tahoma"/>
            <family val="2"/>
          </rPr>
          <t>Solver converged in probability to a global solution.</t>
        </r>
      </text>
    </comment>
    <comment ref="B54" authorId="0" shapeId="0">
      <text>
        <r>
          <rPr>
            <sz val="9"/>
            <color indexed="81"/>
            <rFont val="Tahoma"/>
            <family val="2"/>
          </rPr>
          <t>Solver converged in probability to a global solution.</t>
        </r>
      </text>
    </comment>
    <comment ref="B55" authorId="0" shapeId="0">
      <text>
        <r>
          <rPr>
            <sz val="9"/>
            <color indexed="81"/>
            <rFont val="Tahoma"/>
            <family val="2"/>
          </rPr>
          <t>Solver converged in probability to a global solution.</t>
        </r>
      </text>
    </comment>
  </commentList>
</comments>
</file>

<file path=xl/sharedStrings.xml><?xml version="1.0" encoding="utf-8"?>
<sst xmlns="http://schemas.openxmlformats.org/spreadsheetml/2006/main" count="260" uniqueCount="128">
  <si>
    <t>Year</t>
  </si>
  <si>
    <t>A</t>
  </si>
  <si>
    <t>B</t>
  </si>
  <si>
    <t>C</t>
  </si>
  <si>
    <t>D</t>
  </si>
  <si>
    <t>Martine Santana</t>
  </si>
  <si>
    <t>Exchange rate (yen/$)</t>
  </si>
  <si>
    <t>Current demand</t>
  </si>
  <si>
    <t>Current price (yen)</t>
  </si>
  <si>
    <t>Unit cost (dollars)</t>
  </si>
  <si>
    <t>Current elasticity of demand</t>
  </si>
  <si>
    <t>x</t>
  </si>
  <si>
    <t>y</t>
  </si>
  <si>
    <t>Town 1</t>
  </si>
  <si>
    <t>Town 2</t>
  </si>
  <si>
    <t>Town 3</t>
  </si>
  <si>
    <t>Town 4</t>
  </si>
  <si>
    <t>Monroe County (W&amp;A, Problem 7.62)</t>
  </si>
  <si>
    <t>Locations</t>
  </si>
  <si>
    <t>Numbers of Fires per year</t>
  </si>
  <si>
    <t>Exchange Rates (W&amp;A,  Problem 7.46)</t>
  </si>
  <si>
    <t>Advertising (W&amp;A,  Problem 7.56)</t>
  </si>
  <si>
    <t>Cost per ad ($1000s)</t>
  </si>
  <si>
    <t>Soap</t>
  </si>
  <si>
    <t>Football</t>
  </si>
  <si>
    <t>Men</t>
  </si>
  <si>
    <t>Women</t>
  </si>
  <si>
    <t>Key Constants for Analysis</t>
  </si>
  <si>
    <t>Viewers Required (in millions)</t>
  </si>
  <si>
    <t>Profit</t>
  </si>
  <si>
    <t>Revenue</t>
  </si>
  <si>
    <t>Microsoft Excel 16.0 Answer Report</t>
  </si>
  <si>
    <t>Result: Solver converged in probability to a global solution.</t>
  </si>
  <si>
    <t>Solver Engine</t>
  </si>
  <si>
    <t>Engine: GRG Nonlinear</t>
  </si>
  <si>
    <t>Iterations: 0 Subproblems: 2</t>
  </si>
  <si>
    <t>Solver Options</t>
  </si>
  <si>
    <t>Max Subproblems Unlimited, Max Integer Sols Unlimited, Integer Tolerance 1%, Assume NonNegative</t>
  </si>
  <si>
    <t>Cell</t>
  </si>
  <si>
    <t>Name</t>
  </si>
  <si>
    <t>Original Value</t>
  </si>
  <si>
    <t>Final Value</t>
  </si>
  <si>
    <t>Variable Cells</t>
  </si>
  <si>
    <t>Integer</t>
  </si>
  <si>
    <t>Constraints</t>
  </si>
  <si>
    <t>$E$17</t>
  </si>
  <si>
    <t>Contin</t>
  </si>
  <si>
    <t>$B$11</t>
  </si>
  <si>
    <t>Input</t>
  </si>
  <si>
    <t>Oneway analysis for Solver model in Exchange Rates worksheet</t>
  </si>
  <si>
    <t>Data for chart</t>
  </si>
  <si>
    <t>Cell Value</t>
  </si>
  <si>
    <t>Formula</t>
  </si>
  <si>
    <t>Status</t>
  </si>
  <si>
    <t>Slack</t>
  </si>
  <si>
    <t>Binding</t>
  </si>
  <si>
    <t>Decision variables</t>
  </si>
  <si>
    <t>Cost</t>
  </si>
  <si>
    <t>Worksheet: [hw6_ba201B_template.xlsx]Advertising</t>
  </si>
  <si>
    <t>Result: Solver found a solution.  All Constraints and optimality conditions are satisfied.</t>
  </si>
  <si>
    <t>Max Time Unlimited,  Iterations Unlimited, Precision 0.000001, Use Automatic Scaling</t>
  </si>
  <si>
    <t>Objective Cell (Min)</t>
  </si>
  <si>
    <t>$B$18</t>
  </si>
  <si>
    <t>$C$18</t>
  </si>
  <si>
    <t>$B$20</t>
  </si>
  <si>
    <t>Iterations: 0 Subproblems: 4</t>
  </si>
  <si>
    <t>Not Binding</t>
  </si>
  <si>
    <t>$B$18:$C$18=Integer</t>
  </si>
  <si>
    <t>&lt;=</t>
  </si>
  <si>
    <t>$B$23</t>
  </si>
  <si>
    <t>Cost Soap</t>
  </si>
  <si>
    <t>Men Soap</t>
  </si>
  <si>
    <t>$B$21</t>
  </si>
  <si>
    <t>Women Soap</t>
  </si>
  <si>
    <t>$B$18&gt;=0</t>
  </si>
  <si>
    <t>$C$18&gt;=0</t>
  </si>
  <si>
    <t xml:space="preserve"> Convergence 0.0001, Population Size 250, Random Seed 0, Derivatives Central</t>
  </si>
  <si>
    <t>$B$20&gt;=$D$20</t>
  </si>
  <si>
    <t>$B$21&gt;=$D$21</t>
  </si>
  <si>
    <t xml:space="preserve">a. </t>
  </si>
  <si>
    <t xml:space="preserve">b. </t>
  </si>
  <si>
    <t>This model violates the proportionality and additive assumptions of LP because the viewerships for both men and women are exponentially related to the number of of soap opera and football game ads and not linearly related.</t>
  </si>
  <si>
    <t>c.</t>
  </si>
  <si>
    <t>The introduction of the interaction term is introduced because there might be some ads which are both football ads and soap opera ads. It has a negative sign because if an ad is both a football ad and a soap opera ad, then the number of viewers will be less than the sum of the individual values.</t>
  </si>
  <si>
    <t>Decision Variables</t>
  </si>
  <si>
    <t>Distances from the fire station</t>
  </si>
  <si>
    <t>Total distances</t>
  </si>
  <si>
    <t>Worksheet: [hw6_ba201B_template.xlsx]Monroe County</t>
  </si>
  <si>
    <t>Report Created: 2/23/2022 10:15:16 AM</t>
  </si>
  <si>
    <t>Solution Time: 0.11 Seconds.</t>
  </si>
  <si>
    <t xml:space="preserve"> Convergence 0.0001, Population Size 250, Random Seed 0, Derivatives Forward,  Multistart</t>
  </si>
  <si>
    <t>$D$26</t>
  </si>
  <si>
    <t>Total distances Numbers of Fires per year</t>
  </si>
  <si>
    <t>The fire station should be located at 40.00006, 29.12398</t>
  </si>
  <si>
    <t>$D$23</t>
  </si>
  <si>
    <t>Number of fires in Town 3</t>
  </si>
  <si>
    <t>Oneway analysis for Solver model in Monroe County worksheet</t>
  </si>
  <si>
    <t>Number of fires in Town 3 (cell $D$23) values along side, output cell(s) along top</t>
  </si>
  <si>
    <t>$B$18:$C$18</t>
  </si>
  <si>
    <t>3.b.</t>
  </si>
  <si>
    <t>=</t>
  </si>
  <si>
    <t>e.</t>
  </si>
  <si>
    <t>d.</t>
  </si>
  <si>
    <t>&gt;=</t>
  </si>
  <si>
    <t>b.</t>
  </si>
  <si>
    <t>a.</t>
  </si>
  <si>
    <t>Variance</t>
  </si>
  <si>
    <t>Std Dev</t>
  </si>
  <si>
    <t>Average</t>
  </si>
  <si>
    <t xml:space="preserve"> </t>
  </si>
  <si>
    <t>Variance/Covariance Matrix</t>
  </si>
  <si>
    <t>$B$12</t>
  </si>
  <si>
    <t>Input (cell $B$4) values along side, output cell(s) along top</t>
  </si>
  <si>
    <t>Current Demand</t>
  </si>
  <si>
    <t>Current Price</t>
  </si>
  <si>
    <t>Profit Model</t>
  </si>
  <si>
    <t>Intercept</t>
  </si>
  <si>
    <t>Slope</t>
  </si>
  <si>
    <t>Demand</t>
  </si>
  <si>
    <t>Price</t>
  </si>
  <si>
    <t>Report Created: 2/23/2022 8:04:30 PM</t>
  </si>
  <si>
    <t>Solution Time: 0.047 Seconds.</t>
  </si>
  <si>
    <t>Portfolio</t>
  </si>
  <si>
    <t>Standard Deviation</t>
  </si>
  <si>
    <t>Return</t>
  </si>
  <si>
    <t>r</t>
  </si>
  <si>
    <t>Trade off</t>
  </si>
  <si>
    <t>We can either maximise or minimise depending on the risk and return that we want. I would prefer to minimise the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</si>
</sst>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0.0000"/>
  </numFmts>
  <fonts count="10"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b/>
      <sz val="11"/>
      <color indexed="18"/>
      <name val="Calibri"/>
      <family val="2"/>
      <scheme val="minor"/>
    </font>
    <font>
      <sz val="11"/>
      <color rgb="FFFFFFFF"/>
      <name val="Calibri"/>
      <family val="2"/>
      <scheme val="minor"/>
    </font>
    <font>
      <sz val="9"/>
      <color indexed="81"/>
      <name val="Tahoma"/>
      <family val="2"/>
    </font>
    <font>
      <sz val="11"/>
      <color theme="1"/>
      <name val="Calibri"/>
      <family val="2"/>
      <scheme val="minor"/>
    </font>
    <font>
      <b/>
      <sz val="11"/>
      <color indexed="18"/>
      <name val="Calibri"/>
      <family val="2"/>
      <scheme val="minor"/>
    </font>
  </fonts>
  <fills count="3">
    <fill>
      <patternFill patternType="none"/>
    </fill>
    <fill>
      <patternFill patternType="gray125"/>
    </fill>
    <fill>
      <patternFill patternType="solid">
        <fgColor theme="9" tint="0.59999389629810485"/>
        <bgColor indexed="64"/>
      </patternFill>
    </fill>
  </fills>
  <borders count="13">
    <border>
      <left/>
      <right/>
      <top/>
      <bottom/>
      <diagonal/>
    </border>
    <border>
      <left/>
      <right/>
      <top style="medium">
        <color indexed="23"/>
      </top>
      <bottom style="medium">
        <color indexed="23"/>
      </bottom>
      <diagonal/>
    </border>
    <border>
      <left/>
      <right/>
      <top style="thin">
        <color indexed="23"/>
      </top>
      <bottom style="medium">
        <color indexed="2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2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9" fontId="2" fillId="0" borderId="0" applyFont="0" applyFill="0" applyBorder="0" applyAlignment="0" applyProtection="0"/>
    <xf numFmtId="44" fontId="8" fillId="0" borderId="0" applyFont="0" applyFill="0" applyBorder="0" applyAlignment="0" applyProtection="0"/>
    <xf numFmtId="9" fontId="8" fillId="0" borderId="0" applyFont="0" applyFill="0" applyBorder="0" applyAlignment="0" applyProtection="0"/>
  </cellStyleXfs>
  <cellXfs count="33">
    <xf numFmtId="0" fontId="0" fillId="0" borderId="0" xfId="0"/>
    <xf numFmtId="0" fontId="1" fillId="0" borderId="0" xfId="0" applyFont="1"/>
    <xf numFmtId="0" fontId="3" fillId="0" borderId="0" xfId="1" applyFont="1" applyAlignment="1">
      <alignment horizontal="center"/>
    </xf>
    <xf numFmtId="164" fontId="4" fillId="0" borderId="0" xfId="2" applyNumberFormat="1" applyFont="1" applyBorder="1" applyAlignment="1">
      <alignment horizontal="center"/>
    </xf>
    <xf numFmtId="0" fontId="0" fillId="0" borderId="0" xfId="0" applyAlignment="1">
      <alignment horizontal="right"/>
    </xf>
    <xf numFmtId="0" fontId="0" fillId="0" borderId="2" xfId="0" applyFill="1" applyBorder="1" applyAlignment="1"/>
    <xf numFmtId="0" fontId="5" fillId="0" borderId="1" xfId="0" applyFont="1" applyFill="1" applyBorder="1" applyAlignment="1">
      <alignment horizontal="center"/>
    </xf>
    <xf numFmtId="0" fontId="0" fillId="0" borderId="2" xfId="0" applyNumberFormat="1" applyFill="1" applyBorder="1" applyAlignment="1"/>
    <xf numFmtId="49" fontId="0" fillId="0" borderId="0" xfId="0" applyNumberFormat="1"/>
    <xf numFmtId="0" fontId="0" fillId="0" borderId="0" xfId="0" applyNumberFormat="1"/>
    <xf numFmtId="0" fontId="0" fillId="0" borderId="0" xfId="0" applyAlignment="1">
      <alignment horizontal="right" textRotation="90"/>
    </xf>
    <xf numFmtId="0" fontId="0" fillId="2" borderId="0" xfId="0" applyFill="1" applyAlignment="1">
      <alignment horizontal="right" textRotation="90"/>
    </xf>
    <xf numFmtId="0" fontId="6" fillId="0" borderId="0" xfId="0" applyFont="1"/>
    <xf numFmtId="0" fontId="0" fillId="0" borderId="6" xfId="0" applyFill="1" applyBorder="1" applyAlignment="1"/>
    <xf numFmtId="0" fontId="0" fillId="0" borderId="6" xfId="0" applyNumberFormat="1" applyFill="1" applyBorder="1" applyAlignment="1"/>
    <xf numFmtId="0" fontId="0" fillId="0" borderId="7"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11" xfId="0" applyNumberFormat="1" applyBorder="1"/>
    <xf numFmtId="0" fontId="0" fillId="0" borderId="12" xfId="0" applyNumberFormat="1" applyBorder="1"/>
    <xf numFmtId="10" fontId="0" fillId="0" borderId="0" xfId="0" applyNumberFormat="1"/>
    <xf numFmtId="165" fontId="0" fillId="0" borderId="0" xfId="0" applyNumberFormat="1"/>
    <xf numFmtId="9" fontId="0" fillId="0" borderId="0" xfId="0" applyNumberFormat="1"/>
    <xf numFmtId="44" fontId="0" fillId="0" borderId="0" xfId="0" applyNumberFormat="1"/>
    <xf numFmtId="44" fontId="0" fillId="0" borderId="5" xfId="0" applyNumberFormat="1" applyBorder="1"/>
    <xf numFmtId="44" fontId="0" fillId="0" borderId="4" xfId="0" applyNumberFormat="1" applyBorder="1"/>
    <xf numFmtId="44" fontId="0" fillId="0" borderId="3" xfId="0" applyNumberFormat="1" applyBorder="1"/>
    <xf numFmtId="0" fontId="0" fillId="0" borderId="0" xfId="0" applyFont="1"/>
    <xf numFmtId="44" fontId="0" fillId="0" borderId="0" xfId="3" applyFont="1"/>
    <xf numFmtId="0" fontId="9" fillId="0" borderId="1" xfId="0" applyFont="1" applyFill="1" applyBorder="1" applyAlignment="1">
      <alignment horizontal="center"/>
    </xf>
    <xf numFmtId="10" fontId="0" fillId="0" borderId="0" xfId="0" applyNumberFormat="1" applyBorder="1"/>
    <xf numFmtId="9" fontId="0" fillId="0" borderId="0" xfId="4" applyFont="1" applyBorder="1"/>
  </cellXfs>
  <cellStyles count="5">
    <cellStyle name="Currency" xfId="3" builtinId="4"/>
    <cellStyle name="Normal" xfId="0" builtinId="0"/>
    <cellStyle name="Normal 2 2" xfId="1"/>
    <cellStyle name="Percent" xfId="4" builtinId="5"/>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'Exchange Rates Solver Table'!$K$1</c:f>
          <c:strCache>
            <c:ptCount val="1"/>
            <c:pt idx="0">
              <c:v>Sensitivity of $B$12 to Input</c:v>
            </c:pt>
          </c:strCache>
        </c:strRef>
      </c:tx>
      <c:layout/>
      <c:overlay val="0"/>
      <c:txPr>
        <a:bodyPr/>
        <a:lstStyle/>
        <a:p>
          <a:pPr>
            <a:defRPr sz="1200"/>
          </a:pPr>
          <a:endParaRPr lang="en-US"/>
        </a:p>
      </c:txPr>
    </c:title>
    <c:autoTitleDeleted val="0"/>
    <c:plotArea>
      <c:layout/>
      <c:scatterChart>
        <c:scatterStyle val="lineMarker"/>
        <c:varyColors val="0"/>
        <c:ser>
          <c:idx val="0"/>
          <c:order val="0"/>
          <c:xVal>
            <c:numRef>
              <c:f>'Exchange Rates Solver Table'!$A$5:$A$10</c:f>
              <c:numCache>
                <c:formatCode>General</c:formatCode>
                <c:ptCount val="6"/>
                <c:pt idx="0">
                  <c:v>60</c:v>
                </c:pt>
                <c:pt idx="1">
                  <c:v>80</c:v>
                </c:pt>
                <c:pt idx="2">
                  <c:v>100</c:v>
                </c:pt>
                <c:pt idx="3">
                  <c:v>120</c:v>
                </c:pt>
                <c:pt idx="4">
                  <c:v>140</c:v>
                </c:pt>
                <c:pt idx="5">
                  <c:v>160</c:v>
                </c:pt>
              </c:numCache>
            </c:numRef>
          </c:xVal>
          <c:yVal>
            <c:numRef>
              <c:f>'Exchange Rates Solver Table'!$K$5:$K$10</c:f>
              <c:numCache>
                <c:formatCode>General</c:formatCode>
                <c:ptCount val="6"/>
                <c:pt idx="0">
                  <c:v>12.33</c:v>
                </c:pt>
                <c:pt idx="1">
                  <c:v>10</c:v>
                </c:pt>
                <c:pt idx="2">
                  <c:v>8.6</c:v>
                </c:pt>
                <c:pt idx="3">
                  <c:v>7.67</c:v>
                </c:pt>
                <c:pt idx="4">
                  <c:v>7</c:v>
                </c:pt>
                <c:pt idx="5">
                  <c:v>6.5</c:v>
                </c:pt>
              </c:numCache>
            </c:numRef>
          </c:yVal>
          <c:smooth val="0"/>
          <c:extLst>
            <c:ext xmlns:c16="http://schemas.microsoft.com/office/drawing/2014/chart" uri="{C3380CC4-5D6E-409C-BE32-E72D297353CC}">
              <c16:uniqueId val="{00000000-7716-4FC2-A727-4F14D265C9C5}"/>
            </c:ext>
          </c:extLst>
        </c:ser>
        <c:dLbls>
          <c:showLegendKey val="0"/>
          <c:showVal val="0"/>
          <c:showCatName val="0"/>
          <c:showSerName val="0"/>
          <c:showPercent val="0"/>
          <c:showBubbleSize val="0"/>
        </c:dLbls>
        <c:axId val="1936656511"/>
        <c:axId val="1936656927"/>
      </c:scatterChart>
      <c:valAx>
        <c:axId val="1936656511"/>
        <c:scaling>
          <c:orientation val="minMax"/>
        </c:scaling>
        <c:delete val="0"/>
        <c:axPos val="b"/>
        <c:title>
          <c:tx>
            <c:rich>
              <a:bodyPr/>
              <a:lstStyle/>
              <a:p>
                <a:pPr>
                  <a:defRPr/>
                </a:pPr>
                <a:r>
                  <a:rPr lang="en-US"/>
                  <a:t>Input ($B$4)</a:t>
                </a:r>
              </a:p>
            </c:rich>
          </c:tx>
          <c:layout/>
          <c:overlay val="0"/>
        </c:title>
        <c:numFmt formatCode="General" sourceLinked="1"/>
        <c:majorTickMark val="out"/>
        <c:minorTickMark val="none"/>
        <c:tickLblPos val="nextTo"/>
        <c:crossAx val="1936656927"/>
        <c:crosses val="autoZero"/>
        <c:crossBetween val="midCat"/>
      </c:valAx>
      <c:valAx>
        <c:axId val="1936656927"/>
        <c:scaling>
          <c:orientation val="minMax"/>
        </c:scaling>
        <c:delete val="0"/>
        <c:axPos val="l"/>
        <c:majorGridlines/>
        <c:numFmt formatCode="General" sourceLinked="1"/>
        <c:majorTickMark val="out"/>
        <c:minorTickMark val="none"/>
        <c:tickLblPos val="nextTo"/>
        <c:crossAx val="1936656511"/>
        <c:crosses val="autoZero"/>
        <c:crossBetween val="midCat"/>
      </c:valAx>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STS_2!$K$1</c:f>
          <c:strCache>
            <c:ptCount val="1"/>
            <c:pt idx="0">
              <c:v>Sensitivity of $B$18 to Number of fires in Town 3</c:v>
            </c:pt>
          </c:strCache>
        </c:strRef>
      </c:tx>
      <c:overlay val="0"/>
      <c:txPr>
        <a:bodyPr/>
        <a:lstStyle/>
        <a:p>
          <a:pPr>
            <a:defRPr sz="1200"/>
          </a:pPr>
          <a:endParaRPr lang="en-US"/>
        </a:p>
      </c:txPr>
    </c:title>
    <c:autoTitleDeleted val="0"/>
    <c:plotArea>
      <c:layout/>
      <c:lineChart>
        <c:grouping val="standard"/>
        <c:varyColors val="0"/>
        <c:ser>
          <c:idx val="0"/>
          <c:order val="0"/>
          <c:cat>
            <c:numRef>
              <c:f>STS_2!$A$5:$A$55</c:f>
              <c:numCache>
                <c:formatCode>General</c:formatCode>
                <c:ptCount val="5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pt idx="31">
                  <c:v>62</c:v>
                </c:pt>
                <c:pt idx="32">
                  <c:v>64</c:v>
                </c:pt>
                <c:pt idx="33">
                  <c:v>66</c:v>
                </c:pt>
                <c:pt idx="34">
                  <c:v>68</c:v>
                </c:pt>
                <c:pt idx="35">
                  <c:v>70</c:v>
                </c:pt>
                <c:pt idx="36">
                  <c:v>72</c:v>
                </c:pt>
                <c:pt idx="37">
                  <c:v>74</c:v>
                </c:pt>
                <c:pt idx="38">
                  <c:v>76</c:v>
                </c:pt>
                <c:pt idx="39">
                  <c:v>78</c:v>
                </c:pt>
                <c:pt idx="40">
                  <c:v>80</c:v>
                </c:pt>
                <c:pt idx="41">
                  <c:v>82</c:v>
                </c:pt>
                <c:pt idx="42">
                  <c:v>84</c:v>
                </c:pt>
                <c:pt idx="43">
                  <c:v>86</c:v>
                </c:pt>
                <c:pt idx="44">
                  <c:v>88</c:v>
                </c:pt>
                <c:pt idx="45">
                  <c:v>90</c:v>
                </c:pt>
                <c:pt idx="46">
                  <c:v>92</c:v>
                </c:pt>
                <c:pt idx="47">
                  <c:v>94</c:v>
                </c:pt>
                <c:pt idx="48">
                  <c:v>96</c:v>
                </c:pt>
                <c:pt idx="49">
                  <c:v>98</c:v>
                </c:pt>
                <c:pt idx="50">
                  <c:v>100</c:v>
                </c:pt>
              </c:numCache>
            </c:numRef>
          </c:cat>
          <c:val>
            <c:numRef>
              <c:f>STS_2!$K$5:$K$55</c:f>
              <c:numCache>
                <c:formatCode>General</c:formatCode>
                <c:ptCount val="51"/>
                <c:pt idx="0">
                  <c:v>60.005587308301614</c:v>
                </c:pt>
                <c:pt idx="1">
                  <c:v>59.999926533191292</c:v>
                </c:pt>
                <c:pt idx="2">
                  <c:v>46.107168732338614</c:v>
                </c:pt>
                <c:pt idx="3">
                  <c:v>45.341387784088084</c:v>
                </c:pt>
                <c:pt idx="4">
                  <c:v>59.999664786260752</c:v>
                </c:pt>
                <c:pt idx="5">
                  <c:v>59.996897106298462</c:v>
                </c:pt>
                <c:pt idx="6">
                  <c:v>42.244968503328394</c:v>
                </c:pt>
                <c:pt idx="7">
                  <c:v>40.819632424286816</c:v>
                </c:pt>
                <c:pt idx="8">
                  <c:v>40.042866909383356</c:v>
                </c:pt>
                <c:pt idx="9">
                  <c:v>40.000053062211734</c:v>
                </c:pt>
                <c:pt idx="10">
                  <c:v>39.999909890779939</c:v>
                </c:pt>
                <c:pt idx="11">
                  <c:v>39.999999999983906</c:v>
                </c:pt>
                <c:pt idx="12">
                  <c:v>39.999999841347837</c:v>
                </c:pt>
                <c:pt idx="13">
                  <c:v>39.999999999984858</c:v>
                </c:pt>
                <c:pt idx="14">
                  <c:v>39.999999997171734</c:v>
                </c:pt>
                <c:pt idx="15">
                  <c:v>40.000000000036259</c:v>
                </c:pt>
                <c:pt idx="16">
                  <c:v>39.999999992519662</c:v>
                </c:pt>
                <c:pt idx="17">
                  <c:v>39.999999997171329</c:v>
                </c:pt>
                <c:pt idx="18">
                  <c:v>40.000000000093578</c:v>
                </c:pt>
                <c:pt idx="19">
                  <c:v>39.999999998704702</c:v>
                </c:pt>
                <c:pt idx="20">
                  <c:v>39.999999974579524</c:v>
                </c:pt>
                <c:pt idx="21">
                  <c:v>39.999999865779451</c:v>
                </c:pt>
                <c:pt idx="22">
                  <c:v>39.999999997687127</c:v>
                </c:pt>
                <c:pt idx="23">
                  <c:v>39.999999999589434</c:v>
                </c:pt>
                <c:pt idx="24">
                  <c:v>39.999999998527827</c:v>
                </c:pt>
                <c:pt idx="25">
                  <c:v>39.999999981596979</c:v>
                </c:pt>
                <c:pt idx="26">
                  <c:v>39.999999993895408</c:v>
                </c:pt>
                <c:pt idx="27">
                  <c:v>39.999999998835769</c:v>
                </c:pt>
                <c:pt idx="28">
                  <c:v>39.999999929169434</c:v>
                </c:pt>
                <c:pt idx="29">
                  <c:v>39.999999862887847</c:v>
                </c:pt>
                <c:pt idx="30">
                  <c:v>39.999999799835528</c:v>
                </c:pt>
                <c:pt idx="31">
                  <c:v>39.999999927726002</c:v>
                </c:pt>
                <c:pt idx="32">
                  <c:v>39.999999987184154</c:v>
                </c:pt>
                <c:pt idx="33">
                  <c:v>40.0000000000922</c:v>
                </c:pt>
                <c:pt idx="34">
                  <c:v>39.999999978895985</c:v>
                </c:pt>
                <c:pt idx="35">
                  <c:v>39.99999994787224</c:v>
                </c:pt>
                <c:pt idx="36">
                  <c:v>39.999999987922592</c:v>
                </c:pt>
                <c:pt idx="37">
                  <c:v>39.999999983914378</c:v>
                </c:pt>
                <c:pt idx="38">
                  <c:v>39.999999999764583</c:v>
                </c:pt>
                <c:pt idx="39">
                  <c:v>39.999999890993585</c:v>
                </c:pt>
                <c:pt idx="40">
                  <c:v>39.999999711247767</c:v>
                </c:pt>
                <c:pt idx="41">
                  <c:v>39.999971233624422</c:v>
                </c:pt>
                <c:pt idx="42">
                  <c:v>39.999975211137745</c:v>
                </c:pt>
                <c:pt idx="43">
                  <c:v>39.999980069310745</c:v>
                </c:pt>
                <c:pt idx="44">
                  <c:v>39.99998486844968</c:v>
                </c:pt>
                <c:pt idx="45">
                  <c:v>39.999986655467133</c:v>
                </c:pt>
                <c:pt idx="46">
                  <c:v>39.999987956953738</c:v>
                </c:pt>
                <c:pt idx="47">
                  <c:v>39.999988940858557</c:v>
                </c:pt>
                <c:pt idx="48">
                  <c:v>39.999983258452346</c:v>
                </c:pt>
                <c:pt idx="49">
                  <c:v>39.999992154705147</c:v>
                </c:pt>
                <c:pt idx="50">
                  <c:v>39.999965071846084</c:v>
                </c:pt>
              </c:numCache>
            </c:numRef>
          </c:val>
          <c:smooth val="0"/>
          <c:extLst>
            <c:ext xmlns:c16="http://schemas.microsoft.com/office/drawing/2014/chart" uri="{C3380CC4-5D6E-409C-BE32-E72D297353CC}">
              <c16:uniqueId val="{00000001-96C3-412C-8DE1-D8EF2B574C87}"/>
            </c:ext>
          </c:extLst>
        </c:ser>
        <c:dLbls>
          <c:showLegendKey val="0"/>
          <c:showVal val="0"/>
          <c:showCatName val="0"/>
          <c:showSerName val="0"/>
          <c:showPercent val="0"/>
          <c:showBubbleSize val="0"/>
        </c:dLbls>
        <c:marker val="1"/>
        <c:smooth val="0"/>
        <c:axId val="190852608"/>
        <c:axId val="190855104"/>
      </c:lineChart>
      <c:catAx>
        <c:axId val="190852608"/>
        <c:scaling>
          <c:orientation val="minMax"/>
        </c:scaling>
        <c:delete val="0"/>
        <c:axPos val="b"/>
        <c:title>
          <c:tx>
            <c:rich>
              <a:bodyPr/>
              <a:lstStyle/>
              <a:p>
                <a:pPr>
                  <a:defRPr/>
                </a:pPr>
                <a:r>
                  <a:rPr lang="en-US"/>
                  <a:t>Number of fires in Town 3 ($D$23)</a:t>
                </a:r>
              </a:p>
            </c:rich>
          </c:tx>
          <c:overlay val="0"/>
        </c:title>
        <c:numFmt formatCode="General" sourceLinked="1"/>
        <c:majorTickMark val="out"/>
        <c:minorTickMark val="none"/>
        <c:tickLblPos val="nextTo"/>
        <c:crossAx val="190855104"/>
        <c:crosses val="autoZero"/>
        <c:auto val="1"/>
        <c:lblAlgn val="ctr"/>
        <c:lblOffset val="100"/>
        <c:noMultiLvlLbl val="0"/>
      </c:catAx>
      <c:valAx>
        <c:axId val="190855104"/>
        <c:scaling>
          <c:orientation val="minMax"/>
        </c:scaling>
        <c:delete val="0"/>
        <c:axPos val="l"/>
        <c:majorGridlines/>
        <c:numFmt formatCode="General" sourceLinked="1"/>
        <c:majorTickMark val="out"/>
        <c:minorTickMark val="none"/>
        <c:tickLblPos val="nextTo"/>
        <c:crossAx val="190852608"/>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5753100" y="2409825"/>
    <xdr:ext cx="4610100" cy="3009900"/>
    <xdr:graphicFrame macro="">
      <xdr:nvGraphicFramePr>
        <xdr:cNvPr id="2" name="STS_1_Chart">
          <a:extLst>
            <a:ext uri="{FF2B5EF4-FFF2-40B4-BE49-F238E27FC236}">
              <a16:creationId xmlns:a16="http://schemas.microsoft.com/office/drawing/2014/main" id="{D434D083-9B8D-44FD-8B3D-A1BE3B995D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7277100" y="600075"/>
    <xdr:ext cx="2286000" cy="776287"/>
    <xdr:sp macro="" textlink="">
      <xdr:nvSpPr>
        <xdr:cNvPr id="3" name="TextBox 2">
          <a:extLst>
            <a:ext uri="{FF2B5EF4-FFF2-40B4-BE49-F238E27FC236}">
              <a16:creationId xmlns:a16="http://schemas.microsoft.com/office/drawing/2014/main" id="{831301EF-AF55-4600-A9D5-F2069E19F650}"/>
            </a:ext>
          </a:extLst>
        </xdr:cNvPr>
        <xdr:cNvSpPr txBox="1"/>
      </xdr:nvSpPr>
      <xdr:spPr>
        <a:xfrm>
          <a:off x="7277100" y="600075"/>
          <a:ext cx="2286000" cy="776287"/>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absoluteAnchor>
</xdr:wsDr>
</file>

<file path=xl/drawings/drawing2.xml><?xml version="1.0" encoding="utf-8"?>
<xdr:wsDr xmlns:xdr="http://schemas.openxmlformats.org/drawingml/2006/spreadsheetDrawing" xmlns:a="http://schemas.openxmlformats.org/drawingml/2006/main">
  <xdr:twoCellAnchor editAs="absolute">
    <xdr:from>
      <xdr:col>10</xdr:col>
      <xdr:colOff>0</xdr:colOff>
      <xdr:row>56</xdr:row>
      <xdr:rowOff>0</xdr:rowOff>
    </xdr:from>
    <xdr:to>
      <xdr:col>18</xdr:col>
      <xdr:colOff>0</xdr:colOff>
      <xdr:row>71</xdr:row>
      <xdr:rowOff>0</xdr:rowOff>
    </xdr:to>
    <xdr:graphicFrame macro="">
      <xdr:nvGraphicFramePr>
        <xdr:cNvPr id="2" name="STS_2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5</xdr:row>
      <xdr:rowOff>161925</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L2" sqref="L2:Q8"/>
    </sheetView>
  </sheetViews>
  <sheetFormatPr defaultRowHeight="15" x14ac:dyDescent="0.25"/>
  <cols>
    <col min="1" max="1" width="24.28515625" bestFit="1" customWidth="1"/>
    <col min="2" max="2" width="16" bestFit="1" customWidth="1"/>
  </cols>
  <sheetData>
    <row r="1" spans="1:5" x14ac:dyDescent="0.25">
      <c r="A1" s="1" t="s">
        <v>20</v>
      </c>
    </row>
    <row r="3" spans="1:5" x14ac:dyDescent="0.25">
      <c r="A3" s="1"/>
      <c r="D3" t="s">
        <v>119</v>
      </c>
      <c r="E3" t="s">
        <v>118</v>
      </c>
    </row>
    <row r="4" spans="1:5" x14ac:dyDescent="0.25">
      <c r="A4" t="s">
        <v>6</v>
      </c>
      <c r="B4">
        <v>115</v>
      </c>
      <c r="D4">
        <f>B6/B4</f>
        <v>6.9565217391304346</v>
      </c>
      <c r="E4">
        <f>B5</f>
        <v>50</v>
      </c>
    </row>
    <row r="5" spans="1:5" x14ac:dyDescent="0.25">
      <c r="A5" t="s">
        <v>7</v>
      </c>
      <c r="B5">
        <v>50</v>
      </c>
      <c r="D5">
        <f>B6/B4*1.01</f>
        <v>7.0260869565217394</v>
      </c>
      <c r="E5">
        <f>E4*((100+B8)/100)</f>
        <v>48.75</v>
      </c>
    </row>
    <row r="6" spans="1:5" x14ac:dyDescent="0.25">
      <c r="A6" t="s">
        <v>8</v>
      </c>
      <c r="B6">
        <v>800</v>
      </c>
      <c r="D6" t="s">
        <v>117</v>
      </c>
      <c r="E6" t="s">
        <v>116</v>
      </c>
    </row>
    <row r="7" spans="1:5" x14ac:dyDescent="0.25">
      <c r="A7" t="s">
        <v>9</v>
      </c>
      <c r="B7">
        <v>6</v>
      </c>
      <c r="D7">
        <f>(E5-E4)/(D5-D4)</f>
        <v>-17.968749999999876</v>
      </c>
      <c r="E7">
        <f>E4-D4*D7</f>
        <v>174.99999999999915</v>
      </c>
    </row>
    <row r="8" spans="1:5" x14ac:dyDescent="0.25">
      <c r="A8" t="s">
        <v>10</v>
      </c>
      <c r="B8">
        <v>-2.5</v>
      </c>
    </row>
    <row r="11" spans="1:5" x14ac:dyDescent="0.25">
      <c r="A11" s="1" t="s">
        <v>115</v>
      </c>
    </row>
    <row r="12" spans="1:5" x14ac:dyDescent="0.25">
      <c r="A12" t="s">
        <v>114</v>
      </c>
      <c r="B12" s="29">
        <v>7.8695998191833496</v>
      </c>
    </row>
    <row r="13" spans="1:5" x14ac:dyDescent="0.25">
      <c r="A13" t="s">
        <v>113</v>
      </c>
      <c r="B13" s="24">
        <f>B12*D7+E7</f>
        <v>33.5931282490493</v>
      </c>
    </row>
    <row r="15" spans="1:5" x14ac:dyDescent="0.25">
      <c r="A15" s="28" t="s">
        <v>30</v>
      </c>
      <c r="B15" s="29">
        <f>B12*B13</f>
        <v>264.36447599452146</v>
      </c>
    </row>
    <row r="16" spans="1:5" x14ac:dyDescent="0.25">
      <c r="A16" s="28" t="s">
        <v>57</v>
      </c>
      <c r="B16" s="24">
        <f>B7*B13</f>
        <v>201.5587694942958</v>
      </c>
    </row>
    <row r="17" spans="1:2" x14ac:dyDescent="0.25">
      <c r="A17" s="28" t="s">
        <v>29</v>
      </c>
      <c r="B17" s="24">
        <f>B15-B16</f>
        <v>62.805706500225654</v>
      </c>
    </row>
    <row r="19" spans="1:2" x14ac:dyDescent="0.25">
      <c r="A19" s="1"/>
      <c r="B19" s="1"/>
    </row>
    <row r="21" spans="1:2" x14ac:dyDescent="0.25">
      <c r="B2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
  <sheetViews>
    <sheetView workbookViewId="0">
      <selection activeCell="E11" sqref="E11"/>
    </sheetView>
  </sheetViews>
  <sheetFormatPr defaultRowHeight="15" x14ac:dyDescent="0.25"/>
  <sheetData>
    <row r="1" spans="1:11" x14ac:dyDescent="0.25">
      <c r="A1" s="1" t="s">
        <v>49</v>
      </c>
      <c r="K1" s="12" t="str">
        <f>CONCATENATE("Sensitivity of ",$K$4," to ","Input")</f>
        <v>Sensitivity of $B$12 to Input</v>
      </c>
    </row>
    <row r="3" spans="1:11" x14ac:dyDescent="0.25">
      <c r="A3" t="s">
        <v>112</v>
      </c>
      <c r="K3" t="s">
        <v>50</v>
      </c>
    </row>
    <row r="4" spans="1:11" ht="32.25" x14ac:dyDescent="0.25">
      <c r="B4" s="10" t="s">
        <v>111</v>
      </c>
      <c r="J4" s="12">
        <f>MATCH($K$4,OutputAddresses,0)</f>
        <v>1</v>
      </c>
      <c r="K4" s="11" t="s">
        <v>111</v>
      </c>
    </row>
    <row r="5" spans="1:11" x14ac:dyDescent="0.25">
      <c r="A5" s="9">
        <v>60</v>
      </c>
      <c r="B5" s="27">
        <v>12.33</v>
      </c>
      <c r="K5">
        <f>INDEX(OutputValues,1,$J$4)</f>
        <v>12.33</v>
      </c>
    </row>
    <row r="6" spans="1:11" x14ac:dyDescent="0.25">
      <c r="A6" s="9">
        <v>80</v>
      </c>
      <c r="B6" s="26">
        <v>10</v>
      </c>
      <c r="K6">
        <f>INDEX(OutputValues,2,$J$4)</f>
        <v>10</v>
      </c>
    </row>
    <row r="7" spans="1:11" x14ac:dyDescent="0.25">
      <c r="A7" s="9">
        <v>100</v>
      </c>
      <c r="B7" s="26">
        <v>8.6</v>
      </c>
      <c r="K7">
        <f>INDEX(OutputValues,3,$J$4)</f>
        <v>8.6</v>
      </c>
    </row>
    <row r="8" spans="1:11" x14ac:dyDescent="0.25">
      <c r="A8" s="9">
        <v>120</v>
      </c>
      <c r="B8" s="26">
        <v>7.67</v>
      </c>
      <c r="K8">
        <f>INDEX(OutputValues,4,$J$4)</f>
        <v>7.67</v>
      </c>
    </row>
    <row r="9" spans="1:11" x14ac:dyDescent="0.25">
      <c r="A9" s="9">
        <v>140</v>
      </c>
      <c r="B9" s="26">
        <v>7</v>
      </c>
      <c r="K9">
        <f>INDEX(OutputValues,5,$J$4)</f>
        <v>7</v>
      </c>
    </row>
    <row r="10" spans="1:11" x14ac:dyDescent="0.25">
      <c r="A10" s="9">
        <v>160</v>
      </c>
      <c r="B10" s="25">
        <v>6.5</v>
      </c>
      <c r="K10">
        <f>INDEX(OutputValues,6,$J$4)</f>
        <v>6.5</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topLeftCell="A5" workbookViewId="0"/>
  </sheetViews>
  <sheetFormatPr defaultRowHeight="15" x14ac:dyDescent="0.25"/>
  <cols>
    <col min="1" max="1" width="2.28515625" customWidth="1"/>
    <col min="2" max="2" width="19.5703125" customWidth="1"/>
    <col min="3" max="3" width="12.7109375" customWidth="1"/>
    <col min="4" max="4" width="13.7109375" bestFit="1" customWidth="1"/>
    <col min="5" max="5" width="13.5703125" bestFit="1" customWidth="1"/>
    <col min="6" max="6" width="11.42578125" customWidth="1"/>
    <col min="7" max="7" width="12" bestFit="1" customWidth="1"/>
  </cols>
  <sheetData>
    <row r="1" spans="1:5" x14ac:dyDescent="0.25">
      <c r="A1" s="1" t="s">
        <v>31</v>
      </c>
    </row>
    <row r="2" spans="1:5" x14ac:dyDescent="0.25">
      <c r="A2" s="1" t="s">
        <v>58</v>
      </c>
    </row>
    <row r="3" spans="1:5" x14ac:dyDescent="0.25">
      <c r="A3" s="1" t="s">
        <v>120</v>
      </c>
    </row>
    <row r="4" spans="1:5" x14ac:dyDescent="0.25">
      <c r="A4" s="1" t="s">
        <v>59</v>
      </c>
    </row>
    <row r="5" spans="1:5" x14ac:dyDescent="0.25">
      <c r="A5" s="1" t="s">
        <v>33</v>
      </c>
    </row>
    <row r="6" spans="1:5" x14ac:dyDescent="0.25">
      <c r="A6" s="1"/>
      <c r="B6" t="s">
        <v>34</v>
      </c>
    </row>
    <row r="7" spans="1:5" x14ac:dyDescent="0.25">
      <c r="A7" s="1"/>
      <c r="B7" t="s">
        <v>121</v>
      </c>
    </row>
    <row r="8" spans="1:5" x14ac:dyDescent="0.25">
      <c r="A8" s="1"/>
      <c r="B8" t="s">
        <v>65</v>
      </c>
    </row>
    <row r="9" spans="1:5" x14ac:dyDescent="0.25">
      <c r="A9" s="1" t="s">
        <v>36</v>
      </c>
    </row>
    <row r="10" spans="1:5" x14ac:dyDescent="0.25">
      <c r="B10" t="s">
        <v>60</v>
      </c>
    </row>
    <row r="11" spans="1:5" x14ac:dyDescent="0.25">
      <c r="B11" t="s">
        <v>76</v>
      </c>
    </row>
    <row r="12" spans="1:5" x14ac:dyDescent="0.25">
      <c r="B12" t="s">
        <v>37</v>
      </c>
    </row>
    <row r="14" spans="1:5" ht="15.75" thickBot="1" x14ac:dyDescent="0.3">
      <c r="A14" t="s">
        <v>61</v>
      </c>
    </row>
    <row r="15" spans="1:5" ht="15.75" thickBot="1" x14ac:dyDescent="0.3">
      <c r="B15" s="30" t="s">
        <v>38</v>
      </c>
      <c r="C15" s="30" t="s">
        <v>39</v>
      </c>
      <c r="D15" s="30" t="s">
        <v>40</v>
      </c>
      <c r="E15" s="30" t="s">
        <v>41</v>
      </c>
    </row>
    <row r="16" spans="1:5" ht="15.75" thickBot="1" x14ac:dyDescent="0.3">
      <c r="B16" s="5" t="s">
        <v>69</v>
      </c>
      <c r="C16" s="5" t="s">
        <v>70</v>
      </c>
      <c r="D16" s="7">
        <v>670</v>
      </c>
      <c r="E16" s="7">
        <v>670</v>
      </c>
    </row>
    <row r="19" spans="1:7" ht="15.75" thickBot="1" x14ac:dyDescent="0.3">
      <c r="A19" t="s">
        <v>42</v>
      </c>
    </row>
    <row r="20" spans="1:7" ht="15.75" thickBot="1" x14ac:dyDescent="0.3">
      <c r="B20" s="30" t="s">
        <v>38</v>
      </c>
      <c r="C20" s="30" t="s">
        <v>39</v>
      </c>
      <c r="D20" s="30" t="s">
        <v>40</v>
      </c>
      <c r="E20" s="30" t="s">
        <v>41</v>
      </c>
      <c r="F20" s="30" t="s">
        <v>43</v>
      </c>
    </row>
    <row r="21" spans="1:7" x14ac:dyDescent="0.25">
      <c r="B21" s="13" t="s">
        <v>62</v>
      </c>
      <c r="C21" s="13" t="s">
        <v>23</v>
      </c>
      <c r="D21" s="14">
        <v>2</v>
      </c>
      <c r="E21" s="14">
        <v>2</v>
      </c>
      <c r="F21" s="13" t="s">
        <v>43</v>
      </c>
    </row>
    <row r="22" spans="1:7" ht="15.75" thickBot="1" x14ac:dyDescent="0.3">
      <c r="B22" s="5" t="s">
        <v>63</v>
      </c>
      <c r="C22" s="5" t="s">
        <v>24</v>
      </c>
      <c r="D22" s="7">
        <v>4</v>
      </c>
      <c r="E22" s="7">
        <v>4</v>
      </c>
      <c r="F22" s="5" t="s">
        <v>43</v>
      </c>
    </row>
    <row r="25" spans="1:7" ht="15.75" thickBot="1" x14ac:dyDescent="0.3">
      <c r="A25" t="s">
        <v>44</v>
      </c>
    </row>
    <row r="26" spans="1:7" ht="15.75" thickBot="1" x14ac:dyDescent="0.3">
      <c r="B26" s="30" t="s">
        <v>38</v>
      </c>
      <c r="C26" s="30" t="s">
        <v>39</v>
      </c>
      <c r="D26" s="30" t="s">
        <v>51</v>
      </c>
      <c r="E26" s="30" t="s">
        <v>52</v>
      </c>
      <c r="F26" s="30" t="s">
        <v>53</v>
      </c>
      <c r="G26" s="30" t="s">
        <v>54</v>
      </c>
    </row>
    <row r="27" spans="1:7" x14ac:dyDescent="0.25">
      <c r="B27" s="13" t="s">
        <v>64</v>
      </c>
      <c r="C27" s="13" t="s">
        <v>71</v>
      </c>
      <c r="D27" s="14">
        <v>61.656854249492383</v>
      </c>
      <c r="E27" s="13" t="s">
        <v>77</v>
      </c>
      <c r="F27" s="13" t="s">
        <v>66</v>
      </c>
      <c r="G27" s="14">
        <v>1.6568542494923904</v>
      </c>
    </row>
    <row r="28" spans="1:7" x14ac:dyDescent="0.25">
      <c r="B28" s="13" t="s">
        <v>72</v>
      </c>
      <c r="C28" s="13" t="s">
        <v>73</v>
      </c>
      <c r="D28" s="14">
        <v>51.112698372208094</v>
      </c>
      <c r="E28" s="13" t="s">
        <v>78</v>
      </c>
      <c r="F28" s="13" t="s">
        <v>66</v>
      </c>
      <c r="G28" s="14">
        <v>1.1126983722080936</v>
      </c>
    </row>
    <row r="29" spans="1:7" x14ac:dyDescent="0.25">
      <c r="B29" s="13" t="s">
        <v>62</v>
      </c>
      <c r="C29" s="13" t="s">
        <v>23</v>
      </c>
      <c r="D29" s="14">
        <v>2</v>
      </c>
      <c r="E29" s="13" t="s">
        <v>74</v>
      </c>
      <c r="F29" s="13" t="s">
        <v>55</v>
      </c>
      <c r="G29" s="14">
        <v>0</v>
      </c>
    </row>
    <row r="30" spans="1:7" x14ac:dyDescent="0.25">
      <c r="B30" s="13" t="s">
        <v>63</v>
      </c>
      <c r="C30" s="13" t="s">
        <v>24</v>
      </c>
      <c r="D30" s="14">
        <v>4</v>
      </c>
      <c r="E30" s="13" t="s">
        <v>75</v>
      </c>
      <c r="F30" s="13" t="s">
        <v>55</v>
      </c>
      <c r="G30" s="14">
        <v>0</v>
      </c>
    </row>
    <row r="31" spans="1:7" ht="15.75" thickBot="1" x14ac:dyDescent="0.3">
      <c r="B31" s="5" t="s">
        <v>67</v>
      </c>
      <c r="C31" s="5"/>
      <c r="D31" s="5"/>
      <c r="E31" s="5"/>
      <c r="F31" s="5"/>
      <c r="G3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B33" sqref="B33"/>
    </sheetView>
  </sheetViews>
  <sheetFormatPr defaultRowHeight="15" x14ac:dyDescent="0.25"/>
  <sheetData>
    <row r="1" spans="1:3" x14ac:dyDescent="0.25">
      <c r="A1" s="1" t="s">
        <v>21</v>
      </c>
    </row>
    <row r="3" spans="1:3" x14ac:dyDescent="0.25">
      <c r="A3" t="s">
        <v>22</v>
      </c>
    </row>
    <row r="4" spans="1:3" x14ac:dyDescent="0.25">
      <c r="B4" s="4" t="s">
        <v>23</v>
      </c>
      <c r="C4" s="4" t="s">
        <v>24</v>
      </c>
    </row>
    <row r="5" spans="1:3" x14ac:dyDescent="0.25">
      <c r="B5">
        <v>75</v>
      </c>
      <c r="C5">
        <v>130</v>
      </c>
    </row>
    <row r="7" spans="1:3" x14ac:dyDescent="0.25">
      <c r="A7" t="s">
        <v>27</v>
      </c>
    </row>
    <row r="8" spans="1:3" x14ac:dyDescent="0.25">
      <c r="B8" s="4" t="s">
        <v>23</v>
      </c>
      <c r="C8" s="4" t="s">
        <v>24</v>
      </c>
    </row>
    <row r="9" spans="1:3" x14ac:dyDescent="0.25">
      <c r="A9" t="s">
        <v>25</v>
      </c>
      <c r="B9">
        <v>4</v>
      </c>
      <c r="C9">
        <v>28</v>
      </c>
    </row>
    <row r="10" spans="1:3" x14ac:dyDescent="0.25">
      <c r="A10" t="s">
        <v>26</v>
      </c>
      <c r="B10">
        <v>22</v>
      </c>
      <c r="C10">
        <v>10</v>
      </c>
    </row>
    <row r="12" spans="1:3" x14ac:dyDescent="0.25">
      <c r="A12" t="s">
        <v>28</v>
      </c>
    </row>
    <row r="13" spans="1:3" x14ac:dyDescent="0.25">
      <c r="B13" s="4" t="s">
        <v>25</v>
      </c>
      <c r="C13" s="4" t="s">
        <v>26</v>
      </c>
    </row>
    <row r="14" spans="1:3" x14ac:dyDescent="0.25">
      <c r="B14">
        <v>60</v>
      </c>
      <c r="C14">
        <v>50</v>
      </c>
    </row>
    <row r="16" spans="1:3" x14ac:dyDescent="0.25">
      <c r="A16" s="1" t="s">
        <v>56</v>
      </c>
    </row>
    <row r="17" spans="1:4" x14ac:dyDescent="0.25">
      <c r="B17" t="s">
        <v>23</v>
      </c>
      <c r="C17" t="s">
        <v>24</v>
      </c>
    </row>
    <row r="18" spans="1:4" x14ac:dyDescent="0.25">
      <c r="B18">
        <v>2</v>
      </c>
      <c r="C18">
        <v>4</v>
      </c>
    </row>
    <row r="20" spans="1:4" x14ac:dyDescent="0.25">
      <c r="A20" t="s">
        <v>25</v>
      </c>
      <c r="B20">
        <f>B9*($B$18^(1/2))+C9*($C$18^(1/2))</f>
        <v>61.656854249492383</v>
      </c>
      <c r="C20" t="s">
        <v>68</v>
      </c>
      <c r="D20">
        <v>60</v>
      </c>
    </row>
    <row r="21" spans="1:4" x14ac:dyDescent="0.25">
      <c r="A21" t="s">
        <v>26</v>
      </c>
      <c r="B21">
        <f>B10*($B$18^(1/2))+C10*($C$18^(1/2))</f>
        <v>51.112698372208094</v>
      </c>
      <c r="C21" t="s">
        <v>68</v>
      </c>
      <c r="D21">
        <v>50</v>
      </c>
    </row>
    <row r="23" spans="1:4" x14ac:dyDescent="0.25">
      <c r="A23" t="s">
        <v>57</v>
      </c>
      <c r="B23">
        <f>SUMPRODUCT(B18:C18,B5:C5)</f>
        <v>670</v>
      </c>
    </row>
    <row r="24" spans="1:4" x14ac:dyDescent="0.25">
      <c r="A24" s="1"/>
    </row>
    <row r="26" spans="1:4" x14ac:dyDescent="0.25">
      <c r="A26" s="1" t="s">
        <v>79</v>
      </c>
      <c r="B26" t="s">
        <v>23</v>
      </c>
      <c r="C26" t="s">
        <v>24</v>
      </c>
    </row>
    <row r="27" spans="1:4" x14ac:dyDescent="0.25">
      <c r="B27">
        <v>2</v>
      </c>
      <c r="C27">
        <v>4</v>
      </c>
    </row>
    <row r="28" spans="1:4" x14ac:dyDescent="0.25">
      <c r="A28" s="1"/>
    </row>
    <row r="29" spans="1:4" x14ac:dyDescent="0.25">
      <c r="A29" s="1" t="s">
        <v>80</v>
      </c>
      <c r="B29" t="s">
        <v>81</v>
      </c>
    </row>
    <row r="33" spans="1:2" x14ac:dyDescent="0.25">
      <c r="A33" s="1" t="s">
        <v>82</v>
      </c>
      <c r="B33"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2.28515625" customWidth="1"/>
    <col min="2" max="2" width="6.140625" customWidth="1"/>
    <col min="3" max="3" width="38.42578125" bestFit="1" customWidth="1"/>
    <col min="4" max="4" width="13.7109375" bestFit="1" customWidth="1"/>
    <col min="5" max="5" width="12" bestFit="1" customWidth="1"/>
    <col min="6" max="6" width="11.42578125" customWidth="1"/>
    <col min="7" max="7" width="12" bestFit="1" customWidth="1"/>
  </cols>
  <sheetData>
    <row r="1" spans="1:5" x14ac:dyDescent="0.25">
      <c r="A1" s="1" t="s">
        <v>31</v>
      </c>
    </row>
    <row r="2" spans="1:5" x14ac:dyDescent="0.25">
      <c r="A2" s="1" t="s">
        <v>87</v>
      </c>
    </row>
    <row r="3" spans="1:5" x14ac:dyDescent="0.25">
      <c r="A3" s="1" t="s">
        <v>88</v>
      </c>
    </row>
    <row r="4" spans="1:5" x14ac:dyDescent="0.25">
      <c r="A4" s="1" t="s">
        <v>32</v>
      </c>
    </row>
    <row r="5" spans="1:5" x14ac:dyDescent="0.25">
      <c r="A5" s="1" t="s">
        <v>33</v>
      </c>
    </row>
    <row r="6" spans="1:5" x14ac:dyDescent="0.25">
      <c r="A6" s="1"/>
      <c r="B6" t="s">
        <v>34</v>
      </c>
    </row>
    <row r="7" spans="1:5" x14ac:dyDescent="0.25">
      <c r="A7" s="1"/>
      <c r="B7" t="s">
        <v>89</v>
      </c>
    </row>
    <row r="8" spans="1:5" x14ac:dyDescent="0.25">
      <c r="A8" s="1"/>
      <c r="B8" t="s">
        <v>35</v>
      </c>
    </row>
    <row r="9" spans="1:5" x14ac:dyDescent="0.25">
      <c r="A9" s="1" t="s">
        <v>36</v>
      </c>
    </row>
    <row r="10" spans="1:5" x14ac:dyDescent="0.25">
      <c r="B10" t="s">
        <v>60</v>
      </c>
    </row>
    <row r="11" spans="1:5" x14ac:dyDescent="0.25">
      <c r="B11" t="s">
        <v>90</v>
      </c>
    </row>
    <row r="12" spans="1:5" x14ac:dyDescent="0.25">
      <c r="B12" t="s">
        <v>37</v>
      </c>
    </row>
    <row r="14" spans="1:5" ht="15.75" thickBot="1" x14ac:dyDescent="0.3">
      <c r="A14" t="s">
        <v>61</v>
      </c>
    </row>
    <row r="15" spans="1:5" ht="15.75" thickBot="1" x14ac:dyDescent="0.3">
      <c r="B15" s="6" t="s">
        <v>38</v>
      </c>
      <c r="C15" s="6" t="s">
        <v>39</v>
      </c>
      <c r="D15" s="6" t="s">
        <v>40</v>
      </c>
      <c r="E15" s="6" t="s">
        <v>41</v>
      </c>
    </row>
    <row r="16" spans="1:5" ht="15.75" thickBot="1" x14ac:dyDescent="0.3">
      <c r="B16" s="5" t="s">
        <v>91</v>
      </c>
      <c r="C16" s="5" t="s">
        <v>92</v>
      </c>
      <c r="D16" s="7">
        <v>8800</v>
      </c>
      <c r="E16" s="7">
        <v>4436.8600678332114</v>
      </c>
    </row>
    <row r="19" spans="1:7" ht="15.75" thickBot="1" x14ac:dyDescent="0.3">
      <c r="A19" t="s">
        <v>42</v>
      </c>
    </row>
    <row r="20" spans="1:7" ht="15.75" thickBot="1" x14ac:dyDescent="0.3">
      <c r="B20" s="6" t="s">
        <v>38</v>
      </c>
      <c r="C20" s="6" t="s">
        <v>39</v>
      </c>
      <c r="D20" s="6" t="s">
        <v>40</v>
      </c>
      <c r="E20" s="6" t="s">
        <v>41</v>
      </c>
      <c r="F20" s="6" t="s">
        <v>43</v>
      </c>
    </row>
    <row r="21" spans="1:7" x14ac:dyDescent="0.25">
      <c r="B21" s="13" t="s">
        <v>62</v>
      </c>
      <c r="C21" s="13" t="s">
        <v>11</v>
      </c>
      <c r="D21" s="14">
        <v>0</v>
      </c>
      <c r="E21" s="14">
        <v>40.000064443629071</v>
      </c>
      <c r="F21" s="13" t="s">
        <v>46</v>
      </c>
    </row>
    <row r="22" spans="1:7" ht="15.75" thickBot="1" x14ac:dyDescent="0.3">
      <c r="B22" s="5" t="s">
        <v>63</v>
      </c>
      <c r="C22" s="5" t="s">
        <v>12</v>
      </c>
      <c r="D22" s="7">
        <v>0</v>
      </c>
      <c r="E22" s="7">
        <v>29.123983041004351</v>
      </c>
      <c r="F22" s="5" t="s">
        <v>46</v>
      </c>
    </row>
    <row r="25" spans="1:7" ht="15.75" thickBot="1" x14ac:dyDescent="0.3">
      <c r="A25" t="s">
        <v>44</v>
      </c>
    </row>
    <row r="26" spans="1:7" ht="15.75" thickBot="1" x14ac:dyDescent="0.3">
      <c r="B26" s="6" t="s">
        <v>38</v>
      </c>
      <c r="C26" s="6" t="s">
        <v>39</v>
      </c>
      <c r="D26" s="6" t="s">
        <v>51</v>
      </c>
      <c r="E26" s="6" t="s">
        <v>52</v>
      </c>
      <c r="F26" s="6" t="s">
        <v>53</v>
      </c>
      <c r="G26" s="6" t="s">
        <v>54</v>
      </c>
    </row>
    <row r="27" spans="1:7" x14ac:dyDescent="0.25">
      <c r="B27" s="13" t="s">
        <v>62</v>
      </c>
      <c r="C27" s="13" t="s">
        <v>11</v>
      </c>
      <c r="D27" s="14">
        <v>40.000064443629071</v>
      </c>
      <c r="E27" s="13" t="s">
        <v>74</v>
      </c>
      <c r="F27" s="13" t="s">
        <v>66</v>
      </c>
      <c r="G27" s="14">
        <v>40.000064443629071</v>
      </c>
    </row>
    <row r="28" spans="1:7" ht="15.75" thickBot="1" x14ac:dyDescent="0.3">
      <c r="B28" s="5" t="s">
        <v>63</v>
      </c>
      <c r="C28" s="5" t="s">
        <v>12</v>
      </c>
      <c r="D28" s="7">
        <v>29.123983041004351</v>
      </c>
      <c r="E28" s="5" t="s">
        <v>75</v>
      </c>
      <c r="F28" s="5" t="s">
        <v>66</v>
      </c>
      <c r="G28" s="7">
        <v>29.123983041004351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8" workbookViewId="0">
      <selection activeCell="C30" sqref="C30"/>
    </sheetView>
  </sheetViews>
  <sheetFormatPr defaultRowHeight="15" x14ac:dyDescent="0.25"/>
  <sheetData>
    <row r="1" spans="1:3" x14ac:dyDescent="0.25">
      <c r="A1" s="1" t="s">
        <v>17</v>
      </c>
    </row>
    <row r="3" spans="1:3" x14ac:dyDescent="0.25">
      <c r="A3" t="s">
        <v>18</v>
      </c>
    </row>
    <row r="4" spans="1:3" x14ac:dyDescent="0.25">
      <c r="B4" s="4" t="s">
        <v>11</v>
      </c>
      <c r="C4" s="4" t="s">
        <v>12</v>
      </c>
    </row>
    <row r="5" spans="1:3" x14ac:dyDescent="0.25">
      <c r="A5" t="s">
        <v>13</v>
      </c>
      <c r="B5">
        <v>10</v>
      </c>
      <c r="C5">
        <v>20</v>
      </c>
    </row>
    <row r="6" spans="1:3" x14ac:dyDescent="0.25">
      <c r="A6" t="s">
        <v>14</v>
      </c>
      <c r="B6">
        <v>60</v>
      </c>
      <c r="C6">
        <v>20</v>
      </c>
    </row>
    <row r="7" spans="1:3" x14ac:dyDescent="0.25">
      <c r="A7" t="s">
        <v>15</v>
      </c>
      <c r="B7">
        <v>40</v>
      </c>
      <c r="C7">
        <v>30</v>
      </c>
    </row>
    <row r="8" spans="1:3" x14ac:dyDescent="0.25">
      <c r="A8" t="s">
        <v>16</v>
      </c>
      <c r="B8">
        <v>80</v>
      </c>
      <c r="C8">
        <v>60</v>
      </c>
    </row>
    <row r="10" spans="1:3" x14ac:dyDescent="0.25">
      <c r="A10" t="s">
        <v>19</v>
      </c>
    </row>
    <row r="11" spans="1:3" x14ac:dyDescent="0.25">
      <c r="A11" t="s">
        <v>13</v>
      </c>
      <c r="B11">
        <v>40</v>
      </c>
    </row>
    <row r="12" spans="1:3" x14ac:dyDescent="0.25">
      <c r="A12" t="s">
        <v>14</v>
      </c>
      <c r="B12">
        <v>25</v>
      </c>
    </row>
    <row r="13" spans="1:3" x14ac:dyDescent="0.25">
      <c r="A13" t="s">
        <v>15</v>
      </c>
      <c r="B13">
        <v>20</v>
      </c>
    </row>
    <row r="14" spans="1:3" x14ac:dyDescent="0.25">
      <c r="A14" t="s">
        <v>16</v>
      </c>
      <c r="B14">
        <v>30</v>
      </c>
    </row>
    <row r="16" spans="1:3" x14ac:dyDescent="0.25">
      <c r="A16" s="1" t="s">
        <v>84</v>
      </c>
    </row>
    <row r="17" spans="1:4" x14ac:dyDescent="0.25">
      <c r="B17" t="s">
        <v>11</v>
      </c>
      <c r="C17" t="s">
        <v>12</v>
      </c>
    </row>
    <row r="18" spans="1:4" x14ac:dyDescent="0.25">
      <c r="B18">
        <v>40.000064849853516</v>
      </c>
      <c r="C18">
        <v>29.123983383178711</v>
      </c>
    </row>
    <row r="20" spans="1:4" x14ac:dyDescent="0.25">
      <c r="A20" t="s">
        <v>85</v>
      </c>
      <c r="D20" t="s">
        <v>19</v>
      </c>
    </row>
    <row r="21" spans="1:4" x14ac:dyDescent="0.25">
      <c r="A21" t="s">
        <v>13</v>
      </c>
      <c r="B21">
        <f>ABS(B5-$B$18)+ABS(C5-$C$18)</f>
        <v>39.124048233032227</v>
      </c>
      <c r="D21">
        <v>40</v>
      </c>
    </row>
    <row r="22" spans="1:4" x14ac:dyDescent="0.25">
      <c r="A22" t="s">
        <v>14</v>
      </c>
      <c r="B22">
        <f t="shared" ref="B22:B24" si="0">ABS(B6-$B$18)+ABS(C6-$C$18)</f>
        <v>29.123918533325195</v>
      </c>
      <c r="D22">
        <v>25</v>
      </c>
    </row>
    <row r="23" spans="1:4" x14ac:dyDescent="0.25">
      <c r="A23" t="s">
        <v>15</v>
      </c>
      <c r="B23">
        <f t="shared" si="0"/>
        <v>0.87608146667480469</v>
      </c>
      <c r="D23">
        <v>20</v>
      </c>
    </row>
    <row r="24" spans="1:4" x14ac:dyDescent="0.25">
      <c r="A24" t="s">
        <v>16</v>
      </c>
      <c r="B24">
        <f t="shared" si="0"/>
        <v>70.875951766967773</v>
      </c>
      <c r="D24">
        <v>30</v>
      </c>
    </row>
    <row r="26" spans="1:4" x14ac:dyDescent="0.25">
      <c r="C26" s="4" t="s">
        <v>86</v>
      </c>
      <c r="D26">
        <f>SUMPRODUCT(B21:B24,D21:D24)</f>
        <v>4436.8600749969482</v>
      </c>
    </row>
    <row r="28" spans="1:4" x14ac:dyDescent="0.25">
      <c r="A28" s="1" t="s">
        <v>79</v>
      </c>
      <c r="B28" t="s">
        <v>93</v>
      </c>
    </row>
    <row r="30" spans="1:4" x14ac:dyDescent="0.25">
      <c r="A3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5"/>
  <sheetViews>
    <sheetView workbookViewId="0">
      <selection activeCell="L9" sqref="L9"/>
    </sheetView>
  </sheetViews>
  <sheetFormatPr defaultRowHeight="15" x14ac:dyDescent="0.25"/>
  <sheetData>
    <row r="1" spans="1:11" x14ac:dyDescent="0.25">
      <c r="A1" s="1" t="s">
        <v>96</v>
      </c>
      <c r="K1" s="12" t="str">
        <f>CONCATENATE("Sensitivity of ",$K$4," to ","Number of fires in Town 3")</f>
        <v>Sensitivity of $B$18 to Number of fires in Town 3</v>
      </c>
    </row>
    <row r="2" spans="1:11" x14ac:dyDescent="0.25">
      <c r="A2" s="1" t="s">
        <v>99</v>
      </c>
    </row>
    <row r="3" spans="1:11" x14ac:dyDescent="0.25">
      <c r="A3" t="s">
        <v>97</v>
      </c>
      <c r="K3" t="s">
        <v>50</v>
      </c>
    </row>
    <row r="4" spans="1:11" ht="32.25" x14ac:dyDescent="0.25">
      <c r="B4" s="10" t="s">
        <v>62</v>
      </c>
      <c r="C4" s="10" t="s">
        <v>63</v>
      </c>
      <c r="J4" s="12">
        <f>MATCH($K$4,OutputAddresses,0)</f>
        <v>1</v>
      </c>
      <c r="K4" s="11" t="s">
        <v>62</v>
      </c>
    </row>
    <row r="5" spans="1:11" x14ac:dyDescent="0.25">
      <c r="A5" s="9">
        <v>0</v>
      </c>
      <c r="B5" s="15">
        <v>60.005587308301614</v>
      </c>
      <c r="C5" s="16">
        <v>20.000000935931745</v>
      </c>
      <c r="K5">
        <f>INDEX(OutputValues,1,$J$4)</f>
        <v>60.005587308301614</v>
      </c>
    </row>
    <row r="6" spans="1:11" x14ac:dyDescent="0.25">
      <c r="A6" s="9">
        <v>2</v>
      </c>
      <c r="B6" s="17">
        <v>59.999926533191292</v>
      </c>
      <c r="C6" s="18">
        <v>20.00000600302856</v>
      </c>
      <c r="K6">
        <f>INDEX(OutputValues,2,$J$4)</f>
        <v>59.999926533191292</v>
      </c>
    </row>
    <row r="7" spans="1:11" x14ac:dyDescent="0.25">
      <c r="A7" s="9">
        <v>4</v>
      </c>
      <c r="B7" s="17">
        <v>46.107168732338614</v>
      </c>
      <c r="C7" s="18">
        <v>20.00000029302138</v>
      </c>
      <c r="K7">
        <f>INDEX(OutputValues,3,$J$4)</f>
        <v>46.107168732338614</v>
      </c>
    </row>
    <row r="8" spans="1:11" x14ac:dyDescent="0.25">
      <c r="A8" s="9">
        <v>6</v>
      </c>
      <c r="B8" s="17">
        <v>45.341387784088084</v>
      </c>
      <c r="C8" s="18">
        <v>20.000000516772666</v>
      </c>
      <c r="K8">
        <f>INDEX(OutputValues,4,$J$4)</f>
        <v>45.341387784088084</v>
      </c>
    </row>
    <row r="9" spans="1:11" x14ac:dyDescent="0.25">
      <c r="A9" s="9">
        <v>8</v>
      </c>
      <c r="B9" s="17">
        <v>59.999664786260752</v>
      </c>
      <c r="C9" s="18">
        <v>20.000000415299343</v>
      </c>
      <c r="K9">
        <f>INDEX(OutputValues,5,$J$4)</f>
        <v>59.999664786260752</v>
      </c>
    </row>
    <row r="10" spans="1:11" x14ac:dyDescent="0.25">
      <c r="A10" s="9">
        <v>10</v>
      </c>
      <c r="B10" s="17">
        <v>59.996897106298462</v>
      </c>
      <c r="C10" s="18">
        <v>20.000001400803697</v>
      </c>
      <c r="K10">
        <f>INDEX(OutputValues,6,$J$4)</f>
        <v>59.996897106298462</v>
      </c>
    </row>
    <row r="11" spans="1:11" x14ac:dyDescent="0.25">
      <c r="A11" s="9">
        <v>12</v>
      </c>
      <c r="B11" s="17">
        <v>42.244968503328394</v>
      </c>
      <c r="C11" s="18">
        <v>20.000000957460735</v>
      </c>
      <c r="K11">
        <f>INDEX(OutputValues,7,$J$4)</f>
        <v>42.244968503328394</v>
      </c>
    </row>
    <row r="12" spans="1:11" x14ac:dyDescent="0.25">
      <c r="A12" s="9">
        <v>14</v>
      </c>
      <c r="B12" s="17">
        <v>40.819632424286816</v>
      </c>
      <c r="C12" s="18">
        <v>20.000004973907913</v>
      </c>
      <c r="K12">
        <f>INDEX(OutputValues,8,$J$4)</f>
        <v>40.819632424286816</v>
      </c>
    </row>
    <row r="13" spans="1:11" x14ac:dyDescent="0.25">
      <c r="A13" s="9">
        <v>16</v>
      </c>
      <c r="B13" s="17">
        <v>40.042866909383356</v>
      </c>
      <c r="C13" s="18">
        <v>20.000000573825535</v>
      </c>
      <c r="K13">
        <f>INDEX(OutputValues,9,$J$4)</f>
        <v>40.042866909383356</v>
      </c>
    </row>
    <row r="14" spans="1:11" x14ac:dyDescent="0.25">
      <c r="A14" s="9">
        <v>18</v>
      </c>
      <c r="B14" s="17">
        <v>40.000053062211734</v>
      </c>
      <c r="C14" s="18">
        <v>19.999999996049421</v>
      </c>
      <c r="K14">
        <f>INDEX(OutputValues,10,$J$4)</f>
        <v>40.000053062211734</v>
      </c>
    </row>
    <row r="15" spans="1:11" x14ac:dyDescent="0.25">
      <c r="A15" s="9">
        <v>20</v>
      </c>
      <c r="B15" s="17">
        <v>39.999909890779939</v>
      </c>
      <c r="C15" s="18">
        <v>20.000000420069181</v>
      </c>
      <c r="K15">
        <f>INDEX(OutputValues,11,$J$4)</f>
        <v>39.999909890779939</v>
      </c>
    </row>
    <row r="16" spans="1:11" x14ac:dyDescent="0.25">
      <c r="A16" s="9">
        <v>22</v>
      </c>
      <c r="B16" s="17">
        <v>39.999999999983906</v>
      </c>
      <c r="C16" s="18">
        <v>29.123919537045108</v>
      </c>
      <c r="K16">
        <f>INDEX(OutputValues,12,$J$4)</f>
        <v>39.999999999983906</v>
      </c>
    </row>
    <row r="17" spans="1:11" x14ac:dyDescent="0.25">
      <c r="A17" s="9">
        <v>24</v>
      </c>
      <c r="B17" s="17">
        <v>39.999999841347837</v>
      </c>
      <c r="C17" s="18">
        <v>29.123941261999349</v>
      </c>
      <c r="K17">
        <f>INDEX(OutputValues,13,$J$4)</f>
        <v>39.999999841347837</v>
      </c>
    </row>
    <row r="18" spans="1:11" x14ac:dyDescent="0.25">
      <c r="A18" s="9">
        <v>26</v>
      </c>
      <c r="B18" s="17">
        <v>39.999999999984858</v>
      </c>
      <c r="C18" s="18">
        <v>29.123955255163235</v>
      </c>
      <c r="K18">
        <f>INDEX(OutputValues,14,$J$4)</f>
        <v>39.999999999984858</v>
      </c>
    </row>
    <row r="19" spans="1:11" x14ac:dyDescent="0.25">
      <c r="A19" s="9">
        <v>28</v>
      </c>
      <c r="B19" s="17">
        <v>39.999999997171734</v>
      </c>
      <c r="C19" s="18">
        <v>29.123964870776188</v>
      </c>
      <c r="K19">
        <f>INDEX(OutputValues,15,$J$4)</f>
        <v>39.999999997171734</v>
      </c>
    </row>
    <row r="20" spans="1:11" x14ac:dyDescent="0.25">
      <c r="A20" s="9">
        <v>30</v>
      </c>
      <c r="B20" s="17">
        <v>40.000000000036259</v>
      </c>
      <c r="C20" s="18">
        <v>29.123971923626382</v>
      </c>
      <c r="K20">
        <f>INDEX(OutputValues,16,$J$4)</f>
        <v>40.000000000036259</v>
      </c>
    </row>
    <row r="21" spans="1:11" x14ac:dyDescent="0.25">
      <c r="A21" s="9">
        <v>32</v>
      </c>
      <c r="B21" s="17">
        <v>39.999999992519662</v>
      </c>
      <c r="C21" s="18">
        <v>29.123977315653981</v>
      </c>
      <c r="K21">
        <f>INDEX(OutputValues,17,$J$4)</f>
        <v>39.999999992519662</v>
      </c>
    </row>
    <row r="22" spans="1:11" x14ac:dyDescent="0.25">
      <c r="A22" s="9">
        <v>34</v>
      </c>
      <c r="B22" s="17">
        <v>39.999999997171329</v>
      </c>
      <c r="C22" s="18">
        <v>29.123981573695666</v>
      </c>
      <c r="K22">
        <f>INDEX(OutputValues,18,$J$4)</f>
        <v>39.999999997171329</v>
      </c>
    </row>
    <row r="23" spans="1:11" x14ac:dyDescent="0.25">
      <c r="A23" s="9">
        <v>36</v>
      </c>
      <c r="B23" s="17">
        <v>40.000000000093578</v>
      </c>
      <c r="C23" s="18">
        <v>29.123985020256221</v>
      </c>
      <c r="K23">
        <f>INDEX(OutputValues,19,$J$4)</f>
        <v>40.000000000093578</v>
      </c>
    </row>
    <row r="24" spans="1:11" x14ac:dyDescent="0.25">
      <c r="A24" s="9">
        <v>38</v>
      </c>
      <c r="B24" s="17">
        <v>39.999999998704702</v>
      </c>
      <c r="C24" s="18">
        <v>29.123987867443613</v>
      </c>
      <c r="K24">
        <f>INDEX(OutputValues,20,$J$4)</f>
        <v>39.999999998704702</v>
      </c>
    </row>
    <row r="25" spans="1:11" x14ac:dyDescent="0.25">
      <c r="A25" s="9">
        <v>40</v>
      </c>
      <c r="B25" s="17">
        <v>39.999999974579524</v>
      </c>
      <c r="C25" s="18">
        <v>29.123990261609162</v>
      </c>
      <c r="K25">
        <f>INDEX(OutputValues,21,$J$4)</f>
        <v>39.999999974579524</v>
      </c>
    </row>
    <row r="26" spans="1:11" x14ac:dyDescent="0.25">
      <c r="A26" s="9">
        <v>42</v>
      </c>
      <c r="B26" s="17">
        <v>39.999999865779451</v>
      </c>
      <c r="C26" s="18">
        <v>29.123992314616761</v>
      </c>
      <c r="K26">
        <f>INDEX(OutputValues,22,$J$4)</f>
        <v>39.999999865779451</v>
      </c>
    </row>
    <row r="27" spans="1:11" x14ac:dyDescent="0.25">
      <c r="A27" s="9">
        <v>44</v>
      </c>
      <c r="B27" s="17">
        <v>39.999999997687127</v>
      </c>
      <c r="C27" s="18">
        <v>29.123994052804044</v>
      </c>
      <c r="K27">
        <f>INDEX(OutputValues,23,$J$4)</f>
        <v>39.999999997687127</v>
      </c>
    </row>
    <row r="28" spans="1:11" x14ac:dyDescent="0.25">
      <c r="A28" s="9">
        <v>46</v>
      </c>
      <c r="B28" s="17">
        <v>39.999999999589434</v>
      </c>
      <c r="C28" s="18">
        <v>29.123995582140786</v>
      </c>
      <c r="K28">
        <f>INDEX(OutputValues,24,$J$4)</f>
        <v>39.999999999589434</v>
      </c>
    </row>
    <row r="29" spans="1:11" x14ac:dyDescent="0.25">
      <c r="A29" s="9">
        <v>48</v>
      </c>
      <c r="B29" s="17">
        <v>39.999999998527827</v>
      </c>
      <c r="C29" s="18">
        <v>29.123996926601876</v>
      </c>
      <c r="K29">
        <f>INDEX(OutputValues,25,$J$4)</f>
        <v>39.999999998527827</v>
      </c>
    </row>
    <row r="30" spans="1:11" x14ac:dyDescent="0.25">
      <c r="A30" s="9">
        <v>50</v>
      </c>
      <c r="B30" s="17">
        <v>39.999999981596979</v>
      </c>
      <c r="C30" s="18">
        <v>29.123998121079278</v>
      </c>
      <c r="K30">
        <f>INDEX(OutputValues,26,$J$4)</f>
        <v>39.999999981596979</v>
      </c>
    </row>
    <row r="31" spans="1:11" x14ac:dyDescent="0.25">
      <c r="A31" s="9">
        <v>52</v>
      </c>
      <c r="B31" s="17">
        <v>39.999999993895408</v>
      </c>
      <c r="C31" s="18">
        <v>29.123999180274119</v>
      </c>
      <c r="K31">
        <f>INDEX(OutputValues,27,$J$4)</f>
        <v>39.999999993895408</v>
      </c>
    </row>
    <row r="32" spans="1:11" x14ac:dyDescent="0.25">
      <c r="A32" s="9">
        <v>54</v>
      </c>
      <c r="B32" s="17">
        <v>39.999999998835769</v>
      </c>
      <c r="C32" s="18">
        <v>29.124000132065284</v>
      </c>
      <c r="K32">
        <f>INDEX(OutputValues,28,$J$4)</f>
        <v>39.999999998835769</v>
      </c>
    </row>
    <row r="33" spans="1:11" x14ac:dyDescent="0.25">
      <c r="A33" s="9">
        <v>56</v>
      </c>
      <c r="B33" s="17">
        <v>39.999999929169434</v>
      </c>
      <c r="C33" s="18">
        <v>29.124001011002687</v>
      </c>
      <c r="K33">
        <f>INDEX(OutputValues,29,$J$4)</f>
        <v>39.999999929169434</v>
      </c>
    </row>
    <row r="34" spans="1:11" x14ac:dyDescent="0.25">
      <c r="A34" s="9">
        <v>58</v>
      </c>
      <c r="B34" s="17">
        <v>39.999999862887847</v>
      </c>
      <c r="C34" s="18">
        <v>29.124001810652427</v>
      </c>
      <c r="K34">
        <f>INDEX(OutputValues,30,$J$4)</f>
        <v>39.999999862887847</v>
      </c>
    </row>
    <row r="35" spans="1:11" x14ac:dyDescent="0.25">
      <c r="A35" s="9">
        <v>60</v>
      </c>
      <c r="B35" s="17">
        <v>39.999999799835528</v>
      </c>
      <c r="C35" s="18">
        <v>29.12400254139412</v>
      </c>
      <c r="K35">
        <f>INDEX(OutputValues,31,$J$4)</f>
        <v>39.999999799835528</v>
      </c>
    </row>
    <row r="36" spans="1:11" x14ac:dyDescent="0.25">
      <c r="A36" s="9">
        <v>62</v>
      </c>
      <c r="B36" s="17">
        <v>39.999999927726002</v>
      </c>
      <c r="C36" s="18">
        <v>29.124003154641887</v>
      </c>
      <c r="K36">
        <f>INDEX(OutputValues,32,$J$4)</f>
        <v>39.999999927726002</v>
      </c>
    </row>
    <row r="37" spans="1:11" x14ac:dyDescent="0.25">
      <c r="A37" s="9">
        <v>64</v>
      </c>
      <c r="B37" s="17">
        <v>39.999999987184154</v>
      </c>
      <c r="C37" s="18">
        <v>29.124003733764781</v>
      </c>
      <c r="K37">
        <f>INDEX(OutputValues,33,$J$4)</f>
        <v>39.999999987184154</v>
      </c>
    </row>
    <row r="38" spans="1:11" x14ac:dyDescent="0.25">
      <c r="A38" s="9">
        <v>66</v>
      </c>
      <c r="B38" s="17">
        <v>40.0000000000922</v>
      </c>
      <c r="C38" s="18">
        <v>29.12400427999107</v>
      </c>
      <c r="K38">
        <f>INDEX(OutputValues,34,$J$4)</f>
        <v>40.0000000000922</v>
      </c>
    </row>
    <row r="39" spans="1:11" x14ac:dyDescent="0.25">
      <c r="A39" s="9">
        <v>68</v>
      </c>
      <c r="B39" s="17">
        <v>39.999999978895985</v>
      </c>
      <c r="C39" s="18">
        <v>29.124004795735736</v>
      </c>
      <c r="K39">
        <f>INDEX(OutputValues,35,$J$4)</f>
        <v>39.999999978895985</v>
      </c>
    </row>
    <row r="40" spans="1:11" x14ac:dyDescent="0.25">
      <c r="A40" s="9">
        <v>70</v>
      </c>
      <c r="B40" s="17">
        <v>39.99999994787224</v>
      </c>
      <c r="C40" s="18">
        <v>29.124005278104679</v>
      </c>
      <c r="K40">
        <f>INDEX(OutputValues,36,$J$4)</f>
        <v>39.99999994787224</v>
      </c>
    </row>
    <row r="41" spans="1:11" x14ac:dyDescent="0.25">
      <c r="A41" s="9">
        <v>72</v>
      </c>
      <c r="B41" s="17">
        <v>39.999999987922592</v>
      </c>
      <c r="C41" s="18">
        <v>29.124005703317014</v>
      </c>
      <c r="K41">
        <f>INDEX(OutputValues,37,$J$4)</f>
        <v>39.999999987922592</v>
      </c>
    </row>
    <row r="42" spans="1:11" x14ac:dyDescent="0.25">
      <c r="A42" s="9">
        <v>74</v>
      </c>
      <c r="B42" s="17">
        <v>39.999999983914378</v>
      </c>
      <c r="C42" s="18">
        <v>29.12400611370478</v>
      </c>
      <c r="K42">
        <f>INDEX(OutputValues,38,$J$4)</f>
        <v>39.999999983914378</v>
      </c>
    </row>
    <row r="43" spans="1:11" x14ac:dyDescent="0.25">
      <c r="A43" s="9">
        <v>76</v>
      </c>
      <c r="B43" s="17">
        <v>39.999999999764583</v>
      </c>
      <c r="C43" s="18">
        <v>29.124006490242401</v>
      </c>
      <c r="K43">
        <f>INDEX(OutputValues,39,$J$4)</f>
        <v>39.999999999764583</v>
      </c>
    </row>
    <row r="44" spans="1:11" x14ac:dyDescent="0.25">
      <c r="A44" s="9">
        <v>78</v>
      </c>
      <c r="B44" s="17">
        <v>39.999999890993585</v>
      </c>
      <c r="C44" s="18">
        <v>29.124006887433069</v>
      </c>
      <c r="K44">
        <f>INDEX(OutputValues,40,$J$4)</f>
        <v>39.999999890993585</v>
      </c>
    </row>
    <row r="45" spans="1:11" x14ac:dyDescent="0.25">
      <c r="A45" s="9">
        <v>80</v>
      </c>
      <c r="B45" s="17">
        <v>39.999999711247767</v>
      </c>
      <c r="C45" s="18">
        <v>29.12400728977477</v>
      </c>
      <c r="K45">
        <f>INDEX(OutputValues,41,$J$4)</f>
        <v>39.999999711247767</v>
      </c>
    </row>
    <row r="46" spans="1:11" x14ac:dyDescent="0.25">
      <c r="A46" s="9">
        <v>82</v>
      </c>
      <c r="B46" s="17">
        <v>39.999971233624422</v>
      </c>
      <c r="C46" s="18">
        <v>29.999997313856564</v>
      </c>
      <c r="K46">
        <f>INDEX(OutputValues,42,$J$4)</f>
        <v>39.999971233624422</v>
      </c>
    </row>
    <row r="47" spans="1:11" x14ac:dyDescent="0.25">
      <c r="A47" s="9">
        <v>84</v>
      </c>
      <c r="B47" s="17">
        <v>39.999975211137745</v>
      </c>
      <c r="C47" s="18">
        <v>29.999984946242815</v>
      </c>
      <c r="K47">
        <f>INDEX(OutputValues,43,$J$4)</f>
        <v>39.999975211137745</v>
      </c>
    </row>
    <row r="48" spans="1:11" x14ac:dyDescent="0.25">
      <c r="A48" s="9">
        <v>86</v>
      </c>
      <c r="B48" s="17">
        <v>39.999980069310745</v>
      </c>
      <c r="C48" s="18">
        <v>29.999998919204373</v>
      </c>
      <c r="K48">
        <f>INDEX(OutputValues,44,$J$4)</f>
        <v>39.999980069310745</v>
      </c>
    </row>
    <row r="49" spans="1:11" x14ac:dyDescent="0.25">
      <c r="A49" s="9">
        <v>88</v>
      </c>
      <c r="B49" s="17">
        <v>39.99998486844968</v>
      </c>
      <c r="C49" s="18">
        <v>29.999951907973809</v>
      </c>
      <c r="K49">
        <f>INDEX(OutputValues,45,$J$4)</f>
        <v>39.99998486844968</v>
      </c>
    </row>
    <row r="50" spans="1:11" x14ac:dyDescent="0.25">
      <c r="A50" s="9">
        <v>90</v>
      </c>
      <c r="B50" s="17">
        <v>39.999986655467133</v>
      </c>
      <c r="C50" s="18">
        <v>29.999952781160076</v>
      </c>
      <c r="K50">
        <f>INDEX(OutputValues,46,$J$4)</f>
        <v>39.999986655467133</v>
      </c>
    </row>
    <row r="51" spans="1:11" x14ac:dyDescent="0.25">
      <c r="A51" s="9">
        <v>92</v>
      </c>
      <c r="B51" s="17">
        <v>39.999987956953738</v>
      </c>
      <c r="C51" s="18">
        <v>29.999972816063813</v>
      </c>
      <c r="K51">
        <f>INDEX(OutputValues,47,$J$4)</f>
        <v>39.999987956953738</v>
      </c>
    </row>
    <row r="52" spans="1:11" x14ac:dyDescent="0.25">
      <c r="A52" s="9">
        <v>94</v>
      </c>
      <c r="B52" s="17">
        <v>39.999988940858557</v>
      </c>
      <c r="C52" s="18">
        <v>29.999997848041822</v>
      </c>
      <c r="K52">
        <f>INDEX(OutputValues,48,$J$4)</f>
        <v>39.999988940858557</v>
      </c>
    </row>
    <row r="53" spans="1:11" x14ac:dyDescent="0.25">
      <c r="A53" s="9">
        <v>96</v>
      </c>
      <c r="B53" s="17">
        <v>39.999983258452346</v>
      </c>
      <c r="C53" s="18">
        <v>29.999999333274847</v>
      </c>
      <c r="K53">
        <f>INDEX(OutputValues,49,$J$4)</f>
        <v>39.999983258452346</v>
      </c>
    </row>
    <row r="54" spans="1:11" x14ac:dyDescent="0.25">
      <c r="A54" s="9">
        <v>98</v>
      </c>
      <c r="B54" s="17">
        <v>39.999992154705147</v>
      </c>
      <c r="C54" s="18">
        <v>29.999957537675261</v>
      </c>
      <c r="K54">
        <f>INDEX(OutputValues,50,$J$4)</f>
        <v>39.999992154705147</v>
      </c>
    </row>
    <row r="55" spans="1:11" x14ac:dyDescent="0.25">
      <c r="A55" s="9">
        <v>100</v>
      </c>
      <c r="B55" s="19">
        <v>39.999965071846084</v>
      </c>
      <c r="C55" s="20">
        <v>29.999980035366089</v>
      </c>
      <c r="K55">
        <f>INDEX(OutputValues,51,$J$4)</f>
        <v>39.999965071846084</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topLeftCell="A52" workbookViewId="0">
      <selection activeCell="A63" sqref="A63"/>
    </sheetView>
  </sheetViews>
  <sheetFormatPr defaultRowHeight="15" x14ac:dyDescent="0.25"/>
  <cols>
    <col min="1" max="1" width="21.5703125" customWidth="1"/>
  </cols>
  <sheetData>
    <row r="1" spans="1:12" x14ac:dyDescent="0.25">
      <c r="A1" s="1" t="s">
        <v>5</v>
      </c>
    </row>
    <row r="3" spans="1:12" x14ac:dyDescent="0.25">
      <c r="A3" s="2" t="s">
        <v>0</v>
      </c>
      <c r="B3" s="2" t="s">
        <v>1</v>
      </c>
      <c r="C3" s="2" t="s">
        <v>2</v>
      </c>
      <c r="D3" s="2" t="s">
        <v>3</v>
      </c>
      <c r="E3" s="2" t="s">
        <v>4</v>
      </c>
      <c r="H3" t="s">
        <v>110</v>
      </c>
    </row>
    <row r="4" spans="1:12" x14ac:dyDescent="0.25">
      <c r="A4" s="2">
        <v>1</v>
      </c>
      <c r="B4" s="3">
        <v>0.08</v>
      </c>
      <c r="C4" s="3">
        <v>0.12</v>
      </c>
      <c r="D4" s="3">
        <v>0.10899999999999999</v>
      </c>
      <c r="E4" s="3">
        <v>0.112</v>
      </c>
      <c r="H4" s="4" t="s">
        <v>1</v>
      </c>
      <c r="I4" s="4" t="s">
        <v>2</v>
      </c>
      <c r="J4" s="4" t="s">
        <v>3</v>
      </c>
      <c r="K4" s="4" t="s">
        <v>4</v>
      </c>
    </row>
    <row r="5" spans="1:12" x14ac:dyDescent="0.25">
      <c r="A5" s="2">
        <v>2</v>
      </c>
      <c r="B5" s="3">
        <v>9.1999999999999998E-2</v>
      </c>
      <c r="C5" s="3">
        <v>8.5000000000000006E-2</v>
      </c>
      <c r="D5" s="3">
        <v>0.22</v>
      </c>
      <c r="E5" s="3">
        <v>0.108</v>
      </c>
      <c r="G5" s="4" t="s">
        <v>1</v>
      </c>
      <c r="H5" s="22">
        <f>_xlfn.COVARIANCE.S($B$4:$B$16,B4:B16)</f>
        <v>3.0112435897435893E-3</v>
      </c>
      <c r="I5" s="22">
        <f>_xlfn.COVARIANCE.S($B$4:$B$16,C4:C16)</f>
        <v>9.9884615384615466E-5</v>
      </c>
      <c r="J5" s="22">
        <f>_xlfn.COVARIANCE.S($B$4:$B$16,D4:D16)</f>
        <v>-5.601044871794871E-3</v>
      </c>
      <c r="K5" s="22">
        <f>_xlfn.COVARIANCE.S($B$4:$B$16,E4:E16)</f>
        <v>-3.4291666666666655E-4</v>
      </c>
      <c r="L5" t="s">
        <v>109</v>
      </c>
    </row>
    <row r="6" spans="1:12" x14ac:dyDescent="0.25">
      <c r="A6" s="2">
        <v>3</v>
      </c>
      <c r="B6" s="3">
        <v>7.6999999999999999E-2</v>
      </c>
      <c r="C6" s="3">
        <v>0.13</v>
      </c>
      <c r="D6" s="3">
        <v>0.19</v>
      </c>
      <c r="E6" s="3">
        <v>9.7000000000000003E-2</v>
      </c>
      <c r="G6" s="4" t="s">
        <v>2</v>
      </c>
      <c r="H6" s="22">
        <f>_xlfn.COVARIANCE.S($C$4:$C$16,B4:B16)</f>
        <v>9.9884615384615466E-5</v>
      </c>
      <c r="I6" s="22">
        <f>_xlfn.COVARIANCE.S($C$4:$C$16,C4:C16)</f>
        <v>4.8204230769230763E-3</v>
      </c>
      <c r="J6" s="22">
        <f>_xlfn.COVARIANCE.S($C$4:$C$16,D4:D16)</f>
        <v>6.0485897435897436E-4</v>
      </c>
      <c r="K6" s="22">
        <f>_xlfn.COVARIANCE.S($C$4:$C$16,E4:E16)</f>
        <v>3.3500000000000076E-5</v>
      </c>
    </row>
    <row r="7" spans="1:12" x14ac:dyDescent="0.25">
      <c r="A7" s="2">
        <v>4</v>
      </c>
      <c r="B7" s="3">
        <v>6.6000000000000003E-2</v>
      </c>
      <c r="C7" s="3">
        <v>-2.5999999999999999E-2</v>
      </c>
      <c r="D7" s="3">
        <v>0.379</v>
      </c>
      <c r="E7" s="3">
        <v>0.11600000000000001</v>
      </c>
      <c r="G7" s="4" t="s">
        <v>3</v>
      </c>
      <c r="H7" s="22">
        <f>_xlfn.COVARIANCE.S($D$4:$D$16,B4:B16)</f>
        <v>-5.601044871794871E-3</v>
      </c>
      <c r="I7" s="22">
        <f>_xlfn.COVARIANCE.S($D$4:$D$16,C4:C16)</f>
        <v>6.0485897435897436E-4</v>
      </c>
      <c r="J7" s="22">
        <f>_xlfn.COVARIANCE.S($D$4:$D$16,D4:D16)</f>
        <v>3.6895769230769232E-2</v>
      </c>
      <c r="K7" s="22">
        <f>_xlfn.COVARIANCE.S($D$4:$D$16,E4:E16)</f>
        <v>4.4654166666666661E-3</v>
      </c>
    </row>
    <row r="8" spans="1:12" x14ac:dyDescent="0.25">
      <c r="A8" s="2">
        <v>5</v>
      </c>
      <c r="B8" s="3">
        <v>0.185</v>
      </c>
      <c r="C8" s="3">
        <v>7.8E-2</v>
      </c>
      <c r="D8" s="3">
        <v>-0.11799999999999999</v>
      </c>
      <c r="E8" s="3">
        <v>-1.5999999999999997E-2</v>
      </c>
      <c r="G8" s="4" t="s">
        <v>4</v>
      </c>
      <c r="H8">
        <f>_xlfn.COVARIANCE.S($E$4:$E$16,B4:B16)</f>
        <v>-3.4291666666666655E-4</v>
      </c>
      <c r="I8">
        <f>_xlfn.COVARIANCE.S($E$4:$E$16,C4:C16)</f>
        <v>3.3500000000000076E-5</v>
      </c>
      <c r="J8">
        <f>_xlfn.COVARIANCE.S($E$4:$E$16,D4:D16)</f>
        <v>4.4654166666666661E-3</v>
      </c>
      <c r="K8">
        <f>_xlfn.COVARIANCE.S($E$4:$E$16,E4:E16)</f>
        <v>2.6160000000000003E-3</v>
      </c>
    </row>
    <row r="9" spans="1:12" x14ac:dyDescent="0.25">
      <c r="A9" s="2">
        <v>6</v>
      </c>
      <c r="B9" s="3">
        <v>7.3999999999999996E-2</v>
      </c>
      <c r="C9" s="3">
        <v>3.2000000000000001E-2</v>
      </c>
      <c r="D9" s="3">
        <v>0.129</v>
      </c>
      <c r="E9" s="3">
        <v>-4.0999999999999995E-2</v>
      </c>
    </row>
    <row r="10" spans="1:12" x14ac:dyDescent="0.25">
      <c r="A10" s="2">
        <v>7</v>
      </c>
      <c r="B10" s="3">
        <v>0.13</v>
      </c>
      <c r="C10" s="3">
        <v>9.8000000000000004E-2</v>
      </c>
      <c r="D10" s="3">
        <v>-7.4999999999999997E-2</v>
      </c>
      <c r="E10" s="3">
        <v>8.6000000000000007E-2</v>
      </c>
    </row>
    <row r="11" spans="1:12" x14ac:dyDescent="0.25">
      <c r="A11" s="2">
        <v>8</v>
      </c>
      <c r="B11" s="3">
        <v>0.22</v>
      </c>
      <c r="C11" s="3">
        <v>0.13500000000000001</v>
      </c>
      <c r="D11" s="3">
        <v>9.2999999999999999E-2</v>
      </c>
      <c r="E11" s="3">
        <v>6.8000000000000005E-2</v>
      </c>
    </row>
    <row r="12" spans="1:12" x14ac:dyDescent="0.25">
      <c r="A12" s="2">
        <v>9</v>
      </c>
      <c r="B12" s="3">
        <v>0.14000000000000001</v>
      </c>
      <c r="C12" s="3">
        <v>6.5000000000000002E-2</v>
      </c>
      <c r="D12" s="3">
        <v>0.48699999999999999</v>
      </c>
      <c r="E12" s="3">
        <v>0.11899999999999999</v>
      </c>
    </row>
    <row r="13" spans="1:12" x14ac:dyDescent="0.25">
      <c r="A13" s="2">
        <v>10</v>
      </c>
      <c r="B13" s="3">
        <v>0.20499999999999999</v>
      </c>
      <c r="C13" s="3">
        <v>-3.5000000000000003E-2</v>
      </c>
      <c r="D13" s="3">
        <v>-1.9E-2</v>
      </c>
      <c r="E13" s="3">
        <v>0.12</v>
      </c>
    </row>
    <row r="14" spans="1:12" x14ac:dyDescent="0.25">
      <c r="A14" s="2">
        <v>11</v>
      </c>
      <c r="B14" s="3">
        <v>0.14000000000000001</v>
      </c>
      <c r="C14" s="3">
        <v>0.17499999999999999</v>
      </c>
      <c r="D14" s="3">
        <v>0.191</v>
      </c>
      <c r="E14" s="3">
        <v>8.3000000000000004E-2</v>
      </c>
    </row>
    <row r="15" spans="1:12" x14ac:dyDescent="0.25">
      <c r="A15" s="2">
        <v>12</v>
      </c>
      <c r="B15" s="3">
        <v>0.19</v>
      </c>
      <c r="C15" s="3">
        <v>0.14499999999999999</v>
      </c>
      <c r="D15" s="3">
        <v>-3.4000000000000002E-2</v>
      </c>
      <c r="E15" s="3">
        <v>0.06</v>
      </c>
    </row>
    <row r="16" spans="1:12" x14ac:dyDescent="0.25">
      <c r="A16" s="2">
        <v>13</v>
      </c>
      <c r="B16" s="3">
        <v>0.09</v>
      </c>
      <c r="C16" s="3">
        <v>0.189</v>
      </c>
      <c r="D16" s="3">
        <v>0.43</v>
      </c>
      <c r="E16" s="3">
        <v>0.10200000000000001</v>
      </c>
    </row>
    <row r="18" spans="1:8" x14ac:dyDescent="0.25">
      <c r="A18" t="s">
        <v>108</v>
      </c>
      <c r="B18" s="21">
        <f>AVERAGE(B4:B16)</f>
        <v>0.12992307692307695</v>
      </c>
      <c r="C18" s="21">
        <f>AVERAGE(C4:C16)</f>
        <v>9.1615384615384626E-2</v>
      </c>
      <c r="D18" s="21">
        <f>AVERAGE(D4:D16)</f>
        <v>0.15246153846153845</v>
      </c>
      <c r="E18" s="21">
        <f>AVERAGE(E4:E16)</f>
        <v>7.8E-2</v>
      </c>
    </row>
    <row r="19" spans="1:8" x14ac:dyDescent="0.25">
      <c r="A19" t="s">
        <v>107</v>
      </c>
      <c r="B19" s="21">
        <f>_xlfn.STDEV.S(B4:B16)</f>
        <v>5.4874799222808864E-2</v>
      </c>
      <c r="C19" s="21">
        <f>_xlfn.STDEV.S(C4:C16)</f>
        <v>6.9429266717451935E-2</v>
      </c>
      <c r="D19" s="21">
        <f>_xlfn.STDEV.S(D4:D16)</f>
        <v>0.19208271455487405</v>
      </c>
      <c r="E19" s="21">
        <f>_xlfn.STDEV.S(E4:E16)</f>
        <v>5.1146847410177693E-2</v>
      </c>
    </row>
    <row r="20" spans="1:8" x14ac:dyDescent="0.25">
      <c r="A20" t="s">
        <v>106</v>
      </c>
      <c r="B20" s="22">
        <f>_xlfn.VAR.S(B4:B16)</f>
        <v>3.0112435897435841E-3</v>
      </c>
      <c r="C20" s="22">
        <f>_xlfn.VAR.S(C4:C16)</f>
        <v>4.8204230769230789E-3</v>
      </c>
      <c r="D20" s="22">
        <f>_xlfn.VAR.S(D4:D16)</f>
        <v>3.6895769230769225E-2</v>
      </c>
      <c r="E20" s="22">
        <f>_xlfn.VAR.S(E4:E16)</f>
        <v>2.6160000000000003E-3</v>
      </c>
    </row>
    <row r="22" spans="1:8" x14ac:dyDescent="0.25">
      <c r="A22" t="s">
        <v>105</v>
      </c>
    </row>
    <row r="23" spans="1:8" x14ac:dyDescent="0.25">
      <c r="B23" s="4" t="s">
        <v>1</v>
      </c>
      <c r="C23" s="4" t="s">
        <v>2</v>
      </c>
      <c r="D23" s="4" t="s">
        <v>3</v>
      </c>
      <c r="E23" s="4" t="s">
        <v>4</v>
      </c>
    </row>
    <row r="24" spans="1:8" x14ac:dyDescent="0.25">
      <c r="A24" t="s">
        <v>122</v>
      </c>
      <c r="B24" s="31">
        <v>1</v>
      </c>
      <c r="C24" s="31">
        <v>0</v>
      </c>
      <c r="D24" s="31">
        <v>0</v>
      </c>
      <c r="E24" s="32">
        <v>0</v>
      </c>
      <c r="F24" s="21">
        <f>SUM(B24:E24)</f>
        <v>1</v>
      </c>
      <c r="G24" t="s">
        <v>100</v>
      </c>
      <c r="H24" s="23">
        <v>1</v>
      </c>
    </row>
    <row r="26" spans="1:8" x14ac:dyDescent="0.25">
      <c r="A26" t="s">
        <v>124</v>
      </c>
      <c r="B26" s="21">
        <f>SUMPRODUCT($B$18:$E$18,B24:E24)</f>
        <v>0.12992307692307695</v>
      </c>
      <c r="C26" s="21"/>
      <c r="D26" s="21"/>
    </row>
    <row r="27" spans="1:8" x14ac:dyDescent="0.25">
      <c r="A27" t="s">
        <v>106</v>
      </c>
      <c r="B27" s="22">
        <f t="array" ref="B27">MMULT(MMULT(B24:E24,$H$5:$K$8),TRANSPOSE(B24:E24))</f>
        <v>3.0112435897435893E-3</v>
      </c>
      <c r="C27" s="21"/>
    </row>
    <row r="28" spans="1:8" x14ac:dyDescent="0.25">
      <c r="A28" t="s">
        <v>123</v>
      </c>
      <c r="B28" s="21">
        <f>SQRT(B27)</f>
        <v>5.4874799222808912E-2</v>
      </c>
    </row>
    <row r="30" spans="1:8" x14ac:dyDescent="0.25">
      <c r="A30" t="s">
        <v>104</v>
      </c>
    </row>
    <row r="31" spans="1:8" x14ac:dyDescent="0.25">
      <c r="B31" s="4" t="s">
        <v>1</v>
      </c>
      <c r="C31" s="4" t="s">
        <v>2</v>
      </c>
      <c r="D31" s="4" t="s">
        <v>3</v>
      </c>
      <c r="E31" s="4" t="s">
        <v>4</v>
      </c>
    </row>
    <row r="32" spans="1:8" x14ac:dyDescent="0.25">
      <c r="A32" t="s">
        <v>122</v>
      </c>
      <c r="B32" s="31">
        <v>0</v>
      </c>
      <c r="C32" s="31">
        <v>0</v>
      </c>
      <c r="D32" s="31">
        <v>0.99999999999999956</v>
      </c>
      <c r="E32" s="32">
        <v>0</v>
      </c>
      <c r="F32" s="21">
        <f>SUM(B32:E32)</f>
        <v>0.99999999999999956</v>
      </c>
      <c r="G32" t="s">
        <v>100</v>
      </c>
      <c r="H32" s="23">
        <v>1</v>
      </c>
    </row>
    <row r="34" spans="1:8" x14ac:dyDescent="0.25">
      <c r="A34" t="s">
        <v>124</v>
      </c>
      <c r="B34" s="21">
        <f>SUMPRODUCT($B$18:$E$18,B32:E32)</f>
        <v>0.1524615384615384</v>
      </c>
      <c r="C34" s="21"/>
      <c r="D34" s="21"/>
    </row>
    <row r="35" spans="1:8" x14ac:dyDescent="0.25">
      <c r="A35" t="s">
        <v>106</v>
      </c>
      <c r="B35" s="22">
        <f t="array" ref="B35">MMULT(MMULT(B32:E32,$H$5:$K$8),TRANSPOSE(B32:E32))</f>
        <v>3.6895769230769204E-2</v>
      </c>
      <c r="C35" s="21"/>
    </row>
    <row r="36" spans="1:8" x14ac:dyDescent="0.25">
      <c r="A36" t="s">
        <v>123</v>
      </c>
      <c r="B36" s="21">
        <f>SQRT(B35)</f>
        <v>0.192082714554874</v>
      </c>
    </row>
    <row r="38" spans="1:8" x14ac:dyDescent="0.25">
      <c r="A38" t="s">
        <v>82</v>
      </c>
    </row>
    <row r="39" spans="1:8" x14ac:dyDescent="0.25">
      <c r="B39" s="4" t="s">
        <v>1</v>
      </c>
      <c r="C39" s="4" t="s">
        <v>2</v>
      </c>
      <c r="D39" s="4" t="s">
        <v>3</v>
      </c>
      <c r="E39" s="4" t="s">
        <v>4</v>
      </c>
    </row>
    <row r="40" spans="1:8" x14ac:dyDescent="0.25">
      <c r="A40" t="s">
        <v>122</v>
      </c>
      <c r="B40" s="31">
        <v>0.74698882351634754</v>
      </c>
      <c r="C40" s="31">
        <v>9.2455455645214166E-2</v>
      </c>
      <c r="D40" s="31">
        <v>0.16055572083843808</v>
      </c>
      <c r="E40" s="32">
        <v>0</v>
      </c>
      <c r="F40" s="21">
        <f>SUM(B40:E40)</f>
        <v>0.99999999999999978</v>
      </c>
      <c r="G40" t="s">
        <v>100</v>
      </c>
      <c r="H40" s="23">
        <v>1</v>
      </c>
    </row>
    <row r="42" spans="1:8" x14ac:dyDescent="0.25">
      <c r="A42" t="s">
        <v>124</v>
      </c>
      <c r="B42" s="21">
        <f>SUMPRODUCT($B$18:$E$18,B40:E40)</f>
        <v>0.13000000071494966</v>
      </c>
      <c r="C42" s="21" t="s">
        <v>103</v>
      </c>
      <c r="D42" s="21">
        <v>0.13</v>
      </c>
    </row>
    <row r="43" spans="1:8" x14ac:dyDescent="0.25">
      <c r="A43" t="s">
        <v>106</v>
      </c>
      <c r="B43" s="22">
        <f t="array" ref="B43">MMULT(MMULT(B40:E40,$H$5:$K$8),TRANSPOSE(B40:E40))</f>
        <v>1.3608102050170947E-3</v>
      </c>
      <c r="C43" s="21"/>
    </row>
    <row r="44" spans="1:8" x14ac:dyDescent="0.25">
      <c r="A44" t="s">
        <v>123</v>
      </c>
      <c r="B44" s="21">
        <f>SQRT(B43)</f>
        <v>3.6889161077708107E-2</v>
      </c>
    </row>
    <row r="46" spans="1:8" x14ac:dyDescent="0.25">
      <c r="A46" t="s">
        <v>102</v>
      </c>
    </row>
    <row r="47" spans="1:8" x14ac:dyDescent="0.25">
      <c r="B47" s="4" t="s">
        <v>1</v>
      </c>
      <c r="C47" s="4" t="s">
        <v>2</v>
      </c>
      <c r="D47" s="4" t="s">
        <v>3</v>
      </c>
      <c r="E47" s="4" t="s">
        <v>4</v>
      </c>
    </row>
    <row r="48" spans="1:8" x14ac:dyDescent="0.25">
      <c r="A48" t="s">
        <v>122</v>
      </c>
      <c r="B48" s="31">
        <v>0.6890194843315417</v>
      </c>
      <c r="C48" s="31">
        <v>0.11895962666938809</v>
      </c>
      <c r="D48" s="31">
        <v>0.14007256141779501</v>
      </c>
      <c r="E48" s="32">
        <v>5.1948327584532085E-2</v>
      </c>
      <c r="F48" s="21">
        <f>SUM(B48:E48)</f>
        <v>1.000000000003257</v>
      </c>
      <c r="G48" t="s">
        <v>100</v>
      </c>
      <c r="H48" s="23">
        <v>1</v>
      </c>
    </row>
    <row r="50" spans="1:8" x14ac:dyDescent="0.25">
      <c r="A50" t="s">
        <v>124</v>
      </c>
      <c r="B50" s="21">
        <f>SUMPRODUCT($B$18:$E$18,B48:E48)</f>
        <v>0.12582571117692312</v>
      </c>
      <c r="C50" s="21"/>
      <c r="D50" s="21"/>
    </row>
    <row r="51" spans="1:8" x14ac:dyDescent="0.25">
      <c r="A51" t="s">
        <v>106</v>
      </c>
      <c r="B51" s="22">
        <f t="array" ref="B51">MMULT(MMULT(B48:E48,$H$5:$K$8),TRANSPOSE(B48:E48))</f>
        <v>1.2250023707220733E-3</v>
      </c>
      <c r="C51" s="21"/>
    </row>
    <row r="52" spans="1:8" x14ac:dyDescent="0.25">
      <c r="A52" t="s">
        <v>123</v>
      </c>
      <c r="B52" s="21">
        <f>SQRT(B51)</f>
        <v>3.5000033867441806E-2</v>
      </c>
      <c r="C52" t="s">
        <v>68</v>
      </c>
      <c r="D52" s="21">
        <v>3.5000000000000003E-2</v>
      </c>
    </row>
    <row r="54" spans="1:8" x14ac:dyDescent="0.25">
      <c r="A54" t="s">
        <v>101</v>
      </c>
    </row>
    <row r="55" spans="1:8" x14ac:dyDescent="0.25">
      <c r="B55" s="4" t="s">
        <v>1</v>
      </c>
      <c r="C55" s="4" t="s">
        <v>2</v>
      </c>
      <c r="D55" s="4" t="s">
        <v>3</v>
      </c>
      <c r="E55" s="4" t="s">
        <v>4</v>
      </c>
    </row>
    <row r="56" spans="1:8" x14ac:dyDescent="0.25">
      <c r="A56" t="s">
        <v>122</v>
      </c>
      <c r="B56" s="31">
        <v>0</v>
      </c>
      <c r="C56" s="31">
        <v>0</v>
      </c>
      <c r="D56" s="31">
        <v>1.0000000789402956</v>
      </c>
      <c r="E56" s="32">
        <v>0</v>
      </c>
      <c r="F56" s="21">
        <f>SUM(B56:E56)</f>
        <v>1.0000000789402956</v>
      </c>
      <c r="G56" t="s">
        <v>100</v>
      </c>
      <c r="H56" s="23">
        <v>1</v>
      </c>
    </row>
    <row r="58" spans="1:8" x14ac:dyDescent="0.25">
      <c r="A58" t="s">
        <v>125</v>
      </c>
      <c r="B58" s="21">
        <f>SUMPRODUCT($B$18:$E$18,B56:E56)</f>
        <v>0.15246155049689739</v>
      </c>
      <c r="C58" s="21"/>
      <c r="D58" s="21"/>
    </row>
    <row r="59" spans="1:8" x14ac:dyDescent="0.25">
      <c r="A59" t="s">
        <v>106</v>
      </c>
      <c r="B59" s="22">
        <f t="array" ref="B59">MMULT(MMULT(B56:E56,$H$5:$K$8),TRANSPOSE(B56:E56))</f>
        <v>3.6895775055895329E-2</v>
      </c>
      <c r="C59" s="21"/>
    </row>
    <row r="60" spans="1:8" x14ac:dyDescent="0.25">
      <c r="A60" t="s">
        <v>123</v>
      </c>
      <c r="B60" s="21">
        <f>SQRT(B59)</f>
        <v>0.19208272971794035</v>
      </c>
      <c r="D60" s="21"/>
    </row>
    <row r="61" spans="1:8" x14ac:dyDescent="0.25">
      <c r="A61" t="s">
        <v>126</v>
      </c>
      <c r="B61">
        <f>((1-0.95)*B58)-(0.95*B59)</f>
        <v>-2.7427908778255683E-2</v>
      </c>
    </row>
    <row r="63" spans="1:8" x14ac:dyDescent="0.25">
      <c r="A63" t="s">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sheetData>
    <row r="1" spans="1:2" x14ac:dyDescent="0.25">
      <c r="A1">
        <v>1</v>
      </c>
    </row>
    <row r="2" spans="1:2" x14ac:dyDescent="0.25">
      <c r="A2" t="s">
        <v>94</v>
      </c>
    </row>
    <row r="3" spans="1:2" x14ac:dyDescent="0.25">
      <c r="A3">
        <v>1</v>
      </c>
    </row>
    <row r="4" spans="1:2" x14ac:dyDescent="0.25">
      <c r="A4">
        <v>0</v>
      </c>
    </row>
    <row r="5" spans="1:2" x14ac:dyDescent="0.25">
      <c r="A5">
        <v>100</v>
      </c>
    </row>
    <row r="6" spans="1:2" x14ac:dyDescent="0.25">
      <c r="A6">
        <v>2</v>
      </c>
    </row>
    <row r="8" spans="1:2" x14ac:dyDescent="0.25">
      <c r="A8" s="8"/>
      <c r="B8" s="8"/>
    </row>
    <row r="9" spans="1:2" x14ac:dyDescent="0.25">
      <c r="A9" t="s">
        <v>98</v>
      </c>
    </row>
    <row r="10" spans="1:2" x14ac:dyDescent="0.25">
      <c r="A10" t="s">
        <v>95</v>
      </c>
    </row>
    <row r="15" spans="1:2" x14ac:dyDescent="0.25">
      <c r="B15"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sheetData>
    <row r="1" spans="1:2" x14ac:dyDescent="0.25">
      <c r="A1">
        <v>1</v>
      </c>
    </row>
    <row r="2" spans="1:2" x14ac:dyDescent="0.25">
      <c r="A2" t="s">
        <v>47</v>
      </c>
    </row>
    <row r="3" spans="1:2" x14ac:dyDescent="0.25">
      <c r="A3">
        <v>1</v>
      </c>
    </row>
    <row r="4" spans="1:2" x14ac:dyDescent="0.25">
      <c r="A4">
        <v>-55</v>
      </c>
    </row>
    <row r="5" spans="1:2" x14ac:dyDescent="0.25">
      <c r="A5">
        <v>45</v>
      </c>
    </row>
    <row r="6" spans="1:2" x14ac:dyDescent="0.25">
      <c r="A6">
        <v>20</v>
      </c>
    </row>
    <row r="8" spans="1:2" x14ac:dyDescent="0.25">
      <c r="A8" s="8"/>
      <c r="B8" s="8"/>
    </row>
    <row r="9" spans="1:2" x14ac:dyDescent="0.25">
      <c r="A9" t="s">
        <v>45</v>
      </c>
    </row>
    <row r="10" spans="1:2" x14ac:dyDescent="0.25">
      <c r="A10" t="s">
        <v>48</v>
      </c>
    </row>
    <row r="15" spans="1:2" x14ac:dyDescent="0.25">
      <c r="B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Exchange Rates</vt:lpstr>
      <vt:lpstr>Exchange Rates Solver Table</vt:lpstr>
      <vt:lpstr>Answer Report 1</vt:lpstr>
      <vt:lpstr>Advertising</vt:lpstr>
      <vt:lpstr>Answer Report 2</vt:lpstr>
      <vt:lpstr>Monroe County</vt:lpstr>
      <vt:lpstr>STS_2</vt:lpstr>
      <vt:lpstr>Martine Santana</vt:lpstr>
      <vt:lpstr>'Exchange Rates Solver Table'!ChartData</vt:lpstr>
      <vt:lpstr>STS_2!ChartData</vt:lpstr>
      <vt:lpstr>'Exchange Rates Solver Table'!InputValues</vt:lpstr>
      <vt:lpstr>STS_2!InputValues</vt:lpstr>
      <vt:lpstr>'Exchange Rates Solver Table'!OutputAddresses</vt:lpstr>
      <vt:lpstr>STS_2!OutputAddresses</vt:lpstr>
      <vt:lpstr>'Exchange Rates Solver Table'!OutputValues</vt:lpstr>
      <vt:lpstr>STS_2!OutputValues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Murphy</dc:creator>
  <cp:lastModifiedBy>hp</cp:lastModifiedBy>
  <dcterms:created xsi:type="dcterms:W3CDTF">2022-02-16T09:45:41Z</dcterms:created>
  <dcterms:modified xsi:type="dcterms:W3CDTF">2022-02-24T04:48:54Z</dcterms:modified>
</cp:coreProperties>
</file>