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fg45k\Dropbox\Papers and Literature handy duplicates\"/>
    </mc:Choice>
  </mc:AlternateContent>
  <xr:revisionPtr revIDLastSave="0" documentId="13_ncr:1_{8153D0D0-2563-43AE-8DDD-287623E049F6}" xr6:coauthVersionLast="47" xr6:coauthVersionMax="47" xr10:uidLastSave="{00000000-0000-0000-0000-000000000000}"/>
  <bookViews>
    <workbookView xWindow="-27180" yWindow="1110" windowWidth="27180" windowHeight="14490" tabRatio="887" xr2:uid="{00000000-000D-0000-FFFF-FFFF00000000}"/>
  </bookViews>
  <sheets>
    <sheet name="About this workbook" sheetId="16" r:id="rId1"/>
    <sheet name="Disclaimer" sheetId="21" r:id="rId2"/>
    <sheet name="Textbook" sheetId="14" r:id="rId3"/>
    <sheet name="Discounted cash flow" sheetId="3" r:id="rId4"/>
    <sheet name="Ammonia price history" sheetId="20" r:id="rId5"/>
    <sheet name="Cost of Manuf COMd modified" sheetId="10" r:id="rId6"/>
    <sheet name="CEPCI" sheetId="17" r:id="rId7"/>
    <sheet name="CAPEX via paper Malmali et al" sheetId="12" r:id="rId8"/>
    <sheet name=" CAPEX Grundt et al 6 10 rule" sheetId="2" r:id="rId9"/>
    <sheet name="H-B Capex from Ammoniaenergy.or" sheetId="18" r:id="rId10"/>
    <sheet name="CAPEX by DOE for electrolysis" sheetId="5" r:id="rId11"/>
    <sheet name="Reverse Osmosis CAPEX" sheetId="6" r:id="rId12"/>
    <sheet name="Renewable H2 Tax Credit" sheetId="19" r:id="rId13"/>
    <sheet name="CAPEX Haber Bosch" sheetId="7" r:id="rId14"/>
    <sheet name="CAPEX NH3 storage" sheetId="8" r:id="rId15"/>
    <sheet name="CAPEX Instrument. and control" sheetId="9"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6" i="3" l="1"/>
  <c r="D24" i="3" a="1"/>
  <c r="D24" i="3" s="1"/>
  <c r="D6" i="3"/>
  <c r="I28" i="3"/>
  <c r="C9" i="19"/>
  <c r="D4" i="3" s="1"/>
  <c r="C7" i="19"/>
  <c r="B12" i="2" l="1"/>
  <c r="E9" i="3" l="1"/>
  <c r="L8" i="10" l="1"/>
  <c r="M8" i="10" s="1"/>
  <c r="D11" i="3"/>
  <c r="G25" i="18"/>
  <c r="G33" i="18" s="1"/>
  <c r="E25" i="18"/>
  <c r="E33" i="18" s="1"/>
  <c r="Q9" i="18"/>
  <c r="O16" i="18"/>
  <c r="O17" i="18" s="1"/>
  <c r="O14" i="18"/>
  <c r="F29" i="10" l="1"/>
  <c r="E12" i="3" l="1"/>
  <c r="D30" i="3" l="1"/>
  <c r="D29" i="3"/>
  <c r="F30" i="3"/>
  <c r="F29" i="3"/>
  <c r="F28" i="3"/>
  <c r="H8" i="10" l="1"/>
  <c r="E31" i="3" l="1"/>
  <c r="E32" i="3"/>
  <c r="E33" i="3"/>
  <c r="E34" i="3"/>
  <c r="E35" i="3"/>
  <c r="E36" i="3"/>
  <c r="D58" i="3"/>
  <c r="G30" i="3" l="1"/>
  <c r="G29" i="3"/>
  <c r="J29" i="3" s="1"/>
  <c r="C29" i="12"/>
  <c r="C30" i="12" s="1"/>
  <c r="F16" i="12"/>
  <c r="F10" i="12"/>
  <c r="K39" i="12" s="1"/>
  <c r="J30" i="3" l="1"/>
  <c r="I30" i="3"/>
  <c r="F17" i="12"/>
  <c r="E29" i="12" s="1"/>
  <c r="C22" i="12"/>
  <c r="C25" i="12" s="1"/>
  <c r="C31" i="12"/>
  <c r="H29" i="12" l="1"/>
  <c r="E30" i="12"/>
  <c r="H30" i="12" s="1"/>
  <c r="H31" i="12"/>
  <c r="H39" i="12" s="1"/>
  <c r="L15" i="3"/>
  <c r="L16" i="3" s="1"/>
  <c r="I14" i="10" l="1"/>
  <c r="I13" i="10"/>
  <c r="I12" i="10"/>
  <c r="F5" i="10"/>
  <c r="J12" i="10" s="1"/>
  <c r="F23" i="10"/>
  <c r="D21" i="3" s="1"/>
  <c r="F28" i="10" s="1"/>
  <c r="F30" i="10" s="1"/>
  <c r="F9" i="10" s="1"/>
  <c r="F13" i="10" s="1"/>
  <c r="F8" i="10"/>
  <c r="F14" i="10" s="1"/>
  <c r="H9" i="10" l="1"/>
  <c r="J13" i="10"/>
  <c r="J14" i="10"/>
  <c r="J15" i="10" s="1"/>
  <c r="J16" i="10" s="1"/>
  <c r="H58" i="3" s="1"/>
  <c r="F12" i="10"/>
  <c r="F16" i="10" s="1"/>
  <c r="F11" i="5"/>
  <c r="F13" i="5" s="1"/>
  <c r="F19" i="5" s="1"/>
  <c r="H48" i="3" l="1"/>
  <c r="H50" i="3"/>
  <c r="H43" i="3"/>
  <c r="H56" i="3"/>
  <c r="H52" i="3"/>
  <c r="H35" i="3"/>
  <c r="H41" i="3"/>
  <c r="H40" i="3"/>
  <c r="H39" i="3"/>
  <c r="H47" i="3"/>
  <c r="H32" i="3"/>
  <c r="H45" i="3"/>
  <c r="H34" i="3"/>
  <c r="H31" i="3"/>
  <c r="H55" i="3"/>
  <c r="H44" i="3"/>
  <c r="H57" i="3"/>
  <c r="H46" i="3"/>
  <c r="H33" i="3"/>
  <c r="H49" i="3"/>
  <c r="H51" i="3"/>
  <c r="H38" i="3"/>
  <c r="H54" i="3"/>
  <c r="H37" i="3"/>
  <c r="H53" i="3"/>
  <c r="H36" i="3"/>
  <c r="H42" i="3"/>
  <c r="D19" i="3"/>
  <c r="G31" i="3" s="1"/>
  <c r="D28" i="3"/>
  <c r="G58" i="3" l="1"/>
  <c r="I58" i="3" s="1"/>
  <c r="G54" i="3"/>
  <c r="I54" i="3" s="1"/>
  <c r="G50" i="3"/>
  <c r="I50" i="3" s="1"/>
  <c r="G46" i="3"/>
  <c r="I46" i="3" s="1"/>
  <c r="G42" i="3"/>
  <c r="I42" i="3" s="1"/>
  <c r="G38" i="3"/>
  <c r="I38" i="3" s="1"/>
  <c r="G34" i="3"/>
  <c r="I34" i="3" s="1"/>
  <c r="G57" i="3"/>
  <c r="I57" i="3" s="1"/>
  <c r="G53" i="3"/>
  <c r="I53" i="3" s="1"/>
  <c r="G49" i="3"/>
  <c r="I49" i="3" s="1"/>
  <c r="G45" i="3"/>
  <c r="I45" i="3" s="1"/>
  <c r="G41" i="3"/>
  <c r="I41" i="3" s="1"/>
  <c r="G37" i="3"/>
  <c r="I37" i="3" s="1"/>
  <c r="G33" i="3"/>
  <c r="I33" i="3" s="1"/>
  <c r="G56" i="3"/>
  <c r="I56" i="3" s="1"/>
  <c r="G52" i="3"/>
  <c r="I52" i="3" s="1"/>
  <c r="G48" i="3"/>
  <c r="I48" i="3" s="1"/>
  <c r="G44" i="3"/>
  <c r="I44" i="3" s="1"/>
  <c r="G40" i="3"/>
  <c r="I40" i="3" s="1"/>
  <c r="G36" i="3"/>
  <c r="I36" i="3" s="1"/>
  <c r="G32" i="3"/>
  <c r="I32" i="3" s="1"/>
  <c r="G55" i="3"/>
  <c r="I55" i="3" s="1"/>
  <c r="G51" i="3"/>
  <c r="I51" i="3" s="1"/>
  <c r="G47" i="3"/>
  <c r="I47" i="3" s="1"/>
  <c r="G43" i="3"/>
  <c r="I43" i="3" s="1"/>
  <c r="G39" i="3"/>
  <c r="I39" i="3" s="1"/>
  <c r="G35" i="3"/>
  <c r="I35" i="3" s="1"/>
  <c r="I31" i="3"/>
  <c r="F34" i="3" l="1"/>
  <c r="F35" i="3"/>
  <c r="F31" i="3"/>
  <c r="F36" i="3"/>
  <c r="F32" i="3"/>
  <c r="F33" i="3"/>
  <c r="E8" i="3"/>
  <c r="E17" i="2"/>
  <c r="E20" i="2" l="1"/>
  <c r="E29" i="2" s="1"/>
  <c r="J28" i="3"/>
  <c r="K28" i="3" s="1"/>
  <c r="L28" i="3"/>
  <c r="M28" i="3" s="1"/>
  <c r="L30" i="3"/>
  <c r="L29" i="3"/>
  <c r="J54" i="3" l="1"/>
  <c r="L54" i="3" s="1"/>
  <c r="J56" i="3"/>
  <c r="L56" i="3" s="1"/>
  <c r="J58" i="3"/>
  <c r="L58" i="3" s="1"/>
  <c r="J49" i="3"/>
  <c r="L49" i="3" s="1"/>
  <c r="J55" i="3"/>
  <c r="L55" i="3" s="1"/>
  <c r="J51" i="3"/>
  <c r="L51" i="3" s="1"/>
  <c r="J53" i="3"/>
  <c r="L53" i="3" s="1"/>
  <c r="J50" i="3"/>
  <c r="L50" i="3" s="1"/>
  <c r="J52" i="3"/>
  <c r="L52" i="3" s="1"/>
  <c r="J57" i="3"/>
  <c r="L57" i="3" s="1"/>
  <c r="K29" i="3"/>
  <c r="M29" i="3" s="1"/>
  <c r="J46" i="3"/>
  <c r="L46" i="3" s="1"/>
  <c r="J42" i="3"/>
  <c r="L42" i="3" s="1"/>
  <c r="J44" i="3"/>
  <c r="L44" i="3" s="1"/>
  <c r="J47" i="3"/>
  <c r="L47" i="3" s="1"/>
  <c r="J45" i="3"/>
  <c r="L45" i="3" s="1"/>
  <c r="J41" i="3"/>
  <c r="L41" i="3" s="1"/>
  <c r="J48" i="3"/>
  <c r="L48" i="3" s="1"/>
  <c r="J40" i="3"/>
  <c r="L40" i="3" s="1"/>
  <c r="J43" i="3"/>
  <c r="L43" i="3" s="1"/>
  <c r="J39" i="3"/>
  <c r="L39" i="3" s="1"/>
  <c r="J38" i="3"/>
  <c r="L38" i="3" s="1"/>
  <c r="J34" i="3"/>
  <c r="L34" i="3" s="1"/>
  <c r="J37" i="3"/>
  <c r="L37" i="3" s="1"/>
  <c r="J36" i="3"/>
  <c r="L36" i="3" s="1"/>
  <c r="J35" i="3"/>
  <c r="L35" i="3" s="1"/>
  <c r="K30" i="3" l="1"/>
  <c r="M30" i="3" s="1"/>
  <c r="J32" i="3"/>
  <c r="L32" i="3" s="1"/>
  <c r="J33" i="3"/>
  <c r="L33" i="3" s="1"/>
  <c r="J31" i="3"/>
  <c r="L31" i="3" s="1"/>
  <c r="D25" i="3" l="1"/>
  <c r="K31" i="3"/>
  <c r="K32" i="3" s="1"/>
  <c r="M31" i="3" l="1"/>
  <c r="K33" i="3"/>
  <c r="M32" i="3" l="1"/>
  <c r="K34" i="3"/>
  <c r="M33" i="3" l="1"/>
  <c r="K35" i="3"/>
  <c r="M34" i="3" l="1"/>
  <c r="K36" i="3"/>
  <c r="M35" i="3" l="1"/>
  <c r="K37" i="3"/>
  <c r="M36" i="3" l="1"/>
  <c r="K38" i="3"/>
  <c r="M37" i="3" l="1"/>
  <c r="M38" i="3" s="1"/>
  <c r="K39" i="3"/>
  <c r="K40" i="3" l="1"/>
  <c r="M39" i="3"/>
  <c r="M40" i="3" l="1"/>
  <c r="K41" i="3"/>
  <c r="K42" i="3" l="1"/>
  <c r="M41" i="3"/>
  <c r="M42" i="3" l="1"/>
  <c r="K43" i="3"/>
  <c r="M43" i="3" l="1"/>
  <c r="K44" i="3"/>
  <c r="K45" i="3" l="1"/>
  <c r="M44" i="3"/>
  <c r="K46" i="3" l="1"/>
  <c r="M45" i="3"/>
  <c r="M46" i="3" l="1"/>
  <c r="K47" i="3"/>
  <c r="K48" i="3" l="1"/>
  <c r="M47" i="3"/>
  <c r="M48" i="3" l="1"/>
  <c r="K49" i="3"/>
  <c r="K50" i="3" l="1"/>
  <c r="M49" i="3"/>
  <c r="M50" i="3" l="1"/>
  <c r="K51" i="3"/>
  <c r="K52" i="3" l="1"/>
  <c r="M51" i="3"/>
  <c r="M52" i="3" l="1"/>
  <c r="K53" i="3"/>
  <c r="M53" i="3" l="1"/>
  <c r="K54" i="3"/>
  <c r="K55" i="3" l="1"/>
  <c r="M54" i="3"/>
  <c r="K56" i="3" l="1"/>
  <c r="M55" i="3"/>
  <c r="M56" i="3" l="1"/>
  <c r="K57" i="3"/>
  <c r="M57" i="3" l="1"/>
  <c r="K58" i="3"/>
  <c r="M58" i="3" l="1"/>
  <c r="D23"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PHP PHP</author>
    <author>Pfromm, Peter Heinz</author>
  </authors>
  <commentList>
    <comment ref="D4" authorId="0" shapeId="0" xr:uid="{00000000-0006-0000-0200-000001000000}">
      <text>
        <r>
          <rPr>
            <b/>
            <sz val="9"/>
            <color indexed="81"/>
            <rFont val="Tahoma"/>
            <family val="2"/>
          </rPr>
          <t xml:space="preserve">PHP
See Sheet "Renewable H2 tax credit"
Applied for all years although currently guaranteed for 10 years
</t>
        </r>
      </text>
    </comment>
    <comment ref="D6" authorId="1" shapeId="0" xr:uid="{00000000-0006-0000-0200-000002000000}">
      <text>
        <r>
          <rPr>
            <b/>
            <sz val="9"/>
            <color indexed="81"/>
            <rFont val="Tahoma"/>
            <family val="2"/>
          </rPr>
          <t>Pfromm, Peter Heinz:
See sheet "CAPEX via paper Malmali..."
for est 12MM for 10 tpd.</t>
        </r>
        <r>
          <rPr>
            <sz val="9"/>
            <color indexed="81"/>
            <rFont val="Tahoma"/>
            <family val="2"/>
          </rPr>
          <t xml:space="preserve">
Calculated from production rate D5
via "6/10 ths rule" for 40% of assumed $12,000,000 CAPEX  for 10 tonnes per day, 7/10ths for remainder of CAPEX (electrolysis).
This split scaling is implemented by Pfromm.
Also see sheet "H-B capex..." for a small sclae conventional plant at lower CAPEX, but electrolysis will increase CAPEX.
 Can input your own CAPCOST if desired.</t>
        </r>
      </text>
    </comment>
    <comment ref="E6" authorId="1" shapeId="0" xr:uid="{00000000-0006-0000-0200-000003000000}">
      <text>
        <r>
          <rPr>
            <b/>
            <sz val="9"/>
            <color indexed="81"/>
            <rFont val="Tahoma"/>
            <family val="2"/>
          </rPr>
          <t>Pfromm, Peter Heinz:</t>
        </r>
        <r>
          <rPr>
            <sz val="9"/>
            <color indexed="81"/>
            <rFont val="Tahoma"/>
            <family val="2"/>
          </rPr>
          <t xml:space="preserve">
Note, for benchmarking,
based on Grundt et al's paper:
1000 tpd should be $182MM CAPEX</t>
        </r>
      </text>
    </comment>
    <comment ref="D7" authorId="0" shapeId="0" xr:uid="{70DC85B2-EC8A-4D5C-B448-9A5596B8B54E}">
      <text>
        <r>
          <rPr>
            <b/>
            <sz val="9"/>
            <color indexed="81"/>
            <rFont val="Tahoma"/>
            <family val="2"/>
          </rPr>
          <t>PHP PHP:</t>
        </r>
        <r>
          <rPr>
            <sz val="9"/>
            <color indexed="81"/>
            <rFont val="Tahoma"/>
            <family val="2"/>
          </rPr>
          <t xml:space="preserve">
See Sheet "Ammonia price history" for some guidance, but the future is unpredictable.</t>
        </r>
      </text>
    </comment>
    <comment ref="D8" authorId="0" shapeId="0" xr:uid="{622656BB-2E80-41CC-8D1A-3279EE856BC1}">
      <text>
        <r>
          <rPr>
            <b/>
            <sz val="9"/>
            <color indexed="81"/>
            <rFont val="Tahoma"/>
            <family val="2"/>
          </rPr>
          <t>PHP PHP:</t>
        </r>
        <r>
          <rPr>
            <sz val="9"/>
            <color indexed="81"/>
            <rFont val="Tahoma"/>
            <family val="2"/>
          </rPr>
          <t xml:space="preserve">
This may be negotiated with the tax authority sometimes to great advantage promising jobs etc.</t>
        </r>
      </text>
    </comment>
    <comment ref="D9" authorId="0" shapeId="0" xr:uid="{82569AC9-87F4-4C35-8C9D-9444C37D3D72}">
      <text>
        <r>
          <rPr>
            <b/>
            <sz val="9"/>
            <color indexed="81"/>
            <rFont val="Tahoma"/>
            <family val="2"/>
          </rPr>
          <t>PHP PHP:</t>
        </r>
        <r>
          <rPr>
            <sz val="9"/>
            <color indexed="81"/>
            <rFont val="Tahoma"/>
            <family val="2"/>
          </rPr>
          <t xml:space="preserve">
Also called internal rate of return, this is what a company would require as return on the investment, there is a large amount of literature what this should be, vs. risk, new process/market, future price fluctuations etc.</t>
        </r>
      </text>
    </comment>
    <comment ref="D13" authorId="1" shapeId="0" xr:uid="{00000000-0006-0000-0200-000004000000}">
      <text>
        <r>
          <rPr>
            <b/>
            <sz val="9"/>
            <color indexed="81"/>
            <rFont val="Tahoma"/>
            <family val="2"/>
          </rPr>
          <t>Pfromm, Peter Heinz:</t>
        </r>
        <r>
          <rPr>
            <sz val="9"/>
            <color indexed="81"/>
            <rFont val="Tahoma"/>
            <family val="2"/>
          </rPr>
          <t xml:space="preserve">
A guess</t>
        </r>
      </text>
    </comment>
    <comment ref="D21" authorId="1" shapeId="0" xr:uid="{00000000-0006-0000-0200-000005000000}">
      <text>
        <r>
          <rPr>
            <b/>
            <sz val="9"/>
            <color indexed="81"/>
            <rFont val="Tahoma"/>
            <family val="2"/>
          </rPr>
          <t>Pfromm, Peter Heinz:</t>
        </r>
        <r>
          <rPr>
            <sz val="9"/>
            <color indexed="81"/>
            <rFont val="Tahoma"/>
            <family val="2"/>
          </rPr>
          <t xml:space="preserve">
Per Turton et al
see sheet "Cost of Manuf COMd…",
can manually override there</t>
        </r>
      </text>
    </comment>
    <comment ref="D23" authorId="0" shapeId="0" xr:uid="{255AF21D-724D-42B4-95FB-9C01D534B9EF}">
      <text>
        <r>
          <rPr>
            <b/>
            <sz val="9"/>
            <color indexed="81"/>
            <rFont val="Tahoma"/>
            <family val="2"/>
          </rPr>
          <t>PHP PHP:</t>
        </r>
        <r>
          <rPr>
            <sz val="9"/>
            <color indexed="81"/>
            <rFont val="Tahoma"/>
            <family val="2"/>
          </rPr>
          <t xml:space="preserve">
(zero means we get the discount rate, no more)
</t>
        </r>
      </text>
    </comment>
    <comment ref="D28" authorId="1" shapeId="0" xr:uid="{00000000-0006-0000-0200-000006000000}">
      <text>
        <r>
          <rPr>
            <b/>
            <sz val="9"/>
            <color indexed="81"/>
            <rFont val="Tahoma"/>
            <family val="2"/>
          </rPr>
          <t>Pfromm, Peter Heinz:</t>
        </r>
        <r>
          <rPr>
            <sz val="9"/>
            <color indexed="81"/>
            <rFont val="Tahoma"/>
            <family val="2"/>
          </rPr>
          <t xml:space="preserve">
Buy land</t>
        </r>
      </text>
    </comment>
    <comment ref="D29" authorId="1" shapeId="0" xr:uid="{00000000-0006-0000-0200-000007000000}">
      <text>
        <r>
          <rPr>
            <b/>
            <sz val="9"/>
            <color indexed="81"/>
            <rFont val="Tahoma"/>
            <family val="2"/>
          </rPr>
          <t>Pfromm, Peter Heinz:</t>
        </r>
        <r>
          <rPr>
            <sz val="9"/>
            <color indexed="81"/>
            <rFont val="Tahoma"/>
            <family val="2"/>
          </rPr>
          <t xml:space="preserve">
Capcost via Loan if loan financing, otherwise 60% of CAPEX
</t>
        </r>
      </text>
    </comment>
    <comment ref="D30" authorId="1" shapeId="0" xr:uid="{00000000-0006-0000-0200-000008000000}">
      <text>
        <r>
          <rPr>
            <b/>
            <sz val="9"/>
            <color indexed="81"/>
            <rFont val="Tahoma"/>
            <family val="2"/>
          </rPr>
          <t>Pfromm, Peter Heinz:</t>
        </r>
        <r>
          <rPr>
            <sz val="9"/>
            <color indexed="81"/>
            <rFont val="Tahoma"/>
            <family val="2"/>
          </rPr>
          <t xml:space="preserve">
40% of CAPEX</t>
        </r>
      </text>
    </comment>
    <comment ref="E31" authorId="1" shapeId="0" xr:uid="{00000000-0006-0000-0200-000009000000}">
      <text>
        <r>
          <rPr>
            <b/>
            <sz val="9"/>
            <color indexed="81"/>
            <rFont val="Tahoma"/>
            <family val="2"/>
          </rPr>
          <t>Pfromm, Peter Heinz:</t>
        </r>
        <r>
          <rPr>
            <sz val="9"/>
            <color indexed="81"/>
            <rFont val="Tahoma"/>
            <family val="2"/>
          </rPr>
          <t xml:space="preserve">
Start depreciation</t>
        </r>
      </text>
    </comment>
    <comment ref="D58" authorId="1" shapeId="0" xr:uid="{00000000-0006-0000-0200-00000A000000}">
      <text>
        <r>
          <rPr>
            <b/>
            <sz val="9"/>
            <color indexed="81"/>
            <rFont val="Tahoma"/>
            <family val="2"/>
          </rPr>
          <t>Pfromm, Peter Heinz:</t>
        </r>
        <r>
          <rPr>
            <sz val="9"/>
            <color indexed="81"/>
            <rFont val="Tahoma"/>
            <family val="2"/>
          </rPr>
          <t xml:space="preserve">
Sell land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Pfromm, Peter Heinz</author>
    <author>PHP PHP</author>
  </authors>
  <commentList>
    <comment ref="F16" authorId="0" shapeId="0" xr:uid="{00000000-0006-0000-0600-000001000000}">
      <text>
        <r>
          <rPr>
            <b/>
            <sz val="9"/>
            <color indexed="81"/>
            <rFont val="Tahoma"/>
            <family val="2"/>
          </rPr>
          <t>Pfromm, Peter Heinz:</t>
        </r>
        <r>
          <rPr>
            <sz val="9"/>
            <color indexed="81"/>
            <rFont val="Tahoma"/>
            <family val="2"/>
          </rPr>
          <t xml:space="preserve">
Eq. 8.2 p. 217 Turton</t>
        </r>
      </text>
    </comment>
    <comment ref="J16" authorId="0" shapeId="0" xr:uid="{00000000-0006-0000-0600-000002000000}">
      <text>
        <r>
          <rPr>
            <b/>
            <sz val="9"/>
            <color indexed="81"/>
            <rFont val="Tahoma"/>
            <family val="2"/>
          </rPr>
          <t>Pfromm, Peter Heinz:</t>
        </r>
        <r>
          <rPr>
            <sz val="9"/>
            <color indexed="81"/>
            <rFont val="Tahoma"/>
            <family val="2"/>
          </rPr>
          <t xml:space="preserve">
Modified, used in cash flow sheet</t>
        </r>
      </text>
    </comment>
    <comment ref="F26" authorId="1" shapeId="0" xr:uid="{B69FD9CC-613B-4B49-BBAB-5D2D17DAD691}">
      <text>
        <r>
          <rPr>
            <b/>
            <sz val="9"/>
            <color indexed="81"/>
            <rFont val="Tahoma"/>
            <family val="2"/>
          </rPr>
          <t>PHP PHP:</t>
        </r>
        <r>
          <rPr>
            <sz val="9"/>
            <color indexed="81"/>
            <rFont val="Tahoma"/>
            <family val="2"/>
          </rPr>
          <t xml:space="preserve">
Either manual, or use equation see Cell G26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<sst xmlns="http://schemas.openxmlformats.org/spreadsheetml/2006/main" count="237" uniqueCount="210">
  <si>
    <t>Grundt et al, 1981</t>
  </si>
  <si>
    <t>From graph:</t>
  </si>
  <si>
    <t>metric tons NH3 per day</t>
  </si>
  <si>
    <t>50^0.6=</t>
  </si>
  <si>
    <t>CEPCI 1981:</t>
  </si>
  <si>
    <t xml:space="preserve">  in 1981, electrolysis based NH3</t>
  </si>
  <si>
    <t>Cost B, 10 tpd:</t>
  </si>
  <si>
    <t>solve for Cost B:</t>
  </si>
  <si>
    <t>adjust for 2021 cost index:</t>
  </si>
  <si>
    <t>Including:</t>
  </si>
  <si>
    <t>Cost A/ Cost B = (Capacity A/Capacity B)^0.6=120,000,000/Cost B = (500/10)^0.6</t>
  </si>
  <si>
    <t>C2=C1(I2/I1)</t>
  </si>
  <si>
    <t>I1</t>
  </si>
  <si>
    <t>I2</t>
  </si>
  <si>
    <t>End of Year</t>
  </si>
  <si>
    <t>Investment</t>
  </si>
  <si>
    <t>FCIL-sum dK</t>
  </si>
  <si>
    <t>Raw Materials</t>
  </si>
  <si>
    <t>Waste Treatment</t>
  </si>
  <si>
    <t>per kWh</t>
  </si>
  <si>
    <t>per year</t>
  </si>
  <si>
    <t>MWh per year</t>
  </si>
  <si>
    <t>Fixed Costs</t>
  </si>
  <si>
    <t>NOL=</t>
  </si>
  <si>
    <t xml:space="preserve">Direct Labor </t>
  </si>
  <si>
    <t>operators hired per NOL =</t>
  </si>
  <si>
    <t>per operator per year</t>
  </si>
  <si>
    <t xml:space="preserve">COMd </t>
  </si>
  <si>
    <t>Cash Flow</t>
  </si>
  <si>
    <t>%</t>
  </si>
  <si>
    <t>Cumul Cash Flow non-discounted</t>
  </si>
  <si>
    <t>estimate</t>
  </si>
  <si>
    <t>Utilities (electricity only)</t>
  </si>
  <si>
    <t>Discounted Cash Flow</t>
  </si>
  <si>
    <t>Cumul Disc Cash Flow</t>
  </si>
  <si>
    <t>Cost of Manufacturing COMd</t>
  </si>
  <si>
    <t>scale down  to 10 tpd, use six-tenths rule:</t>
  </si>
  <si>
    <t>Ammonia sells for</t>
  </si>
  <si>
    <t>Tax rate</t>
  </si>
  <si>
    <t>tpd ammonia</t>
  </si>
  <si>
    <t>%p.a.</t>
  </si>
  <si>
    <t>Cost of Land</t>
  </si>
  <si>
    <t>Name Plate production</t>
  </si>
  <si>
    <t>Annual Income</t>
  </si>
  <si>
    <t>Days per year at Name Plate capacity</t>
  </si>
  <si>
    <t>NPV</t>
  </si>
  <si>
    <t>at</t>
  </si>
  <si>
    <t>years</t>
  </si>
  <si>
    <t>operators per shift (no solids, 5 processing steps), see Turton et al.</t>
  </si>
  <si>
    <t>Operators hired full time</t>
  </si>
  <si>
    <t>neglected</t>
  </si>
  <si>
    <t>Capcost, direct + indirect see Table 3 from paper</t>
  </si>
  <si>
    <t>https://www.nxtbook.com/accessintelligence/ChemicalEngineering/chemical-engineering-june-intl-2022/index.php?startid=48#/p/48</t>
  </si>
  <si>
    <t>CEPCI March 2022::</t>
  </si>
  <si>
    <t>https://www.hydrogen.energy.gov/pdfs/20004-cost-electrolytic-hydrogen-production.pdf</t>
  </si>
  <si>
    <t xml:space="preserve">Capcost PEM electrolyzer </t>
  </si>
  <si>
    <t>$/kW</t>
  </si>
  <si>
    <t xml:space="preserve">need </t>
  </si>
  <si>
    <t>kW</t>
  </si>
  <si>
    <t>Pfromm paper 2017</t>
  </si>
  <si>
    <t>or</t>
  </si>
  <si>
    <t>2020 CAPEX for ten ton per day ammonia, electrolysis only</t>
  </si>
  <si>
    <t>CEPCI 2020</t>
  </si>
  <si>
    <t>https://www.toweringskills.com/financial-analysis/cost-indices/</t>
  </si>
  <si>
    <t>Adjust for time</t>
  </si>
  <si>
    <t>COMd components</t>
  </si>
  <si>
    <t>*fixed cap =</t>
  </si>
  <si>
    <t>*dir labor=</t>
  </si>
  <si>
    <t>CAPEX</t>
  </si>
  <si>
    <t>860 gallons per day for about $1500, https://www.globalindustrial.com/p/commercial-reverse-osmosis-system-for-boilerless-steamers-and-combi-ovens?infoParam.campaignId=T9F&amp;gclid=EAIaIQobChMIyv7Amf2e-wIVcHtvBB2KLgrZEAQYBCABEgJFWfD_BwE</t>
  </si>
  <si>
    <t>so about $7500 CAPEX  to cover the nominal need for the ten ton ammonia per day plant.</t>
  </si>
  <si>
    <t>Price of equipment</t>
  </si>
  <si>
    <t>10 metric tons per day, 2022</t>
  </si>
  <si>
    <t>Compressor, Reactor, NH3 condensation/recovery, circulation of unreacted syngas, heating/cooling/heat exchangers, valves and piping</t>
  </si>
  <si>
    <t>*(Raw mat +Waste Treat+Util).=</t>
  </si>
  <si>
    <t>Modified</t>
  </si>
  <si>
    <t>0.15 COL eliminated (Laboratory), lowered admin from 0.177 COL to 0.1 COL</t>
  </si>
  <si>
    <t>Direct Labor COL</t>
  </si>
  <si>
    <t>Fixed Capital Investment FCI</t>
  </si>
  <si>
    <t>Textbook factors</t>
  </si>
  <si>
    <t>COMd MODIFIED</t>
  </si>
  <si>
    <t>dK Depreciation</t>
  </si>
  <si>
    <t>Table 6</t>
  </si>
  <si>
    <t xml:space="preserve">Capex for </t>
  </si>
  <si>
    <t>metric tons per day, 360 days</t>
  </si>
  <si>
    <t>tons per day</t>
  </si>
  <si>
    <t>days</t>
  </si>
  <si>
    <t>metric tons NH3 per year</t>
  </si>
  <si>
    <t>fold less production</t>
  </si>
  <si>
    <t xml:space="preserve">BUT: </t>
  </si>
  <si>
    <t>remainder Capex</t>
  </si>
  <si>
    <t>times less production:</t>
  </si>
  <si>
    <t>factor:</t>
  </si>
  <si>
    <t>Tot</t>
  </si>
  <si>
    <t>%interest per year:</t>
  </si>
  <si>
    <t>after</t>
  </si>
  <si>
    <t>Scale down to</t>
  </si>
  <si>
    <t>So electrolysis Capex</t>
  </si>
  <si>
    <t>Capex Electrolysis 10 ton per day</t>
  </si>
  <si>
    <t>Capex remainder 10 ton per day</t>
  </si>
  <si>
    <t>Total Capex 56 tons/day</t>
  </si>
  <si>
    <t>Total Capex, down scaled, from 56 tons per day to 10 tons per day, 360 days</t>
  </si>
  <si>
    <t>Scale down  to 10 tpd, use straight forward six-tenths rule for entire Capex:</t>
  </si>
  <si>
    <t>Textbook 6/10th downscaling</t>
  </si>
  <si>
    <t>divide electrolysis Capex by</t>
  </si>
  <si>
    <t>use 6/10 rule:</t>
  </si>
  <si>
    <t>(compound interest, no inflation)</t>
  </si>
  <si>
    <t>invested at fixed</t>
  </si>
  <si>
    <t>For comparison: simple investment, constant annual interest, no inflation</t>
  </si>
  <si>
    <t>Additional parameters for review</t>
  </si>
  <si>
    <t xml:space="preserve">verified via </t>
  </si>
  <si>
    <t>Cost of Manufacturing, no discount  COMd</t>
  </si>
  <si>
    <t>https://www.calculator.net/future-value-calculator.html</t>
  </si>
  <si>
    <t>2022 CAPEX for ten ton per day ammonia, PEM electrolysis "System Capex"</t>
  </si>
  <si>
    <t>Present Value Ratio PVR</t>
  </si>
  <si>
    <t>/kWh</t>
  </si>
  <si>
    <t>(Capac A/Capac B)^0.6=</t>
  </si>
  <si>
    <t>Cost A/ Cost B = (Capacity A/Capacity B)^0.6</t>
  </si>
  <si>
    <t>Capex 10tpd via 6/10 rule</t>
  </si>
  <si>
    <t>MW, 10tpd</t>
  </si>
  <si>
    <t>I1 2020</t>
  </si>
  <si>
    <t>Tot, corrected for 2022</t>
  </si>
  <si>
    <t>correction for time below</t>
  </si>
  <si>
    <t>Capex scaled from</t>
  </si>
  <si>
    <t>tons per day to 10 tons per day</t>
  </si>
  <si>
    <t>CEPCI 2020:</t>
  </si>
  <si>
    <t>hrs/yr</t>
  </si>
  <si>
    <t>For example,  electrolysis only: half the hydrogen production, half the electrolysis CAPEX</t>
  </si>
  <si>
    <t xml:space="preserve">Per Paper, about 60% of Capex  is electrolysis, where electrolysis Capex scales linearly with H2 production. </t>
  </si>
  <si>
    <t>Number of full time positions</t>
  </si>
  <si>
    <t>Cost per Position per year</t>
  </si>
  <si>
    <t>set to</t>
  </si>
  <si>
    <t>Pfromm</t>
  </si>
  <si>
    <t>Pick CAPEX financed via loan paid back at fixed interest rate, or equity financing</t>
  </si>
  <si>
    <t>v.1.3</t>
  </si>
  <si>
    <t>Enter  input in yellow highlight fields</t>
  </si>
  <si>
    <t>Cost of manufacturing modified from Turton</t>
  </si>
  <si>
    <t>Purpose: calculate NPV for 10tpd ammonia plant</t>
  </si>
  <si>
    <t>CAPEX from Malmali et al scaled to 10tpd corrected for 2022.  CAPEX scaled linearly for electrolysis. Other CAPEX sheets for info/reference only</t>
  </si>
  <si>
    <t>Loan payments subtracted from revenue R, PRE TAX, if loan option is selected</t>
  </si>
  <si>
    <t>for</t>
  </si>
  <si>
    <t>https://www.ammoniaenergy.org/articles/the-capital-intensity-of-small-scale-ammonia-plants/</t>
  </si>
  <si>
    <t xml:space="preserve">Simplot $350MM 500 short ton per day, Rock Springs  Wyoming, Casale tech  and Linde, commissioned 2017, </t>
  </si>
  <si>
    <t>metric tons per day</t>
  </si>
  <si>
    <t>short tons per day</t>
  </si>
  <si>
    <t>CostA/CostB=(Cap A/Cap B)^0.6</t>
  </si>
  <si>
    <t>Cap A =</t>
  </si>
  <si>
    <t>CapB=</t>
  </si>
  <si>
    <t>MM</t>
  </si>
  <si>
    <t>for 10 metric tons per day, conventional technology with steam reforming (?)</t>
  </si>
  <si>
    <t>metric tons per year</t>
  </si>
  <si>
    <t>Upshot, small scale conventional) CAPEX 1900 to $2250 per ton per year</t>
  </si>
  <si>
    <t xml:space="preserve">Use </t>
  </si>
  <si>
    <t>$ per ton NH3 produced per year</t>
  </si>
  <si>
    <t xml:space="preserve">ton NH3 per year produced </t>
  </si>
  <si>
    <t>$/(ton NH3/year)</t>
  </si>
  <si>
    <t>ton per day at</t>
  </si>
  <si>
    <t>days per year</t>
  </si>
  <si>
    <t>Conventional NH3</t>
  </si>
  <si>
    <t>This is 2017 data</t>
  </si>
  <si>
    <t>CEPCI</t>
  </si>
  <si>
    <t>Conventional H-B plant, 2022</t>
  </si>
  <si>
    <t>Example</t>
  </si>
  <si>
    <t>Scale to 10tpd</t>
  </si>
  <si>
    <t>(CapA/Capb)^0.6</t>
  </si>
  <si>
    <t>Added Sheet H B Capex from Ammoniaenergy, which confirms the 12MM for 10 tpd plant</t>
  </si>
  <si>
    <t>No interactions with other sheets.</t>
  </si>
  <si>
    <t>adjust for 2022 cost index:</t>
  </si>
  <si>
    <t>Implemented daily production as input, use goal/seek to determine NPV=0, to determine IRR</t>
  </si>
  <si>
    <t>MW/ton, for  ton per day:</t>
  </si>
  <si>
    <t>Operators</t>
  </si>
  <si>
    <t>Number of full time positions now according to Turton et al.</t>
  </si>
  <si>
    <t>500 tpd 2022:</t>
  </si>
  <si>
    <t>using CEPCI</t>
  </si>
  <si>
    <t>per kg H2 guaranteed for 10 year</t>
  </si>
  <si>
    <t>kgH2 per kg NH3</t>
  </si>
  <si>
    <t>per kg NH3</t>
  </si>
  <si>
    <t>https://news.bloombergtax.com/daily-tax-report/the-new-clean-hydrogen-production-tax-credit-explained</t>
  </si>
  <si>
    <t>Tax credit per kg NH3</t>
  </si>
  <si>
    <t>Posted version 1.1 to INFEWS folder INFEWS 2-14-23</t>
  </si>
  <si>
    <t>Results</t>
  </si>
  <si>
    <t>Startup beginning of year:</t>
  </si>
  <si>
    <r>
      <t>((R-COM-dK)*(1-t)+dK)</t>
    </r>
    <r>
      <rPr>
        <b/>
        <sz val="12"/>
        <color rgb="FFFF0000"/>
        <rFont val="Arial"/>
        <family val="2"/>
      </rPr>
      <t>+H2credit</t>
    </r>
  </si>
  <si>
    <t>In progress</t>
  </si>
  <si>
    <t>New version 1.2 started</t>
  </si>
  <si>
    <t>Operators hired per textbook, can override and enter manually, for Textbook  formula is F23*C25</t>
  </si>
  <si>
    <t>Revenue R per yr from sale of NH3</t>
  </si>
  <si>
    <t>Chemical Engineering Plant Cost Index CEPCI via "Chemical Engineering", behind paywall</t>
  </si>
  <si>
    <t>Cap. Cost calculated</t>
  </si>
  <si>
    <t>Desired production rate</t>
  </si>
  <si>
    <t>updates see https://farmdocdaily.illinois.edu</t>
  </si>
  <si>
    <t xml:space="preserve">0.02 FCI instead of 0.036 FCI for Overhead costs; </t>
  </si>
  <si>
    <t>No R&amp;D omit 0.05 COM, no Patents&amp;Royalties omit 0.03 COM</t>
  </si>
  <si>
    <t>either per Textbook, or manual</t>
  </si>
  <si>
    <t>Cost of Electrical Energy</t>
  </si>
  <si>
    <t>removed loan option, renamed file "What NH3 production pays off no loan version 1.0", added sheet with overview of historic NH3 prices "Ammonia price history"</t>
  </si>
  <si>
    <t>Discount rate</t>
  </si>
  <si>
    <t>All calculations in this workbook may contain errors, although the overall results were verified and benchmarked vs. literature data (from actual plant data for 1000 tpd plus scale,  paper studies for small scale) particularly for CAPEX.</t>
  </si>
  <si>
    <t>Note that very important  parameters such as ammonia price, and energy price are static in this workbook (see Textbook).  These parameters may be highly (ammonia price) or slowly (energy price) variable, and unpredictably so, with time.</t>
  </si>
  <si>
    <t>Even a Monte Carlo analysis of economics (easily performed, see Textbook) can never encompass disruptive changes such as wars, politically motivated pressures on markets, precipitous climate change impacts,  etc.</t>
  </si>
  <si>
    <t>Therefore Monte Carlo  is not done here.</t>
  </si>
  <si>
    <t>It is highly recommended to work through the appropriate chapters in the generally accepted and widely refrenced Textbook on which this is based.</t>
  </si>
  <si>
    <t>Ammonia Plant producing  selected  tonnes per day (user input) of anhydrous ammonia</t>
  </si>
  <si>
    <t>INFLATION NOT TAKEN IN ACCOUNT (reasoning see Textbook).  TIME VALUE OF MONEY IS TAKEN IN ACCOUNT.</t>
  </si>
  <si>
    <t>Manual INPUTS:</t>
  </si>
  <si>
    <t>Yellow Highlights</t>
  </si>
  <si>
    <t xml:space="preserve"> MACRS depreciation was used, 9.5 year class life, 5 year recovery</t>
  </si>
  <si>
    <t>Tonnes NH3 per day (metric tons)</t>
  </si>
  <si>
    <t>per tonne</t>
  </si>
  <si>
    <t>added some comments in "Discounted cash flow" sheet, renamed workbook to "What NH3 Production pays off 2.0", added disclaimer sheet  "Disclaimer"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</si>
</sst>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8" formatCode="&quot;$&quot;#,##0.00_);[Red]\(&quot;$&quot;#,##0.00\)"/>
    <numFmt numFmtId="42" formatCode="_(&quot;$&quot;* #,##0_);_(&quot;$&quot;* \(#,##0\);_(&quot;$&quot;* &quot;-&quot;_);_(@_)"/>
    <numFmt numFmtId="44" formatCode="_(&quot;$&quot;* #,##0.00_);_(&quot;$&quot;* \(#,##0.00\);_(&quot;$&quot;* &quot;-&quot;??_);_(@_)"/>
    <numFmt numFmtId="43" formatCode="_(* #,##0.00_);_(* \(#,##0.00\);_(* &quot;-&quot;??_);_(@_)"/>
    <numFmt numFmtId="164" formatCode="_(&quot;$&quot;* #,##0_);_(&quot;$&quot;* \(#,##0\);_(&quot;$&quot;* &quot;-&quot;??_);_(@_)"/>
    <numFmt numFmtId="165" formatCode="0.0"/>
    <numFmt numFmtId="166" formatCode="_(&quot;$&quot;* #,##0.0000_);_(&quot;$&quot;* \(#,##0.0000\);_(&quot;$&quot;* &quot;-&quot;??_);_(@_)"/>
  </numFmts>
  <fonts count="13" x14ac:knownFonts="1">
    <font>
      <sz val="12"/>
      <color theme="1"/>
      <name val="Arial"/>
      <family val="2"/>
    </font>
    <font>
      <sz val="12"/>
      <color theme="1"/>
      <name val="Arial"/>
      <family val="2"/>
    </font>
    <font>
      <b/>
      <sz val="12"/>
      <color theme="1"/>
      <name val="Arial"/>
      <family val="2"/>
    </font>
    <font>
      <sz val="9"/>
      <color indexed="81"/>
      <name val="Tahoma"/>
      <family val="2"/>
    </font>
    <font>
      <b/>
      <sz val="9"/>
      <color indexed="81"/>
      <name val="Tahoma"/>
      <family val="2"/>
    </font>
    <font>
      <sz val="12"/>
      <color rgb="FF000000"/>
      <name val="Arial"/>
      <family val="2"/>
    </font>
    <font>
      <u/>
      <sz val="12"/>
      <color theme="10"/>
      <name val="Arial"/>
      <family val="2"/>
    </font>
    <font>
      <sz val="12"/>
      <color rgb="FFFF0000"/>
      <name val="Arial"/>
      <family val="2"/>
    </font>
    <font>
      <b/>
      <sz val="16"/>
      <color theme="1"/>
      <name val="Arial"/>
      <family val="2"/>
    </font>
    <font>
      <b/>
      <sz val="14"/>
      <color theme="1"/>
      <name val="Arial"/>
      <family val="2"/>
    </font>
    <font>
      <b/>
      <sz val="12"/>
      <color rgb="FFFF0000"/>
      <name val="Arial"/>
      <family val="2"/>
    </font>
    <font>
      <sz val="14"/>
      <color theme="1"/>
      <name val="Arial"/>
      <family val="2"/>
    </font>
    <font>
      <b/>
      <sz val="14"/>
      <color rgb="FFFF0000"/>
      <name val="Arial"/>
      <family val="2"/>
    </font>
  </fonts>
  <fills count="18">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4"/>
        <bgColor indexed="64"/>
      </patternFill>
    </fill>
    <fill>
      <patternFill patternType="solid">
        <fgColor theme="0"/>
        <bgColor indexed="64"/>
      </patternFill>
    </fill>
    <fill>
      <patternFill patternType="solid">
        <fgColor theme="2" tint="-0.249977111117893"/>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0" tint="-0.249977111117893"/>
        <bgColor indexed="64"/>
      </patternFill>
    </fill>
  </fills>
  <borders count="14">
    <border>
      <left/>
      <right/>
      <top/>
      <bottom/>
      <diagonal/>
    </border>
    <border>
      <left/>
      <right/>
      <top/>
      <bottom style="thick">
        <color auto="1"/>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medium">
        <color auto="1"/>
      </left>
      <right style="medium">
        <color auto="1"/>
      </right>
      <top style="medium">
        <color auto="1"/>
      </top>
      <bottom style="medium">
        <color auto="1"/>
      </bottom>
      <diagonal/>
    </border>
    <border>
      <left style="thick">
        <color rgb="FFFF0000"/>
      </left>
      <right/>
      <top/>
      <bottom/>
      <diagonal/>
    </border>
    <border>
      <left/>
      <right style="thick">
        <color rgb="FFFF0000"/>
      </right>
      <top/>
      <bottom/>
      <diagonal/>
    </border>
    <border>
      <left style="thick">
        <color rgb="FFFF0000"/>
      </left>
      <right/>
      <top style="thick">
        <color rgb="FFFF0000"/>
      </top>
      <bottom style="thick">
        <color rgb="FFFF0000"/>
      </bottom>
      <diagonal/>
    </border>
    <border>
      <left/>
      <right/>
      <top style="thick">
        <color rgb="FFFF0000"/>
      </top>
      <bottom style="thick">
        <color rgb="FFFF0000"/>
      </bottom>
      <diagonal/>
    </border>
    <border>
      <left/>
      <right style="thick">
        <color rgb="FFFF0000"/>
      </right>
      <top style="thick">
        <color rgb="FFFF0000"/>
      </top>
      <bottom style="thick">
        <color rgb="FFFF0000"/>
      </bottom>
      <diagonal/>
    </border>
  </borders>
  <cellStyleXfs count="4">
    <xf numFmtId="0" fontId="0" fillId="0" borderId="0"/>
    <xf numFmtId="44" fontId="1" fillId="0" borderId="0" applyFont="0" applyFill="0" applyBorder="0" applyAlignment="0" applyProtection="0"/>
    <xf numFmtId="0" fontId="6" fillId="0" borderId="0" applyNumberFormat="0" applyFill="0" applyBorder="0" applyAlignment="0" applyProtection="0"/>
    <xf numFmtId="43" fontId="1" fillId="0" borderId="0" applyFont="0" applyFill="0" applyBorder="0" applyAlignment="0" applyProtection="0"/>
  </cellStyleXfs>
  <cellXfs count="117">
    <xf numFmtId="0" fontId="0" fillId="0" borderId="0" xfId="0"/>
    <xf numFmtId="6" fontId="0" fillId="0" borderId="0" xfId="0" applyNumberFormat="1"/>
    <xf numFmtId="44" fontId="0" fillId="0" borderId="0" xfId="1" applyFont="1"/>
    <xf numFmtId="0" fontId="0" fillId="2" borderId="0" xfId="0" applyFill="1"/>
    <xf numFmtId="0" fontId="0" fillId="3" borderId="0" xfId="0" applyFill="1"/>
    <xf numFmtId="0" fontId="0" fillId="0" borderId="1" xfId="0" applyBorder="1"/>
    <xf numFmtId="0" fontId="0" fillId="4" borderId="0" xfId="0" applyFill="1"/>
    <xf numFmtId="0" fontId="0" fillId="6" borderId="0" xfId="0" applyFill="1"/>
    <xf numFmtId="0" fontId="0" fillId="5" borderId="0" xfId="0" applyFill="1"/>
    <xf numFmtId="6" fontId="0" fillId="7" borderId="0" xfId="0" applyNumberFormat="1" applyFill="1" applyAlignment="1">
      <alignment horizontal="center"/>
    </xf>
    <xf numFmtId="38" fontId="0" fillId="7" borderId="0" xfId="0" applyNumberFormat="1" applyFill="1" applyAlignment="1">
      <alignment horizont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164" fontId="0" fillId="7" borderId="1" xfId="0" applyNumberFormat="1" applyFill="1" applyBorder="1" applyAlignment="1">
      <alignment horizontal="center" vertical="center" wrapText="1"/>
    </xf>
    <xf numFmtId="6" fontId="0" fillId="7" borderId="0" xfId="0" applyNumberFormat="1" applyFill="1"/>
    <xf numFmtId="8" fontId="0" fillId="7" borderId="0" xfId="0" applyNumberFormat="1" applyFill="1"/>
    <xf numFmtId="0" fontId="0" fillId="0" borderId="0" xfId="0" applyAlignment="1">
      <alignment vertical="center" wrapText="1"/>
    </xf>
    <xf numFmtId="164" fontId="0" fillId="2" borderId="0" xfId="1" applyNumberFormat="1" applyFont="1" applyFill="1"/>
    <xf numFmtId="0" fontId="0" fillId="0" borderId="0" xfId="0" applyAlignment="1">
      <alignment vertical="top" wrapText="1"/>
    </xf>
    <xf numFmtId="164" fontId="0" fillId="7" borderId="0" xfId="0" applyNumberFormat="1" applyFill="1" applyAlignment="1">
      <alignment horizontal="center"/>
    </xf>
    <xf numFmtId="0" fontId="0" fillId="7" borderId="0" xfId="0" applyFill="1"/>
    <xf numFmtId="6" fontId="0" fillId="5" borderId="0" xfId="0" applyNumberFormat="1" applyFill="1"/>
    <xf numFmtId="0" fontId="0" fillId="8" borderId="0" xfId="0" applyFill="1"/>
    <xf numFmtId="38" fontId="0" fillId="8" borderId="0" xfId="0" applyNumberFormat="1" applyFill="1" applyAlignment="1">
      <alignment horizontal="center"/>
    </xf>
    <xf numFmtId="0" fontId="0" fillId="9" borderId="0" xfId="0" applyFill="1"/>
    <xf numFmtId="164" fontId="0" fillId="9" borderId="0" xfId="1" applyNumberFormat="1" applyFont="1" applyFill="1"/>
    <xf numFmtId="0" fontId="0" fillId="10" borderId="0" xfId="0" applyFill="1"/>
    <xf numFmtId="2" fontId="0" fillId="10" borderId="0" xfId="0" applyNumberFormat="1" applyFill="1"/>
    <xf numFmtId="44" fontId="0" fillId="10" borderId="0" xfId="1" applyFont="1" applyFill="1"/>
    <xf numFmtId="46" fontId="0" fillId="3" borderId="0" xfId="0" applyNumberFormat="1" applyFill="1"/>
    <xf numFmtId="164" fontId="0" fillId="0" borderId="0" xfId="1" applyNumberFormat="1" applyFont="1"/>
    <xf numFmtId="44" fontId="0" fillId="0" borderId="0" xfId="0" applyNumberFormat="1"/>
    <xf numFmtId="0" fontId="0" fillId="11" borderId="0" xfId="0" applyFill="1"/>
    <xf numFmtId="164" fontId="0" fillId="6" borderId="0" xfId="0" applyNumberFormat="1" applyFill="1"/>
    <xf numFmtId="0" fontId="0" fillId="12" borderId="0" xfId="0" applyFill="1"/>
    <xf numFmtId="44" fontId="0" fillId="12" borderId="0" xfId="1" applyFont="1" applyFill="1"/>
    <xf numFmtId="44" fontId="0" fillId="11" borderId="0" xfId="0" applyNumberFormat="1" applyFill="1"/>
    <xf numFmtId="0" fontId="5" fillId="0" borderId="0" xfId="0" applyFont="1" applyAlignment="1">
      <alignment vertical="center"/>
    </xf>
    <xf numFmtId="0" fontId="6" fillId="0" borderId="0" xfId="2" applyAlignment="1">
      <alignment vertical="center"/>
    </xf>
    <xf numFmtId="44" fontId="0" fillId="13" borderId="0" xfId="0" applyNumberFormat="1" applyFill="1"/>
    <xf numFmtId="44" fontId="0" fillId="7" borderId="0" xfId="0" applyNumberFormat="1" applyFill="1" applyAlignment="1">
      <alignment horizontal="center"/>
    </xf>
    <xf numFmtId="0" fontId="2" fillId="4" borderId="0" xfId="0" applyFont="1" applyFill="1"/>
    <xf numFmtId="0" fontId="0" fillId="14" borderId="0" xfId="0" applyFill="1" applyAlignment="1">
      <alignment wrapText="1"/>
    </xf>
    <xf numFmtId="164" fontId="0" fillId="14" borderId="0" xfId="0" applyNumberFormat="1" applyFill="1" applyAlignment="1">
      <alignment vertical="center"/>
    </xf>
    <xf numFmtId="0" fontId="0" fillId="14" borderId="0" xfId="0" applyFill="1"/>
    <xf numFmtId="2" fontId="0" fillId="0" borderId="0" xfId="0" applyNumberFormat="1"/>
    <xf numFmtId="165" fontId="0" fillId="0" borderId="0" xfId="0" applyNumberFormat="1"/>
    <xf numFmtId="1" fontId="0" fillId="4" borderId="0" xfId="0" applyNumberFormat="1" applyFill="1"/>
    <xf numFmtId="44" fontId="0" fillId="4" borderId="0" xfId="0" applyNumberFormat="1" applyFill="1"/>
    <xf numFmtId="0" fontId="2" fillId="8" borderId="0" xfId="0" applyFont="1" applyFill="1"/>
    <xf numFmtId="164" fontId="0" fillId="8" borderId="0" xfId="1" applyNumberFormat="1" applyFont="1" applyFill="1"/>
    <xf numFmtId="0" fontId="2" fillId="2" borderId="0" xfId="0" applyFont="1" applyFill="1"/>
    <xf numFmtId="0" fontId="2" fillId="14" borderId="0" xfId="0" applyFont="1" applyFill="1"/>
    <xf numFmtId="0" fontId="8" fillId="4" borderId="0" xfId="0" applyFont="1" applyFill="1"/>
    <xf numFmtId="0" fontId="8" fillId="5" borderId="0" xfId="0" applyFont="1" applyFill="1"/>
    <xf numFmtId="0" fontId="0" fillId="15" borderId="0" xfId="0" applyFill="1"/>
    <xf numFmtId="0" fontId="2" fillId="16" borderId="0" xfId="0" applyFont="1" applyFill="1"/>
    <xf numFmtId="0" fontId="0" fillId="16" borderId="0" xfId="0" applyFill="1"/>
    <xf numFmtId="164" fontId="0" fillId="16" borderId="0" xfId="0" applyNumberFormat="1" applyFill="1"/>
    <xf numFmtId="6" fontId="0" fillId="16" borderId="0" xfId="1" applyNumberFormat="1" applyFont="1" applyFill="1"/>
    <xf numFmtId="0" fontId="9" fillId="2" borderId="8" xfId="0" applyFont="1" applyFill="1" applyBorder="1"/>
    <xf numFmtId="164" fontId="9" fillId="2" borderId="8" xfId="0" applyNumberFormat="1" applyFont="1" applyFill="1" applyBorder="1"/>
    <xf numFmtId="44" fontId="9" fillId="2" borderId="8" xfId="1" applyFont="1" applyFill="1" applyBorder="1"/>
    <xf numFmtId="44" fontId="0" fillId="2" borderId="0" xfId="1" applyFont="1" applyFill="1"/>
    <xf numFmtId="0" fontId="6" fillId="16" borderId="0" xfId="2" applyFill="1"/>
    <xf numFmtId="0" fontId="6" fillId="0" borderId="0" xfId="2"/>
    <xf numFmtId="42" fontId="0" fillId="0" borderId="0" xfId="0" applyNumberFormat="1"/>
    <xf numFmtId="0" fontId="0" fillId="0" borderId="11" xfId="0" applyBorder="1"/>
    <xf numFmtId="0" fontId="0" fillId="0" borderId="12" xfId="0" applyBorder="1"/>
    <xf numFmtId="44" fontId="0" fillId="0" borderId="12" xfId="1" applyFont="1" applyBorder="1" applyAlignment="1">
      <alignment horizontal="right" indent="1"/>
    </xf>
    <xf numFmtId="1" fontId="0" fillId="0" borderId="12" xfId="0" applyNumberFormat="1" applyBorder="1"/>
    <xf numFmtId="0" fontId="0" fillId="0" borderId="13" xfId="0" applyBorder="1"/>
    <xf numFmtId="0" fontId="0" fillId="14" borderId="8" xfId="0" applyFill="1" applyBorder="1"/>
    <xf numFmtId="44" fontId="7" fillId="14" borderId="8" xfId="1" applyFont="1" applyFill="1" applyBorder="1"/>
    <xf numFmtId="0" fontId="0" fillId="0" borderId="0" xfId="0" applyAlignment="1">
      <alignment vertical="center"/>
    </xf>
    <xf numFmtId="166" fontId="0" fillId="4" borderId="0" xfId="1" applyNumberFormat="1" applyFont="1" applyFill="1"/>
    <xf numFmtId="165" fontId="0" fillId="12" borderId="0" xfId="0" applyNumberFormat="1" applyFill="1"/>
    <xf numFmtId="14" fontId="0" fillId="0" borderId="0" xfId="0" applyNumberFormat="1"/>
    <xf numFmtId="0" fontId="2" fillId="0" borderId="0" xfId="0" applyFont="1"/>
    <xf numFmtId="44" fontId="0" fillId="0" borderId="2" xfId="0" applyNumberFormat="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43" fontId="0" fillId="0" borderId="0" xfId="3" applyFont="1"/>
    <xf numFmtId="0" fontId="9" fillId="17" borderId="8" xfId="0" applyFont="1" applyFill="1" applyBorder="1"/>
    <xf numFmtId="0" fontId="11" fillId="17" borderId="8" xfId="0" applyFont="1" applyFill="1" applyBorder="1"/>
    <xf numFmtId="164" fontId="11" fillId="17" borderId="8" xfId="1" applyNumberFormat="1" applyFont="1" applyFill="1" applyBorder="1"/>
    <xf numFmtId="0" fontId="0" fillId="17" borderId="8" xfId="0" applyFill="1" applyBorder="1"/>
    <xf numFmtId="164" fontId="0" fillId="11" borderId="0" xfId="0" applyNumberFormat="1" applyFill="1"/>
    <xf numFmtId="164" fontId="0" fillId="12" borderId="0" xfId="1" applyNumberFormat="1" applyFont="1" applyFill="1"/>
    <xf numFmtId="164" fontId="0" fillId="10" borderId="0" xfId="0" applyNumberFormat="1" applyFill="1"/>
    <xf numFmtId="164" fontId="0" fillId="0" borderId="0" xfId="0" applyNumberFormat="1"/>
    <xf numFmtId="164" fontId="8" fillId="4" borderId="0" xfId="0" applyNumberFormat="1" applyFont="1" applyFill="1"/>
    <xf numFmtId="0" fontId="2" fillId="12" borderId="0" xfId="0" applyFont="1" applyFill="1"/>
    <xf numFmtId="43" fontId="9" fillId="17" borderId="8" xfId="3" applyFont="1" applyFill="1" applyBorder="1"/>
    <xf numFmtId="165" fontId="0" fillId="4" borderId="0" xfId="0" applyNumberFormat="1" applyFill="1"/>
    <xf numFmtId="0" fontId="9" fillId="0" borderId="2" xfId="0" applyFont="1" applyBorder="1"/>
    <xf numFmtId="6" fontId="9" fillId="0" borderId="3" xfId="0" applyNumberFormat="1" applyFont="1" applyBorder="1"/>
    <xf numFmtId="0" fontId="9" fillId="0" borderId="4" xfId="0" applyFont="1" applyBorder="1"/>
    <xf numFmtId="0" fontId="9" fillId="0" borderId="9" xfId="0" applyFont="1" applyBorder="1"/>
    <xf numFmtId="38" fontId="9" fillId="0" borderId="0" xfId="0" applyNumberFormat="1" applyFont="1"/>
    <xf numFmtId="0" fontId="9" fillId="0" borderId="10" xfId="0" applyFont="1" applyBorder="1"/>
    <xf numFmtId="0" fontId="9" fillId="0" borderId="5" xfId="0" applyFont="1" applyBorder="1"/>
    <xf numFmtId="2" fontId="9" fillId="0" borderId="6" xfId="0" applyNumberFormat="1" applyFont="1" applyBorder="1"/>
    <xf numFmtId="0" fontId="9" fillId="0" borderId="7" xfId="0" applyFont="1" applyBorder="1"/>
    <xf numFmtId="165" fontId="0" fillId="2" borderId="0" xfId="0" applyNumberFormat="1" applyFill="1"/>
    <xf numFmtId="0" fontId="2" fillId="17" borderId="8" xfId="0" applyFont="1" applyFill="1" applyBorder="1"/>
    <xf numFmtId="0" fontId="0" fillId="17" borderId="8" xfId="0" applyFill="1" applyBorder="1" applyAlignment="1">
      <alignment horizontal="right" vertical="center"/>
    </xf>
    <xf numFmtId="44" fontId="2" fillId="17" borderId="0" xfId="0" applyNumberFormat="1" applyFont="1" applyFill="1"/>
    <xf numFmtId="164" fontId="9" fillId="2" borderId="8" xfId="1" applyNumberFormat="1" applyFont="1" applyFill="1" applyBorder="1"/>
    <xf numFmtId="0" fontId="10" fillId="4" borderId="0" xfId="0" applyFont="1" applyFill="1"/>
    <xf numFmtId="0" fontId="12" fillId="0" borderId="0" xfId="0" applyFont="1" applyAlignment="1">
      <alignment horizontal="right"/>
    </xf>
    <xf numFmtId="38" fontId="0" fillId="16" borderId="0" xfId="0" applyNumberFormat="1" applyFill="1"/>
    <xf numFmtId="2" fontId="9" fillId="2" borderId="8" xfId="0" applyNumberFormat="1" applyFont="1" applyFill="1" applyBorder="1"/>
    <xf numFmtId="2" fontId="0" fillId="17" borderId="8" xfId="0" applyNumberFormat="1" applyFill="1" applyBorder="1"/>
  </cellXfs>
  <cellStyles count="4">
    <cellStyle name="Comma" xfId="3" builtinId="3"/>
    <cellStyle name="Currency" xfId="1" builtinId="4"/>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'Discounted cash flow'!$D$5</c:f>
          <c:strCache>
            <c:ptCount val="1"/>
            <c:pt idx="0">
              <c:v>10</c:v>
            </c:pt>
          </c:strCache>
        </c:strRef>
      </c:tx>
      <c:layout>
        <c:manualLayout>
          <c:xMode val="edge"/>
          <c:yMode val="edge"/>
          <c:x val="0.27469648495654503"/>
          <c:y val="4.8983008702859508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528890196612313"/>
          <c:y val="0.19435612653681447"/>
          <c:w val="0.74455612736384547"/>
          <c:h val="0.73415513738748761"/>
        </c:manualLayout>
      </c:layout>
      <c:lineChart>
        <c:grouping val="standard"/>
        <c:varyColors val="0"/>
        <c:ser>
          <c:idx val="0"/>
          <c:order val="0"/>
          <c:tx>
            <c:strRef>
              <c:f>'Discounted cash flow'!$M$27</c:f>
              <c:strCache>
                <c:ptCount val="1"/>
                <c:pt idx="0">
                  <c:v>Cumul Disc Cash Flow</c:v>
                </c:pt>
              </c:strCache>
            </c:strRef>
          </c:tx>
          <c:spPr>
            <a:ln w="28575" cap="rnd">
              <a:solidFill>
                <a:schemeClr val="accent1"/>
              </a:solidFill>
              <a:round/>
            </a:ln>
            <a:effectLst/>
          </c:spPr>
          <c:marker>
            <c:symbol val="none"/>
          </c:marker>
          <c:cat>
            <c:numRef>
              <c:f>'Discounted cash flow'!$C$28:$C$58</c:f>
              <c:numCache>
                <c:formatCode>#,##0_);[Red]\(#,##0\)</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cat>
          <c:val>
            <c:numRef>
              <c:f>'Discounted cash flow'!$M$28:$M$58</c:f>
              <c:numCache>
                <c:formatCode>"$"#,##0.00_);[Red]\("$"#,##0.00\)</c:formatCode>
                <c:ptCount val="31"/>
                <c:pt idx="0" formatCode="&quot;$&quot;#,##0_);[Red]\(&quot;$&quot;#,##0\)">
                  <c:v>-25000</c:v>
                </c:pt>
                <c:pt idx="1">
                  <c:v>-6611908.2110400237</c:v>
                </c:pt>
                <c:pt idx="2">
                  <c:v>-10812059.269424487</c:v>
                </c:pt>
                <c:pt idx="3">
                  <c:v>-9719145.8577883895</c:v>
                </c:pt>
                <c:pt idx="4">
                  <c:v>-8327974.1344081778</c:v>
                </c:pt>
                <c:pt idx="5">
                  <c:v>-7350175.6754022967</c:v>
                </c:pt>
                <c:pt idx="6">
                  <c:v>-6617415.5098240599</c:v>
                </c:pt>
                <c:pt idx="7">
                  <c:v>-5916547.2223693309</c:v>
                </c:pt>
                <c:pt idx="8">
                  <c:v>-5385112.7739863014</c:v>
                </c:pt>
                <c:pt idx="9">
                  <c:v>-5009691.2636839887</c:v>
                </c:pt>
                <c:pt idx="10">
                  <c:v>-4650609.2019679081</c:v>
                </c:pt>
                <c:pt idx="11">
                  <c:v>-4307155.4479663316</c:v>
                </c:pt>
                <c:pt idx="12">
                  <c:v>-3978649.8117503831</c:v>
                </c:pt>
                <c:pt idx="13">
                  <c:v>-3664441.7072579521</c:v>
                </c:pt>
                <c:pt idx="14">
                  <c:v>-3363908.8638463188</c:v>
                </c:pt>
                <c:pt idx="15">
                  <c:v>-3076456.0939218025</c:v>
                </c:pt>
                <c:pt idx="16">
                  <c:v>-2801514.1142057898</c:v>
                </c:pt>
                <c:pt idx="17">
                  <c:v>-2538538.4183027348</c:v>
                </c:pt>
                <c:pt idx="18">
                  <c:v>-2287008.1983373179</c:v>
                </c:pt>
                <c:pt idx="19">
                  <c:v>-2046425.313525124</c:v>
                </c:pt>
                <c:pt idx="20">
                  <c:v>-1816313.3036341644</c:v>
                </c:pt>
                <c:pt idx="21">
                  <c:v>-1596216.4453834509</c:v>
                </c:pt>
                <c:pt idx="22">
                  <c:v>-1385698.8499098835</c:v>
                </c:pt>
                <c:pt idx="23">
                  <c:v>-1184343.5995160313</c:v>
                </c:pt>
                <c:pt idx="24">
                  <c:v>-991751.92198919202</c:v>
                </c:pt>
                <c:pt idx="25">
                  <c:v>-807542.40085651353</c:v>
                </c:pt>
                <c:pt idx="26">
                  <c:v>-631350.22001213708</c:v>
                </c:pt>
                <c:pt idx="27">
                  <c:v>-462826.4412203884</c:v>
                </c:pt>
                <c:pt idx="28">
                  <c:v>-301637.31306415622</c:v>
                </c:pt>
                <c:pt idx="29">
                  <c:v>-147463.60996986984</c:v>
                </c:pt>
                <c:pt idx="30">
                  <c:v>-5.4744305089116096E-8</c:v>
                </c:pt>
              </c:numCache>
            </c:numRef>
          </c:val>
          <c:smooth val="0"/>
          <c:extLst>
            <c:ext xmlns:c16="http://schemas.microsoft.com/office/drawing/2014/chart" uri="{C3380CC4-5D6E-409C-BE32-E72D297353CC}">
              <c16:uniqueId val="{00000000-9C80-444D-AC61-042642731621}"/>
            </c:ext>
          </c:extLst>
        </c:ser>
        <c:dLbls>
          <c:showLegendKey val="0"/>
          <c:showVal val="0"/>
          <c:showCatName val="0"/>
          <c:showSerName val="0"/>
          <c:showPercent val="0"/>
          <c:showBubbleSize val="0"/>
        </c:dLbls>
        <c:smooth val="0"/>
        <c:axId val="525845336"/>
        <c:axId val="525844024"/>
      </c:lineChart>
      <c:catAx>
        <c:axId val="525845336"/>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End of Year:</a:t>
                </a:r>
              </a:p>
            </c:rich>
          </c:tx>
          <c:layout>
            <c:manualLayout>
              <c:xMode val="edge"/>
              <c:yMode val="edge"/>
              <c:x val="0.85295261564203129"/>
              <c:y val="0.1087921661507351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_);[Red]\(#,##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844024"/>
        <c:crossesAt val="0"/>
        <c:auto val="1"/>
        <c:lblAlgn val="ctr"/>
        <c:lblOffset val="100"/>
        <c:noMultiLvlLbl val="0"/>
      </c:catAx>
      <c:valAx>
        <c:axId val="5258440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solidFill>
                      <a:schemeClr val="tx1"/>
                    </a:solidFill>
                  </a:rPr>
                  <a:t>Cumulative </a:t>
                </a:r>
              </a:p>
              <a:p>
                <a:pPr>
                  <a:defRPr sz="1400"/>
                </a:pPr>
                <a:r>
                  <a:rPr lang="en-US" sz="1400">
                    <a:solidFill>
                      <a:schemeClr val="tx1"/>
                    </a:solidFill>
                  </a:rPr>
                  <a:t>Discounted</a:t>
                </a:r>
              </a:p>
              <a:p>
                <a:pPr>
                  <a:defRPr sz="1400"/>
                </a:pPr>
                <a:r>
                  <a:rPr lang="en-US" sz="1400">
                    <a:solidFill>
                      <a:schemeClr val="tx1"/>
                    </a:solidFill>
                  </a:rPr>
                  <a:t>Cash Flow</a:t>
                </a:r>
              </a:p>
            </c:rich>
          </c:tx>
          <c:overlay val="0"/>
          <c:spPr>
            <a:noFill/>
            <a:ln>
              <a:noFill/>
            </a:ln>
            <a:effectLst/>
          </c:spPr>
          <c:txPr>
            <a:bodyPr rot="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845336"/>
        <c:crosses val="autoZero"/>
        <c:crossBetween val="between"/>
      </c:valAx>
      <c:spPr>
        <a:noFill/>
        <a:ln>
          <a:solidFill>
            <a:schemeClr val="tx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6.jpeg"/></Relationships>
</file>

<file path=xl/drawings/_rels/drawing8.xml.rels><?xml version="1.0" encoding="UTF-8" standalone="yes"?>
<Relationships xmlns="http://schemas.openxmlformats.org/package/2006/relationships"><Relationship Id="rId1" Type="http://schemas.openxmlformats.org/officeDocument/2006/relationships/image" Target="../media/image7.jpeg"/></Relationships>
</file>

<file path=xl/drawings/_rels/drawing9.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9</xdr:row>
      <xdr:rowOff>0</xdr:rowOff>
    </xdr:from>
    <xdr:to>
      <xdr:col>17</xdr:col>
      <xdr:colOff>474762</xdr:colOff>
      <xdr:row>48</xdr:row>
      <xdr:rowOff>27643</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524000" y="1714500"/>
          <a:ext cx="11904762" cy="74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828676</xdr:colOff>
      <xdr:row>7</xdr:row>
      <xdr:rowOff>85725</xdr:rowOff>
    </xdr:from>
    <xdr:to>
      <xdr:col>10</xdr:col>
      <xdr:colOff>857250</xdr:colOff>
      <xdr:row>24</xdr:row>
      <xdr:rowOff>114300</xdr:rowOff>
    </xdr:to>
    <xdr:graphicFrame macro="">
      <xdr:nvGraphicFramePr>
        <xdr:cNvPr id="3" name="Chart 2">
          <a:extLst>
            <a:ext uri="{FF2B5EF4-FFF2-40B4-BE49-F238E27FC236}">
              <a16:creationId xmlns:a16="http://schemas.microsoft.com/office/drawing/2014/main" id="{EFE2429D-1E21-4E9D-AC59-7044EE38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0.32023</cdr:x>
      <cdr:y>0.03947</cdr:y>
    </cdr:from>
    <cdr:to>
      <cdr:x>0.59098</cdr:x>
      <cdr:y>0.11579</cdr:y>
    </cdr:to>
    <cdr:sp macro="" textlink="">
      <cdr:nvSpPr>
        <cdr:cNvPr id="2" name="TextBox 1">
          <a:extLst xmlns:a="http://schemas.openxmlformats.org/drawingml/2006/main">
            <a:ext uri="{FF2B5EF4-FFF2-40B4-BE49-F238E27FC236}">
              <a16:creationId xmlns:a16="http://schemas.microsoft.com/office/drawing/2014/main" id="{B1A8AD4B-5615-016D-442A-233D96AFCEC0}"/>
            </a:ext>
          </a:extLst>
        </cdr:cNvPr>
        <cdr:cNvSpPr txBox="1"/>
      </cdr:nvSpPr>
      <cdr:spPr>
        <a:xfrm xmlns:a="http://schemas.openxmlformats.org/drawingml/2006/main">
          <a:off x="2095499" y="142875"/>
          <a:ext cx="1771650" cy="276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tonnes per day production</a:t>
          </a:r>
        </a:p>
      </cdr:txBody>
    </cdr:sp>
  </cdr:relSizeAnchor>
  <cdr:relSizeAnchor xmlns:cdr="http://schemas.openxmlformats.org/drawingml/2006/chartDrawing">
    <cdr:from>
      <cdr:x>0.32886</cdr:x>
      <cdr:y>0.09561</cdr:y>
    </cdr:from>
    <cdr:to>
      <cdr:x>0.42614</cdr:x>
      <cdr:y>0.16053</cdr:y>
    </cdr:to>
    <cdr:sp macro="" textlink="">
      <cdr:nvSpPr>
        <cdr:cNvPr id="3" name="TextBox 1">
          <a:extLst xmlns:a="http://schemas.openxmlformats.org/drawingml/2006/main">
            <a:ext uri="{FF2B5EF4-FFF2-40B4-BE49-F238E27FC236}">
              <a16:creationId xmlns:a16="http://schemas.microsoft.com/office/drawing/2014/main" id="{D9E712C9-67A6-DDF4-0302-9C7EAC16BE1F}"/>
            </a:ext>
          </a:extLst>
        </cdr:cNvPr>
        <cdr:cNvSpPr txBox="1"/>
      </cdr:nvSpPr>
      <cdr:spPr>
        <a:xfrm xmlns:a="http://schemas.openxmlformats.org/drawingml/2006/main">
          <a:off x="2396270" y="346060"/>
          <a:ext cx="708879" cy="2349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$/tonne NH3 sold</a:t>
          </a:r>
        </a:p>
      </cdr:txBody>
    </cdr:sp>
  </cdr:relSizeAnchor>
  <cdr:relSizeAnchor xmlns:cdr="http://schemas.openxmlformats.org/drawingml/2006/chartDrawing">
    <cdr:from>
      <cdr:x>0.25806</cdr:x>
      <cdr:y>0.1</cdr:y>
    </cdr:from>
    <cdr:to>
      <cdr:x>0.35704</cdr:x>
      <cdr:y>0.18158</cdr:y>
    </cdr:to>
    <cdr:sp macro="" textlink="'Discounted cash flow'!$D$7">
      <cdr:nvSpPr>
        <cdr:cNvPr id="4" name="TextBox 3"/>
        <cdr:cNvSpPr txBox="1"/>
      </cdr:nvSpPr>
      <cdr:spPr>
        <a:xfrm xmlns:a="http://schemas.openxmlformats.org/drawingml/2006/main">
          <a:off x="1880375" y="361950"/>
          <a:ext cx="721238" cy="2952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398A3FFB-8C45-49BA-9918-AD9B70ABD5FF}" type="TxLink">
            <a:rPr lang="en-US" sz="1100" b="0" i="0" u="none" strike="noStrike">
              <a:solidFill>
                <a:srgbClr val="000000"/>
              </a:solidFill>
              <a:latin typeface="+mn-lt"/>
              <a:cs typeface="Arial"/>
            </a:rPr>
            <a:pPr/>
            <a:t> $1,000 </a:t>
          </a:fld>
          <a:endParaRPr lang="en-US" sz="1100" b="0">
            <a:latin typeface="+mn-lt"/>
          </a:endParaRPr>
        </a:p>
      </cdr:txBody>
    </cdr:sp>
  </cdr:relSizeAnchor>
  <cdr:relSizeAnchor xmlns:cdr="http://schemas.openxmlformats.org/drawingml/2006/chartDrawing">
    <cdr:from>
      <cdr:x>0.56601</cdr:x>
      <cdr:y>0.03947</cdr:y>
    </cdr:from>
    <cdr:to>
      <cdr:x>0.63007</cdr:x>
      <cdr:y>0.10526</cdr:y>
    </cdr:to>
    <cdr:sp macro="" textlink="'Discounted cash flow'!$E$9">
      <cdr:nvSpPr>
        <cdr:cNvPr id="5" name="TextBox 4"/>
        <cdr:cNvSpPr txBox="1"/>
      </cdr:nvSpPr>
      <cdr:spPr>
        <a:xfrm xmlns:a="http://schemas.openxmlformats.org/drawingml/2006/main">
          <a:off x="4124324" y="142875"/>
          <a:ext cx="466725" cy="2381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D288187B-DE71-44B3-877C-6FB8BE73EE17}" type="TxLink">
            <a:rPr lang="en-US" sz="1100" b="0" i="0" u="none" strike="noStrike">
              <a:solidFill>
                <a:srgbClr val="000000"/>
              </a:solidFill>
              <a:latin typeface="Arial"/>
              <a:cs typeface="Arial"/>
            </a:rPr>
            <a:pPr/>
            <a:t>4.55</a:t>
          </a:fld>
          <a:endParaRPr lang="en-US" sz="1100"/>
        </a:p>
      </cdr:txBody>
    </cdr:sp>
  </cdr:relSizeAnchor>
  <cdr:relSizeAnchor xmlns:cdr="http://schemas.openxmlformats.org/drawingml/2006/chartDrawing">
    <cdr:from>
      <cdr:x>0.59869</cdr:x>
      <cdr:y>0.03684</cdr:y>
    </cdr:from>
    <cdr:to>
      <cdr:x>0.77647</cdr:x>
      <cdr:y>0.10263</cdr:y>
    </cdr:to>
    <cdr:sp macro="" textlink="">
      <cdr:nvSpPr>
        <cdr:cNvPr id="6" name="TextBox 5"/>
        <cdr:cNvSpPr txBox="1"/>
      </cdr:nvSpPr>
      <cdr:spPr>
        <a:xfrm xmlns:a="http://schemas.openxmlformats.org/drawingml/2006/main">
          <a:off x="4362449" y="133350"/>
          <a:ext cx="1295400" cy="2381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a:t>% </a:t>
          </a:r>
          <a:r>
            <a:rPr lang="en-US" sz="1100"/>
            <a:t>Discount</a:t>
          </a:r>
          <a:r>
            <a:rPr lang="en-US" sz="1200"/>
            <a:t> Rate</a:t>
          </a:r>
        </a:p>
      </cdr:txBody>
    </cdr:sp>
  </cdr:relSizeAnchor>
  <cdr:relSizeAnchor xmlns:cdr="http://schemas.openxmlformats.org/drawingml/2006/chartDrawing">
    <cdr:from>
      <cdr:x>0.5634</cdr:x>
      <cdr:y>0.09474</cdr:y>
    </cdr:from>
    <cdr:to>
      <cdr:x>0.7451</cdr:x>
      <cdr:y>0.17895</cdr:y>
    </cdr:to>
    <cdr:sp macro="" textlink="'Discounted cash flow'!$D$6">
      <cdr:nvSpPr>
        <cdr:cNvPr id="7" name="TextBox 6"/>
        <cdr:cNvSpPr txBox="1"/>
      </cdr:nvSpPr>
      <cdr:spPr>
        <a:xfrm xmlns:a="http://schemas.openxmlformats.org/drawingml/2006/main">
          <a:off x="4105273" y="342900"/>
          <a:ext cx="1323975" cy="3048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C8B4B40C-D1BE-4139-80B8-23A0C703CDA6}" type="TxLink">
            <a:rPr lang="en-US" sz="1100" b="0" i="0" u="none" strike="noStrike">
              <a:solidFill>
                <a:srgbClr val="000000"/>
              </a:solidFill>
              <a:latin typeface="+mn-lt"/>
              <a:cs typeface="Arial"/>
            </a:rPr>
            <a:pPr/>
            <a:t> $12,000,000 </a:t>
          </a:fld>
          <a:endParaRPr lang="en-US" sz="1100">
            <a:latin typeface="+mn-lt"/>
          </a:endParaRPr>
        </a:p>
      </cdr:txBody>
    </cdr:sp>
  </cdr:relSizeAnchor>
  <cdr:relSizeAnchor xmlns:cdr="http://schemas.openxmlformats.org/drawingml/2006/chartDrawing">
    <cdr:from>
      <cdr:x>0.6915</cdr:x>
      <cdr:y>0.09211</cdr:y>
    </cdr:from>
    <cdr:to>
      <cdr:x>0.78301</cdr:x>
      <cdr:y>0.16579</cdr:y>
    </cdr:to>
    <cdr:sp macro="" textlink="">
      <cdr:nvSpPr>
        <cdr:cNvPr id="8" name="TextBox 7"/>
        <cdr:cNvSpPr txBox="1"/>
      </cdr:nvSpPr>
      <cdr:spPr>
        <a:xfrm xmlns:a="http://schemas.openxmlformats.org/drawingml/2006/main">
          <a:off x="5038724" y="333375"/>
          <a:ext cx="666750" cy="2667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Capex</a:t>
          </a:r>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0</xdr:col>
      <xdr:colOff>666750</xdr:colOff>
      <xdr:row>6</xdr:row>
      <xdr:rowOff>180975</xdr:rowOff>
    </xdr:from>
    <xdr:to>
      <xdr:col>13</xdr:col>
      <xdr:colOff>757040</xdr:colOff>
      <xdr:row>42</xdr:row>
      <xdr:rowOff>142875</xdr:rowOff>
    </xdr:to>
    <xdr:pic>
      <xdr:nvPicPr>
        <xdr:cNvPr id="2" name="Picture 1">
          <a:extLst>
            <a:ext uri="{FF2B5EF4-FFF2-40B4-BE49-F238E27FC236}">
              <a16:creationId xmlns:a16="http://schemas.microsoft.com/office/drawing/2014/main" id="{28F0A8A7-C2CC-7977-14D1-A84039078F9E}"/>
            </a:ext>
          </a:extLst>
        </xdr:cNvPr>
        <xdr:cNvPicPr>
          <a:picLocks noChangeAspect="1"/>
        </xdr:cNvPicPr>
      </xdr:nvPicPr>
      <xdr:blipFill>
        <a:blip xmlns:r="http://schemas.openxmlformats.org/officeDocument/2006/relationships" r:embed="rId1"/>
        <a:stretch>
          <a:fillRect/>
        </a:stretch>
      </xdr:blipFill>
      <xdr:spPr>
        <a:xfrm>
          <a:off x="666750" y="1323975"/>
          <a:ext cx="9996290" cy="68199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47625</xdr:colOff>
      <xdr:row>17</xdr:row>
      <xdr:rowOff>142875</xdr:rowOff>
    </xdr:from>
    <xdr:to>
      <xdr:col>25</xdr:col>
      <xdr:colOff>17145</xdr:colOff>
      <xdr:row>53</xdr:row>
      <xdr:rowOff>99695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13223875" y="3508375"/>
          <a:ext cx="9113520" cy="682752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342900</xdr:colOff>
      <xdr:row>4</xdr:row>
      <xdr:rowOff>66675</xdr:rowOff>
    </xdr:from>
    <xdr:to>
      <xdr:col>8</xdr:col>
      <xdr:colOff>716280</xdr:colOff>
      <xdr:row>33</xdr:row>
      <xdr:rowOff>112395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104900" y="828675"/>
          <a:ext cx="5707380" cy="5570220"/>
        </a:xfrm>
        <a:prstGeom prst="rect">
          <a:avLst/>
        </a:prstGeom>
      </xdr:spPr>
    </xdr:pic>
    <xdr:clientData/>
  </xdr:twoCellAnchor>
  <xdr:twoCellAnchor editAs="oneCell">
    <xdr:from>
      <xdr:col>9</xdr:col>
      <xdr:colOff>47625</xdr:colOff>
      <xdr:row>5</xdr:row>
      <xdr:rowOff>123825</xdr:rowOff>
    </xdr:from>
    <xdr:to>
      <xdr:col>21</xdr:col>
      <xdr:colOff>682337</xdr:colOff>
      <xdr:row>30</xdr:row>
      <xdr:rowOff>38100</xdr:rowOff>
    </xdr:to>
    <xdr:pic>
      <xdr:nvPicPr>
        <xdr:cNvPr id="3" name="Picture 2">
          <a:extLst>
            <a:ext uri="{FF2B5EF4-FFF2-40B4-BE49-F238E27FC236}">
              <a16:creationId xmlns:a16="http://schemas.microsoft.com/office/drawing/2014/main" id="{C963ECD7-3AA4-44F1-64C8-69738DB8CEE3}"/>
            </a:ext>
          </a:extLst>
        </xdr:cNvPr>
        <xdr:cNvPicPr>
          <a:picLocks noChangeAspect="1"/>
        </xdr:cNvPicPr>
      </xdr:nvPicPr>
      <xdr:blipFill>
        <a:blip xmlns:r="http://schemas.openxmlformats.org/officeDocument/2006/relationships" r:embed="rId2"/>
        <a:stretch>
          <a:fillRect/>
        </a:stretch>
      </xdr:blipFill>
      <xdr:spPr>
        <a:xfrm>
          <a:off x="6905625" y="1076325"/>
          <a:ext cx="9778712" cy="46767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119062</xdr:colOff>
      <xdr:row>4</xdr:row>
      <xdr:rowOff>15876</xdr:rowOff>
    </xdr:from>
    <xdr:to>
      <xdr:col>20</xdr:col>
      <xdr:colOff>507682</xdr:colOff>
      <xdr:row>20</xdr:row>
      <xdr:rowOff>129858</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0668000" y="777876"/>
          <a:ext cx="9532620" cy="31699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523875</xdr:colOff>
      <xdr:row>6</xdr:row>
      <xdr:rowOff>68036</xdr:rowOff>
    </xdr:from>
    <xdr:to>
      <xdr:col>16</xdr:col>
      <xdr:colOff>401955</xdr:colOff>
      <xdr:row>34</xdr:row>
      <xdr:rowOff>151856</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9477375" y="1211036"/>
          <a:ext cx="4450080" cy="54178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12</xdr:col>
      <xdr:colOff>303892</xdr:colOff>
      <xdr:row>19</xdr:row>
      <xdr:rowOff>0</xdr:rowOff>
    </xdr:from>
    <xdr:to>
      <xdr:col>19</xdr:col>
      <xdr:colOff>634364</xdr:colOff>
      <xdr:row>49</xdr:row>
      <xdr:rowOff>89535</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stretch>
          <a:fillRect/>
        </a:stretch>
      </xdr:blipFill>
      <xdr:spPr>
        <a:xfrm>
          <a:off x="9847942" y="3619500"/>
          <a:ext cx="6397897" cy="585216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657225</xdr:colOff>
      <xdr:row>0</xdr:row>
      <xdr:rowOff>0</xdr:rowOff>
    </xdr:from>
    <xdr:to>
      <xdr:col>23</xdr:col>
      <xdr:colOff>268605</xdr:colOff>
      <xdr:row>20</xdr:row>
      <xdr:rowOff>0</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11953875" y="0"/>
          <a:ext cx="6469380" cy="3810000"/>
        </a:xfrm>
        <a:prstGeom prst="rect">
          <a:avLst/>
        </a:prstGeom>
      </xdr:spPr>
    </xdr:pic>
    <xdr:clientData/>
  </xdr:twoCellAnchor>
  <xdr:twoCellAnchor editAs="oneCell">
    <xdr:from>
      <xdr:col>14</xdr:col>
      <xdr:colOff>714375</xdr:colOff>
      <xdr:row>20</xdr:row>
      <xdr:rowOff>38100</xdr:rowOff>
    </xdr:from>
    <xdr:to>
      <xdr:col>23</xdr:col>
      <xdr:colOff>257175</xdr:colOff>
      <xdr:row>52</xdr:row>
      <xdr:rowOff>83820</xdr:rowOff>
    </xdr:to>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12011025" y="3848100"/>
          <a:ext cx="6400800" cy="614172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0</xdr:colOff>
      <xdr:row>1</xdr:row>
      <xdr:rowOff>0</xdr:rowOff>
    </xdr:from>
    <xdr:to>
      <xdr:col>21</xdr:col>
      <xdr:colOff>542000</xdr:colOff>
      <xdr:row>25</xdr:row>
      <xdr:rowOff>75619</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9144000" y="190500"/>
          <a:ext cx="7400000" cy="46476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www.calculator.net/future-value-calculator.html"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hyperlink" Target="https://www.nxtbook.com/accessintelligence/ChemicalEngineering/chemical-engineering-june-intl-2022/index.php?startid=48"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globalindustrial.com/p/commercial-reverse-osmosis-system-for-boilerless-steamers-and-combi-ovens?infoParam.campaignId=T9F&amp;gclid=EAIaIQobChMIyv7Amf2e-wIVcHtvBB2KLgrZEAQYBCABEgJFWfD_BwE"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F23"/>
  <sheetViews>
    <sheetView tabSelected="1" workbookViewId="0">
      <selection activeCell="F9" sqref="F9"/>
    </sheetView>
  </sheetViews>
  <sheetFormatPr defaultRowHeight="15" x14ac:dyDescent="0.2"/>
  <cols>
    <col min="2" max="2" width="9.88671875" bestFit="1" customWidth="1"/>
  </cols>
  <sheetData>
    <row r="2" spans="2:6" ht="15.75" x14ac:dyDescent="0.25">
      <c r="B2" s="78" t="s">
        <v>137</v>
      </c>
    </row>
    <row r="5" spans="2:6" x14ac:dyDescent="0.2">
      <c r="B5" s="77">
        <v>44883</v>
      </c>
      <c r="C5" t="s">
        <v>134</v>
      </c>
      <c r="D5" t="s">
        <v>132</v>
      </c>
      <c r="F5" t="s">
        <v>133</v>
      </c>
    </row>
    <row r="6" spans="2:6" x14ac:dyDescent="0.2">
      <c r="F6" t="s">
        <v>138</v>
      </c>
    </row>
    <row r="7" spans="2:6" x14ac:dyDescent="0.2">
      <c r="F7" t="s">
        <v>135</v>
      </c>
    </row>
    <row r="8" spans="2:6" x14ac:dyDescent="0.2">
      <c r="F8" t="s">
        <v>136</v>
      </c>
    </row>
    <row r="9" spans="2:6" ht="15.75" x14ac:dyDescent="0.25">
      <c r="F9" s="78" t="s">
        <v>139</v>
      </c>
    </row>
    <row r="11" spans="2:6" x14ac:dyDescent="0.2">
      <c r="B11" s="77">
        <v>44886</v>
      </c>
      <c r="D11" t="s">
        <v>132</v>
      </c>
      <c r="F11" t="s">
        <v>165</v>
      </c>
    </row>
    <row r="12" spans="2:6" x14ac:dyDescent="0.2">
      <c r="F12" t="s">
        <v>166</v>
      </c>
    </row>
    <row r="14" spans="2:6" x14ac:dyDescent="0.2">
      <c r="B14" s="77">
        <v>44963</v>
      </c>
      <c r="D14" t="s">
        <v>132</v>
      </c>
      <c r="F14" t="s">
        <v>168</v>
      </c>
    </row>
    <row r="15" spans="2:6" x14ac:dyDescent="0.2">
      <c r="F15" t="s">
        <v>171</v>
      </c>
    </row>
    <row r="18" spans="2:6" x14ac:dyDescent="0.2">
      <c r="B18" s="77">
        <v>44971</v>
      </c>
      <c r="D18" t="s">
        <v>132</v>
      </c>
      <c r="F18" t="s">
        <v>179</v>
      </c>
    </row>
    <row r="19" spans="2:6" x14ac:dyDescent="0.2">
      <c r="F19" t="s">
        <v>184</v>
      </c>
    </row>
    <row r="21" spans="2:6" x14ac:dyDescent="0.2">
      <c r="B21" s="77">
        <v>45217</v>
      </c>
      <c r="D21" t="s">
        <v>132</v>
      </c>
      <c r="F21" t="s">
        <v>195</v>
      </c>
    </row>
    <row r="23" spans="2:6" x14ac:dyDescent="0.2">
      <c r="B23" s="77">
        <v>45224</v>
      </c>
      <c r="D23" t="s">
        <v>132</v>
      </c>
      <c r="F23" t="s">
        <v>209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5FBAD-70AB-4309-B371-0B9CC2861613}">
  <dimension ref="B4:F8"/>
  <sheetViews>
    <sheetView topLeftCell="B1" workbookViewId="0">
      <selection activeCell="F6" sqref="F6"/>
    </sheetView>
  </sheetViews>
  <sheetFormatPr defaultRowHeight="15" x14ac:dyDescent="0.2"/>
  <cols>
    <col min="2" max="2" width="9.88671875" bestFit="1" customWidth="1"/>
  </cols>
  <sheetData>
    <row r="4" spans="2:6" x14ac:dyDescent="0.2">
      <c r="B4" s="77">
        <v>45224</v>
      </c>
      <c r="D4" t="s">
        <v>132</v>
      </c>
      <c r="F4" t="s">
        <v>197</v>
      </c>
    </row>
    <row r="5" spans="2:6" x14ac:dyDescent="0.2">
      <c r="F5" t="s">
        <v>201</v>
      </c>
    </row>
    <row r="6" spans="2:6" x14ac:dyDescent="0.2">
      <c r="F6" t="s">
        <v>198</v>
      </c>
    </row>
    <row r="7" spans="2:6" x14ac:dyDescent="0.2">
      <c r="F7" t="s">
        <v>199</v>
      </c>
    </row>
    <row r="8" spans="2:6" x14ac:dyDescent="0.2">
      <c r="F8" t="s">
        <v>200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15" workbookViewId="0">
      <selection activeCell="C10" sqref="C10"/>
    </sheetView>
  </sheetViews>
  <sheetFormatPr defaultRowHeight="15"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8"/>
  <sheetViews>
    <sheetView zoomScale="110" zoomScaleNormal="110" workbookViewId="0">
      <selection activeCell="F6" sqref="F6"/>
    </sheetView>
  </sheetViews>
  <sheetFormatPr defaultRowHeight="15" x14ac:dyDescent="0.2"/>
  <cols>
    <col min="2" max="2" width="21.21875" customWidth="1"/>
    <col min="3" max="3" width="39.88671875" customWidth="1"/>
    <col min="4" max="4" width="17.44140625" customWidth="1"/>
    <col min="5" max="5" width="34.77734375" customWidth="1"/>
    <col min="6" max="6" width="13.6640625" customWidth="1"/>
    <col min="7" max="7" width="18.88671875" customWidth="1"/>
    <col min="8" max="8" width="16.21875" customWidth="1"/>
    <col min="9" max="9" width="20.88671875" customWidth="1"/>
    <col min="10" max="10" width="15" customWidth="1"/>
    <col min="11" max="11" width="30.109375" customWidth="1"/>
    <col min="12" max="12" width="14.5546875" bestFit="1" customWidth="1"/>
    <col min="13" max="13" width="17.21875" customWidth="1"/>
    <col min="14" max="14" width="13.5546875" bestFit="1" customWidth="1"/>
    <col min="15" max="15" width="14.33203125" customWidth="1"/>
    <col min="17" max="17" width="14.5546875" bestFit="1" customWidth="1"/>
  </cols>
  <sheetData>
    <row r="1" spans="1:16" ht="15.75" x14ac:dyDescent="0.25">
      <c r="C1" s="41" t="s">
        <v>202</v>
      </c>
      <c r="D1" s="41"/>
      <c r="E1" s="41"/>
      <c r="F1" s="41"/>
      <c r="G1" s="41"/>
    </row>
    <row r="2" spans="1:16" ht="15.75" x14ac:dyDescent="0.25">
      <c r="C2" s="112" t="s">
        <v>203</v>
      </c>
      <c r="D2" s="41"/>
      <c r="E2" s="41"/>
      <c r="F2" s="41"/>
      <c r="G2" s="41"/>
    </row>
    <row r="3" spans="1:16" ht="16.5" thickBot="1" x14ac:dyDescent="0.3">
      <c r="C3" s="41"/>
      <c r="D3" s="41"/>
      <c r="E3" s="41"/>
      <c r="F3" s="41"/>
      <c r="G3" s="41"/>
    </row>
    <row r="4" spans="1:16" ht="16.5" thickBot="1" x14ac:dyDescent="0.3">
      <c r="A4" s="51" t="s">
        <v>204</v>
      </c>
      <c r="B4" s="3"/>
      <c r="C4" s="89" t="s">
        <v>178</v>
      </c>
      <c r="D4" s="110">
        <f>'Renewable H2 Tax Credit'!C9</f>
        <v>0.10559999999999999</v>
      </c>
      <c r="E4" s="89"/>
      <c r="F4" s="78"/>
      <c r="G4" s="78"/>
    </row>
    <row r="5" spans="1:16" ht="18.75" thickBot="1" x14ac:dyDescent="0.3">
      <c r="A5" s="51" t="s">
        <v>205</v>
      </c>
      <c r="B5" s="3"/>
      <c r="C5" s="60" t="s">
        <v>189</v>
      </c>
      <c r="D5" s="60">
        <v>10</v>
      </c>
      <c r="E5" s="86" t="s">
        <v>207</v>
      </c>
    </row>
    <row r="6" spans="1:16" ht="18.75" thickBot="1" x14ac:dyDescent="0.3">
      <c r="C6" s="87" t="s">
        <v>188</v>
      </c>
      <c r="D6" s="88">
        <f>(12000000*0.4)*(D5/10)^0.6+(12000000*0.6)*(D5/10)^0.7</f>
        <v>12000000</v>
      </c>
      <c r="E6" s="87"/>
    </row>
    <row r="7" spans="1:16" ht="18.75" thickBot="1" x14ac:dyDescent="0.3">
      <c r="C7" s="60" t="s">
        <v>37</v>
      </c>
      <c r="D7" s="61">
        <v>1000</v>
      </c>
      <c r="E7" s="108" t="s">
        <v>208</v>
      </c>
    </row>
    <row r="8" spans="1:16" ht="18.75" thickBot="1" x14ac:dyDescent="0.3">
      <c r="C8" s="60" t="s">
        <v>38</v>
      </c>
      <c r="D8" s="115">
        <v>0.3</v>
      </c>
      <c r="E8" s="116">
        <f>D8*100</f>
        <v>30</v>
      </c>
      <c r="F8" t="s">
        <v>29</v>
      </c>
    </row>
    <row r="9" spans="1:16" ht="18.75" thickBot="1" x14ac:dyDescent="0.3">
      <c r="C9" s="60" t="s">
        <v>196</v>
      </c>
      <c r="D9" s="115">
        <v>4.5503383009847582E-2</v>
      </c>
      <c r="E9" s="116">
        <f>D9*100</f>
        <v>4.550338300984758</v>
      </c>
      <c r="F9" t="s">
        <v>40</v>
      </c>
    </row>
    <row r="10" spans="1:16" ht="15.75" thickBot="1" x14ac:dyDescent="0.25">
      <c r="C10" s="89"/>
      <c r="D10" s="89"/>
      <c r="E10" s="89"/>
    </row>
    <row r="11" spans="1:16" ht="18.75" thickBot="1" x14ac:dyDescent="0.3">
      <c r="C11" s="87" t="s">
        <v>42</v>
      </c>
      <c r="D11" s="87">
        <f>D5</f>
        <v>10</v>
      </c>
      <c r="E11" s="87" t="s">
        <v>39</v>
      </c>
    </row>
    <row r="12" spans="1:16" ht="18.75" thickBot="1" x14ac:dyDescent="0.3">
      <c r="C12" s="60" t="s">
        <v>44</v>
      </c>
      <c r="D12" s="60">
        <v>360</v>
      </c>
      <c r="E12" s="109">
        <f>D12*24</f>
        <v>8640</v>
      </c>
      <c r="F12" s="74" t="s">
        <v>126</v>
      </c>
    </row>
    <row r="13" spans="1:16" ht="18.75" thickBot="1" x14ac:dyDescent="0.3">
      <c r="C13" s="60" t="s">
        <v>41</v>
      </c>
      <c r="D13" s="111">
        <v>25000</v>
      </c>
      <c r="E13" s="89"/>
    </row>
    <row r="14" spans="1:16" ht="18.75" thickBot="1" x14ac:dyDescent="0.3">
      <c r="C14" s="60" t="s">
        <v>194</v>
      </c>
      <c r="D14" s="62">
        <v>0.02</v>
      </c>
      <c r="E14" s="86" t="s">
        <v>115</v>
      </c>
      <c r="L14" s="56" t="s">
        <v>108</v>
      </c>
      <c r="M14" s="57"/>
      <c r="N14" s="57"/>
      <c r="O14" s="57"/>
      <c r="P14" s="57"/>
    </row>
    <row r="15" spans="1:16" ht="15.75" thickBot="1" x14ac:dyDescent="0.25">
      <c r="C15" s="72"/>
      <c r="D15" s="73"/>
      <c r="E15" s="72"/>
      <c r="L15" s="58">
        <f>D6</f>
        <v>12000000</v>
      </c>
      <c r="M15" s="57" t="s">
        <v>107</v>
      </c>
      <c r="N15" s="3">
        <v>4</v>
      </c>
      <c r="O15" s="57" t="s">
        <v>94</v>
      </c>
      <c r="P15" s="57"/>
    </row>
    <row r="16" spans="1:16" ht="15.75" thickBot="1" x14ac:dyDescent="0.25">
      <c r="C16" s="89"/>
      <c r="D16" s="89"/>
      <c r="E16" s="89"/>
      <c r="L16" s="59">
        <f>-FV((N15/100), N16,0,L15,1)</f>
        <v>38920770.120330505</v>
      </c>
      <c r="M16" s="57" t="s">
        <v>95</v>
      </c>
      <c r="N16" s="114">
        <f>C58</f>
        <v>30</v>
      </c>
      <c r="O16" s="57" t="s">
        <v>47</v>
      </c>
      <c r="P16" s="57"/>
    </row>
    <row r="17" spans="2:17" ht="15.75" thickBot="1" x14ac:dyDescent="0.25">
      <c r="C17" s="89"/>
      <c r="D17" s="89"/>
      <c r="E17" s="89"/>
      <c r="L17" s="57" t="s">
        <v>106</v>
      </c>
      <c r="M17" s="57"/>
      <c r="N17" s="57"/>
      <c r="O17" s="57"/>
      <c r="P17" s="57"/>
    </row>
    <row r="18" spans="2:17" ht="15.75" x14ac:dyDescent="0.25">
      <c r="C18" s="52" t="s">
        <v>109</v>
      </c>
      <c r="D18" s="55"/>
      <c r="E18" s="55"/>
      <c r="L18" s="57" t="s">
        <v>110</v>
      </c>
      <c r="M18" s="64" t="s">
        <v>112</v>
      </c>
      <c r="N18" s="57"/>
      <c r="O18" s="57"/>
      <c r="P18" s="57"/>
    </row>
    <row r="19" spans="2:17" x14ac:dyDescent="0.2">
      <c r="C19" s="42" t="s">
        <v>43</v>
      </c>
      <c r="D19" s="43">
        <f>D12*D11*D7</f>
        <v>3600000</v>
      </c>
      <c r="E19" s="44"/>
    </row>
    <row r="20" spans="2:17" ht="15.75" thickBot="1" x14ac:dyDescent="0.25">
      <c r="C20" s="44" t="s">
        <v>206</v>
      </c>
      <c r="D20" s="44"/>
      <c r="E20" s="44"/>
    </row>
    <row r="21" spans="2:17" ht="18.75" thickBot="1" x14ac:dyDescent="0.3">
      <c r="C21" s="86" t="s">
        <v>129</v>
      </c>
      <c r="D21" s="96">
        <f>'Cost of Manuf COMd modified'!F26</f>
        <v>3</v>
      </c>
      <c r="E21" s="89" t="s">
        <v>193</v>
      </c>
    </row>
    <row r="22" spans="2:17" ht="18.75" thickBot="1" x14ac:dyDescent="0.3">
      <c r="C22" s="60" t="s">
        <v>130</v>
      </c>
      <c r="D22" s="61">
        <v>100000</v>
      </c>
      <c r="E22" s="86"/>
    </row>
    <row r="23" spans="2:17" ht="18.75" thickTop="1" x14ac:dyDescent="0.25">
      <c r="B23" s="113" t="s">
        <v>180</v>
      </c>
      <c r="C23" s="98" t="s">
        <v>45</v>
      </c>
      <c r="D23" s="99">
        <f>M58</f>
        <v>-5.4744305089116096E-8</v>
      </c>
      <c r="E23" s="100"/>
    </row>
    <row r="24" spans="2:17" s="18" customFormat="1" ht="18.75" customHeight="1" x14ac:dyDescent="0.25">
      <c r="C24" s="101" t="s">
        <v>46</v>
      </c>
      <c r="D24" s="102" cm="1">
        <f t="array" ref="D24">LOOKUP(2,1/(NOT(ISBLANK(C:C))),C:C)</f>
        <v>30</v>
      </c>
      <c r="E24" s="103" t="s">
        <v>47</v>
      </c>
      <c r="F24"/>
      <c r="G24"/>
      <c r="H24"/>
      <c r="I24"/>
      <c r="J24"/>
      <c r="K24"/>
      <c r="L24"/>
      <c r="M24"/>
      <c r="N24"/>
      <c r="O24"/>
      <c r="P24"/>
      <c r="Q24"/>
    </row>
    <row r="25" spans="2:17" ht="18.75" thickBot="1" x14ac:dyDescent="0.3">
      <c r="C25" s="104" t="s">
        <v>114</v>
      </c>
      <c r="D25" s="105">
        <f>(SUM(L31:L58)/(-SUM(L28:L30)))</f>
        <v>0.99999999999999467</v>
      </c>
      <c r="E25" s="106"/>
    </row>
    <row r="26" spans="2:17" s="16" customFormat="1" ht="15.75" thickTop="1" x14ac:dyDescent="0.2">
      <c r="C26"/>
      <c r="D26"/>
      <c r="E26"/>
      <c r="F26"/>
      <c r="G26"/>
      <c r="H26" s="31"/>
      <c r="I26"/>
      <c r="J26"/>
      <c r="K26"/>
      <c r="L26"/>
      <c r="M26"/>
      <c r="N26"/>
      <c r="O26"/>
      <c r="P26"/>
    </row>
    <row r="27" spans="2:17" ht="45.75" thickBot="1" x14ac:dyDescent="0.25">
      <c r="C27" s="12" t="s">
        <v>14</v>
      </c>
      <c r="D27" s="12" t="s">
        <v>15</v>
      </c>
      <c r="E27" s="13" t="s">
        <v>81</v>
      </c>
      <c r="F27" s="12" t="s">
        <v>16</v>
      </c>
      <c r="G27" s="12" t="s">
        <v>186</v>
      </c>
      <c r="H27" s="12" t="s">
        <v>35</v>
      </c>
      <c r="I27" s="12" t="s">
        <v>182</v>
      </c>
      <c r="J27" s="12" t="s">
        <v>28</v>
      </c>
      <c r="K27" s="12" t="s">
        <v>30</v>
      </c>
      <c r="L27" s="11" t="s">
        <v>33</v>
      </c>
      <c r="M27" s="11" t="s">
        <v>34</v>
      </c>
      <c r="N27" s="5"/>
    </row>
    <row r="28" spans="2:17" ht="15.75" thickTop="1" x14ac:dyDescent="0.2">
      <c r="C28" s="10">
        <v>0</v>
      </c>
      <c r="D28" s="9">
        <f>D13*-1</f>
        <v>-25000</v>
      </c>
      <c r="E28" s="9"/>
      <c r="F28" s="19">
        <f>$D$6</f>
        <v>12000000</v>
      </c>
      <c r="G28" s="9"/>
      <c r="H28" s="9"/>
      <c r="I28" s="9">
        <f>((G28-H28-E28)*(1-$D$8)+E28)+$D$5*$D$12*'Renewable H2 Tax Credit'!C6*1000</f>
        <v>0</v>
      </c>
      <c r="J28" s="9">
        <f>D28</f>
        <v>-25000</v>
      </c>
      <c r="K28" s="9">
        <f>J28</f>
        <v>-25000</v>
      </c>
      <c r="L28" s="14">
        <f>D28</f>
        <v>-25000</v>
      </c>
      <c r="M28" s="14">
        <f>L28</f>
        <v>-25000</v>
      </c>
    </row>
    <row r="29" spans="2:17" x14ac:dyDescent="0.2">
      <c r="C29" s="10">
        <v>1</v>
      </c>
      <c r="D29" s="9">
        <f>-0.6*$D$6*(1-$D$16)</f>
        <v>-7200000</v>
      </c>
      <c r="E29" s="9"/>
      <c r="F29" s="19">
        <f>$D$6</f>
        <v>12000000</v>
      </c>
      <c r="G29" s="9">
        <f>$D$15*$D$16</f>
        <v>0</v>
      </c>
      <c r="H29" s="9"/>
      <c r="I29" s="9">
        <v>0</v>
      </c>
      <c r="J29" s="9">
        <f>D29+$D$16*G29</f>
        <v>-7200000</v>
      </c>
      <c r="K29" s="9">
        <f>K28+J29</f>
        <v>-7225000</v>
      </c>
      <c r="L29" s="15">
        <f>J29/((1+$D$9)^(ROW()-27))</f>
        <v>-6586908.2110400237</v>
      </c>
      <c r="M29" s="15">
        <f>M28+L29</f>
        <v>-6611908.2110400237</v>
      </c>
    </row>
    <row r="30" spans="2:17" x14ac:dyDescent="0.2">
      <c r="C30" s="10">
        <v>2</v>
      </c>
      <c r="D30" s="9">
        <f>-0.4*$D$6*(1-$D$16)</f>
        <v>-4800000</v>
      </c>
      <c r="E30" s="9"/>
      <c r="F30" s="19">
        <f>$D$6</f>
        <v>12000000</v>
      </c>
      <c r="G30" s="9">
        <f>$D$15*$D$16</f>
        <v>0</v>
      </c>
      <c r="H30" s="9"/>
      <c r="I30" s="9">
        <f>((G30-H30-E30)*(1-$D$8)+E30)+$D$5*$D$12*'Renewable H2 Tax Credit'!C8*1000</f>
        <v>0</v>
      </c>
      <c r="J30" s="9">
        <f>D30+$D$16*G30</f>
        <v>-4800000</v>
      </c>
      <c r="K30" s="9">
        <f t="shared" ref="K30:K38" si="0">K29+J30</f>
        <v>-12025000</v>
      </c>
      <c r="L30" s="15">
        <f t="shared" ref="L30:L58" si="1">J30/((1+$D$9)^(ROW()-27))</f>
        <v>-4200151.0583844632</v>
      </c>
      <c r="M30" s="15">
        <f t="shared" ref="M30:M48" si="2">M29+L30</f>
        <v>-10812059.269424487</v>
      </c>
    </row>
    <row r="31" spans="2:17" x14ac:dyDescent="0.2">
      <c r="B31" s="22" t="s">
        <v>181</v>
      </c>
      <c r="C31" s="23">
        <v>3</v>
      </c>
      <c r="D31" s="9"/>
      <c r="E31" s="9">
        <f>$D$6*0.2</f>
        <v>2400000</v>
      </c>
      <c r="F31" s="19">
        <f>D6-E31</f>
        <v>9600000</v>
      </c>
      <c r="G31" s="9">
        <f>(($D$19+$D$15*$D$16)-$D$16*$D$15)</f>
        <v>3600000</v>
      </c>
      <c r="H31" s="40">
        <f>'Cost of Manuf COMd modified'!$J$16</f>
        <v>3306181.9200000004</v>
      </c>
      <c r="I31" s="9">
        <f>((G31-H31-E31)*(1-$D$8)+E31)+$D$5*$D$12*'Renewable H2 Tax Credit'!$C$9*1000</f>
        <v>1305832.6559999997</v>
      </c>
      <c r="J31" s="9">
        <f>I31</f>
        <v>1305832.6559999997</v>
      </c>
      <c r="K31" s="9">
        <f t="shared" si="0"/>
        <v>-10719167.344000001</v>
      </c>
      <c r="L31" s="15">
        <f t="shared" si="1"/>
        <v>1092913.4116360971</v>
      </c>
      <c r="M31" s="15">
        <f t="shared" si="2"/>
        <v>-9719145.8577883895</v>
      </c>
    </row>
    <row r="32" spans="2:17" x14ac:dyDescent="0.2">
      <c r="C32" s="10">
        <v>4</v>
      </c>
      <c r="D32" s="9"/>
      <c r="E32" s="9">
        <f>$D$6*0.32</f>
        <v>3840000</v>
      </c>
      <c r="F32" s="19">
        <f>D6-E31-E32</f>
        <v>5760000</v>
      </c>
      <c r="G32" s="9">
        <f t="shared" ref="G32:G58" si="3">($D$19+$D$15*$D$16)-$D$16*$D$15</f>
        <v>3600000</v>
      </c>
      <c r="H32" s="40">
        <f>'Cost of Manuf COMd modified'!$J$16</f>
        <v>3306181.9200000004</v>
      </c>
      <c r="I32" s="9">
        <f>((G32-H32-E32)*(1-$D$8)+E32)+$D$5*$D$12*'Renewable H2 Tax Credit'!$C$9*1000</f>
        <v>1737832.656</v>
      </c>
      <c r="J32" s="9">
        <f t="shared" ref="J32:J57" si="4">I32</f>
        <v>1737832.656</v>
      </c>
      <c r="K32" s="9">
        <f t="shared" si="0"/>
        <v>-8981334.688000001</v>
      </c>
      <c r="L32" s="15">
        <f t="shared" si="1"/>
        <v>1391171.7233802117</v>
      </c>
      <c r="M32" s="15">
        <f t="shared" si="2"/>
        <v>-8327974.1344081778</v>
      </c>
    </row>
    <row r="33" spans="3:13" x14ac:dyDescent="0.2">
      <c r="C33" s="10">
        <v>5</v>
      </c>
      <c r="D33" s="9"/>
      <c r="E33" s="9">
        <f>$D$6*0.192</f>
        <v>2304000</v>
      </c>
      <c r="F33" s="19">
        <f>D6-E31-E32-E33</f>
        <v>3456000</v>
      </c>
      <c r="G33" s="9">
        <f t="shared" si="3"/>
        <v>3600000</v>
      </c>
      <c r="H33" s="40">
        <f>'Cost of Manuf COMd modified'!$J$16</f>
        <v>3306181.9200000004</v>
      </c>
      <c r="I33" s="9">
        <f>((G33-H33-E33)*(1-$D$8)+E33)+$D$5*$D$12*'Renewable H2 Tax Credit'!$C$9*1000</f>
        <v>1277032.6559999997</v>
      </c>
      <c r="J33" s="9">
        <f t="shared" si="4"/>
        <v>1277032.6559999997</v>
      </c>
      <c r="K33" s="9">
        <f t="shared" si="0"/>
        <v>-7704302.0320000015</v>
      </c>
      <c r="L33" s="15">
        <f t="shared" si="1"/>
        <v>977798.45900588064</v>
      </c>
      <c r="M33" s="15">
        <f t="shared" si="2"/>
        <v>-7350175.6754022967</v>
      </c>
    </row>
    <row r="34" spans="3:13" x14ac:dyDescent="0.2">
      <c r="C34" s="10">
        <v>6</v>
      </c>
      <c r="D34" s="9"/>
      <c r="E34" s="9">
        <f>$D$6*0.1152</f>
        <v>1382400</v>
      </c>
      <c r="F34" s="19">
        <f>D6-E31-E32-E33-E34</f>
        <v>2073600</v>
      </c>
      <c r="G34" s="9">
        <f t="shared" si="3"/>
        <v>3600000</v>
      </c>
      <c r="H34" s="40">
        <f>'Cost of Manuf COMd modified'!$J$16</f>
        <v>3306181.9200000004</v>
      </c>
      <c r="I34" s="9">
        <f>((G34-H34-E34)*(1-$D$8)+E34)+$D$5*$D$12*'Renewable H2 Tax Credit'!$C$9*1000</f>
        <v>1000552.6559999997</v>
      </c>
      <c r="J34" s="9">
        <f t="shared" si="4"/>
        <v>1000552.6559999997</v>
      </c>
      <c r="K34" s="9">
        <f t="shared" si="0"/>
        <v>-6703749.376000002</v>
      </c>
      <c r="L34" s="15">
        <f t="shared" si="1"/>
        <v>732760.16557823704</v>
      </c>
      <c r="M34" s="15">
        <f t="shared" si="2"/>
        <v>-6617415.5098240599</v>
      </c>
    </row>
    <row r="35" spans="3:13" x14ac:dyDescent="0.2">
      <c r="C35" s="10">
        <v>7</v>
      </c>
      <c r="D35" s="9"/>
      <c r="E35" s="9">
        <f>$D$6*0.1152</f>
        <v>1382400</v>
      </c>
      <c r="F35" s="19">
        <f>D6-E31-E32-E33-E34-E35</f>
        <v>691200</v>
      </c>
      <c r="G35" s="9">
        <f t="shared" si="3"/>
        <v>3600000</v>
      </c>
      <c r="H35" s="40">
        <f>'Cost of Manuf COMd modified'!$J$16</f>
        <v>3306181.9200000004</v>
      </c>
      <c r="I35" s="9">
        <f>((G35-H35-E35)*(1-$D$8)+E35)+$D$5*$D$12*'Renewable H2 Tax Credit'!$C$9*1000</f>
        <v>1000552.6559999997</v>
      </c>
      <c r="J35" s="9">
        <f t="shared" si="4"/>
        <v>1000552.6559999997</v>
      </c>
      <c r="K35" s="9">
        <f t="shared" si="0"/>
        <v>-5703196.7200000025</v>
      </c>
      <c r="L35" s="15">
        <f t="shared" si="1"/>
        <v>700868.28745472862</v>
      </c>
      <c r="M35" s="15">
        <f t="shared" si="2"/>
        <v>-5916547.2223693309</v>
      </c>
    </row>
    <row r="36" spans="3:13" x14ac:dyDescent="0.2">
      <c r="C36" s="10">
        <v>8</v>
      </c>
      <c r="D36" s="9"/>
      <c r="E36" s="9">
        <f>$D$6*0.0576</f>
        <v>691200</v>
      </c>
      <c r="F36" s="19">
        <f>D6-E31-E32-E33-E34-E35-E36</f>
        <v>0</v>
      </c>
      <c r="G36" s="9">
        <f t="shared" si="3"/>
        <v>3600000</v>
      </c>
      <c r="H36" s="40">
        <f>'Cost of Manuf COMd modified'!$J$16</f>
        <v>3306181.9200000004</v>
      </c>
      <c r="I36" s="9">
        <f>((G36-H36-E36)*(1-$D$8)+E36)+$D$5*$D$12*'Renewable H2 Tax Credit'!$C$9*1000</f>
        <v>793192.65599999973</v>
      </c>
      <c r="J36" s="9">
        <f t="shared" si="4"/>
        <v>793192.65599999973</v>
      </c>
      <c r="K36" s="9">
        <f t="shared" si="0"/>
        <v>-4910004.064000003</v>
      </c>
      <c r="L36" s="15">
        <f t="shared" si="1"/>
        <v>531434.44838302943</v>
      </c>
      <c r="M36" s="15">
        <f t="shared" si="2"/>
        <v>-5385112.7739863014</v>
      </c>
    </row>
    <row r="37" spans="3:13" x14ac:dyDescent="0.2">
      <c r="C37" s="10">
        <v>9</v>
      </c>
      <c r="D37" s="9"/>
      <c r="E37" s="9"/>
      <c r="F37" s="9"/>
      <c r="G37" s="9">
        <f t="shared" si="3"/>
        <v>3600000</v>
      </c>
      <c r="H37" s="40">
        <f>'Cost of Manuf COMd modified'!$J$16</f>
        <v>3306181.9200000004</v>
      </c>
      <c r="I37" s="9">
        <f>((G37-H37-E37)*(1-$D$8)+E37)+$D$5*$D$12*'Renewable H2 Tax Credit'!$C$9*1000</f>
        <v>585832.65599999973</v>
      </c>
      <c r="J37" s="9">
        <f t="shared" si="4"/>
        <v>585832.65599999973</v>
      </c>
      <c r="K37" s="9">
        <f t="shared" si="0"/>
        <v>-4324171.4080000035</v>
      </c>
      <c r="L37" s="15">
        <f t="shared" si="1"/>
        <v>375421.51030231279</v>
      </c>
      <c r="M37" s="15">
        <f t="shared" si="2"/>
        <v>-5009691.2636839887</v>
      </c>
    </row>
    <row r="38" spans="3:13" x14ac:dyDescent="0.2">
      <c r="C38" s="10">
        <v>10</v>
      </c>
      <c r="D38" s="9"/>
      <c r="E38" s="9"/>
      <c r="F38" s="9"/>
      <c r="G38" s="9">
        <f t="shared" si="3"/>
        <v>3600000</v>
      </c>
      <c r="H38" s="40">
        <f>'Cost of Manuf COMd modified'!$J$16</f>
        <v>3306181.9200000004</v>
      </c>
      <c r="I38" s="9">
        <f>((G38-H38-E38)*(1-$D$8)+E38)+$D$5*$D$12*'Renewable H2 Tax Credit'!$C$9*1000</f>
        <v>585832.65599999973</v>
      </c>
      <c r="J38" s="9">
        <f t="shared" si="4"/>
        <v>585832.65599999973</v>
      </c>
      <c r="K38" s="9">
        <f t="shared" si="0"/>
        <v>-3738338.7520000041</v>
      </c>
      <c r="L38" s="15">
        <f t="shared" si="1"/>
        <v>359082.06171608018</v>
      </c>
      <c r="M38" s="15">
        <f t="shared" si="2"/>
        <v>-4650609.2019679081</v>
      </c>
    </row>
    <row r="39" spans="3:13" x14ac:dyDescent="0.2">
      <c r="C39" s="10">
        <v>11</v>
      </c>
      <c r="D39" s="9"/>
      <c r="E39" s="9"/>
      <c r="F39" s="9"/>
      <c r="G39" s="9">
        <f t="shared" si="3"/>
        <v>3600000</v>
      </c>
      <c r="H39" s="40">
        <f>'Cost of Manuf COMd modified'!$J$16</f>
        <v>3306181.9200000004</v>
      </c>
      <c r="I39" s="9">
        <f>((G39-H39-E39)*(1-$D$8)+E39)+$D$5*$D$12*'Renewable H2 Tax Credit'!$C$9*1000</f>
        <v>585832.65599999973</v>
      </c>
      <c r="J39" s="9">
        <f t="shared" si="4"/>
        <v>585832.65599999973</v>
      </c>
      <c r="K39" s="9">
        <f t="shared" ref="K39:K48" si="5">K38+J39</f>
        <v>-3152506.0960000046</v>
      </c>
      <c r="L39" s="15">
        <f t="shared" si="1"/>
        <v>343453.75400157651</v>
      </c>
      <c r="M39" s="15">
        <f t="shared" si="2"/>
        <v>-4307155.4479663316</v>
      </c>
    </row>
    <row r="40" spans="3:13" x14ac:dyDescent="0.2">
      <c r="C40" s="10">
        <v>12</v>
      </c>
      <c r="D40" s="9"/>
      <c r="E40" s="9"/>
      <c r="F40" s="9"/>
      <c r="G40" s="9">
        <f t="shared" si="3"/>
        <v>3600000</v>
      </c>
      <c r="H40" s="40">
        <f>'Cost of Manuf COMd modified'!$J$16</f>
        <v>3306181.9200000004</v>
      </c>
      <c r="I40" s="9">
        <f>((G40-H40-E40)*(1-$D$8)+E40)+$D$5*$D$12*'Renewable H2 Tax Credit'!$C$9*1000</f>
        <v>585832.65599999973</v>
      </c>
      <c r="J40" s="9">
        <f t="shared" si="4"/>
        <v>585832.65599999973</v>
      </c>
      <c r="K40" s="9">
        <f t="shared" si="5"/>
        <v>-2566673.4400000051</v>
      </c>
      <c r="L40" s="15">
        <f t="shared" si="1"/>
        <v>328505.6362159485</v>
      </c>
      <c r="M40" s="15">
        <f t="shared" si="2"/>
        <v>-3978649.8117503831</v>
      </c>
    </row>
    <row r="41" spans="3:13" x14ac:dyDescent="0.2">
      <c r="C41" s="10">
        <v>13</v>
      </c>
      <c r="D41" s="9"/>
      <c r="E41" s="9"/>
      <c r="F41" s="9"/>
      <c r="G41" s="9">
        <f t="shared" si="3"/>
        <v>3600000</v>
      </c>
      <c r="H41" s="40">
        <f>'Cost of Manuf COMd modified'!$J$16</f>
        <v>3306181.9200000004</v>
      </c>
      <c r="I41" s="9">
        <f>((G41-H41-E41)*(1-$D$8)+E41)+$D$5*$D$12*'Renewable H2 Tax Credit'!$C$9*1000</f>
        <v>585832.65599999973</v>
      </c>
      <c r="J41" s="9">
        <f t="shared" si="4"/>
        <v>585832.65599999973</v>
      </c>
      <c r="K41" s="9">
        <f t="shared" si="5"/>
        <v>-1980840.7840000053</v>
      </c>
      <c r="L41" s="15">
        <f t="shared" si="1"/>
        <v>314208.10449243116</v>
      </c>
      <c r="M41" s="15">
        <f t="shared" si="2"/>
        <v>-3664441.7072579521</v>
      </c>
    </row>
    <row r="42" spans="3:13" x14ac:dyDescent="0.2">
      <c r="C42" s="10">
        <v>14</v>
      </c>
      <c r="D42" s="9"/>
      <c r="E42" s="9"/>
      <c r="F42" s="9"/>
      <c r="G42" s="9">
        <f t="shared" si="3"/>
        <v>3600000</v>
      </c>
      <c r="H42" s="40">
        <f>'Cost of Manuf COMd modified'!$J$16</f>
        <v>3306181.9200000004</v>
      </c>
      <c r="I42" s="9">
        <f>((G42-H42-E42)*(1-$D$8)+E42)+$D$5*$D$12*'Renewable H2 Tax Credit'!$C$9*1000</f>
        <v>585832.65599999973</v>
      </c>
      <c r="J42" s="9">
        <f t="shared" si="4"/>
        <v>585832.65599999973</v>
      </c>
      <c r="K42" s="9">
        <f t="shared" si="5"/>
        <v>-1395008.1280000056</v>
      </c>
      <c r="L42" s="15">
        <f t="shared" si="1"/>
        <v>300532.84341163305</v>
      </c>
      <c r="M42" s="15">
        <f t="shared" si="2"/>
        <v>-3363908.8638463188</v>
      </c>
    </row>
    <row r="43" spans="3:13" x14ac:dyDescent="0.2">
      <c r="C43" s="10">
        <v>15</v>
      </c>
      <c r="D43" s="9"/>
      <c r="E43" s="9"/>
      <c r="F43" s="9"/>
      <c r="G43" s="9">
        <f t="shared" si="3"/>
        <v>3600000</v>
      </c>
      <c r="H43" s="40">
        <f>'Cost of Manuf COMd modified'!$J$16</f>
        <v>3306181.9200000004</v>
      </c>
      <c r="I43" s="9">
        <f>((G43-H43-E43)*(1-$D$8)+E43)+$D$5*$D$12*'Renewable H2 Tax Credit'!$C$9*1000</f>
        <v>585832.65599999973</v>
      </c>
      <c r="J43" s="9">
        <f t="shared" si="4"/>
        <v>585832.65599999973</v>
      </c>
      <c r="K43" s="9">
        <f t="shared" si="5"/>
        <v>-809175.47200000589</v>
      </c>
      <c r="L43" s="15">
        <f t="shared" si="1"/>
        <v>287452.76992451621</v>
      </c>
      <c r="M43" s="15">
        <f t="shared" si="2"/>
        <v>-3076456.0939218025</v>
      </c>
    </row>
    <row r="44" spans="3:13" x14ac:dyDescent="0.2">
      <c r="C44" s="10">
        <v>16</v>
      </c>
      <c r="D44" s="9"/>
      <c r="E44" s="9"/>
      <c r="F44" s="9"/>
      <c r="G44" s="9">
        <f t="shared" si="3"/>
        <v>3600000</v>
      </c>
      <c r="H44" s="40">
        <f>'Cost of Manuf COMd modified'!$J$16</f>
        <v>3306181.9200000004</v>
      </c>
      <c r="I44" s="9">
        <f>((G44-H44-E44)*(1-$D$8)+E44)+$D$5*$D$12*'Renewable H2 Tax Credit'!$C$9*1000</f>
        <v>585832.65599999973</v>
      </c>
      <c r="J44" s="9">
        <f t="shared" si="4"/>
        <v>585832.65599999973</v>
      </c>
      <c r="K44" s="9">
        <f t="shared" si="5"/>
        <v>-223342.81600000616</v>
      </c>
      <c r="L44" s="15">
        <f t="shared" si="1"/>
        <v>274941.97971601266</v>
      </c>
      <c r="M44" s="15">
        <f t="shared" si="2"/>
        <v>-2801514.1142057898</v>
      </c>
    </row>
    <row r="45" spans="3:13" x14ac:dyDescent="0.2">
      <c r="C45" s="10">
        <v>17</v>
      </c>
      <c r="D45" s="9"/>
      <c r="E45" s="9"/>
      <c r="F45" s="9"/>
      <c r="G45" s="9">
        <f t="shared" si="3"/>
        <v>3600000</v>
      </c>
      <c r="H45" s="40">
        <f>'Cost of Manuf COMd modified'!$J$16</f>
        <v>3306181.9200000004</v>
      </c>
      <c r="I45" s="9">
        <f>((G45-H45-E45)*(1-$D$8)+E45)+$D$5*$D$12*'Renewable H2 Tax Credit'!$C$9*1000</f>
        <v>585832.65599999973</v>
      </c>
      <c r="J45" s="9">
        <f t="shared" si="4"/>
        <v>585832.65599999973</v>
      </c>
      <c r="K45" s="9">
        <f t="shared" si="5"/>
        <v>362489.83999999356</v>
      </c>
      <c r="L45" s="15">
        <f t="shared" si="1"/>
        <v>262975.69590305479</v>
      </c>
      <c r="M45" s="15">
        <f t="shared" si="2"/>
        <v>-2538538.4183027348</v>
      </c>
    </row>
    <row r="46" spans="3:13" x14ac:dyDescent="0.2">
      <c r="C46" s="10">
        <v>18</v>
      </c>
      <c r="D46" s="9"/>
      <c r="E46" s="9"/>
      <c r="F46" s="9"/>
      <c r="G46" s="9">
        <f t="shared" si="3"/>
        <v>3600000</v>
      </c>
      <c r="H46" s="40">
        <f>'Cost of Manuf COMd modified'!$J$16</f>
        <v>3306181.9200000004</v>
      </c>
      <c r="I46" s="9">
        <f>((G46-H46-E46)*(1-$D$8)+E46)+$D$5*$D$12*'Renewable H2 Tax Credit'!$C$9*1000</f>
        <v>585832.65599999973</v>
      </c>
      <c r="J46" s="9">
        <f t="shared" si="4"/>
        <v>585832.65599999973</v>
      </c>
      <c r="K46" s="9">
        <f t="shared" si="5"/>
        <v>948322.49599999329</v>
      </c>
      <c r="L46" s="15">
        <f t="shared" si="1"/>
        <v>251530.21996541714</v>
      </c>
      <c r="M46" s="15">
        <f t="shared" si="2"/>
        <v>-2287008.1983373179</v>
      </c>
    </row>
    <row r="47" spans="3:13" x14ac:dyDescent="0.2">
      <c r="C47" s="10">
        <v>19</v>
      </c>
      <c r="D47" s="9"/>
      <c r="E47" s="9"/>
      <c r="F47" s="9"/>
      <c r="G47" s="9">
        <f t="shared" si="3"/>
        <v>3600000</v>
      </c>
      <c r="H47" s="40">
        <f>'Cost of Manuf COMd modified'!$J$16</f>
        <v>3306181.9200000004</v>
      </c>
      <c r="I47" s="9">
        <f>((G47-H47-E47)*(1-$D$8)+E47)+$D$5*$D$12*'Renewable H2 Tax Credit'!$C$9*1000</f>
        <v>585832.65599999973</v>
      </c>
      <c r="J47" s="9">
        <f t="shared" si="4"/>
        <v>585832.65599999973</v>
      </c>
      <c r="K47" s="9">
        <f t="shared" si="5"/>
        <v>1534155.151999993</v>
      </c>
      <c r="L47" s="15">
        <f t="shared" si="1"/>
        <v>240582.88481219386</v>
      </c>
      <c r="M47" s="15">
        <f t="shared" si="2"/>
        <v>-2046425.313525124</v>
      </c>
    </row>
    <row r="48" spans="3:13" x14ac:dyDescent="0.2">
      <c r="C48" s="10">
        <v>20</v>
      </c>
      <c r="D48" s="9"/>
      <c r="E48" s="9"/>
      <c r="F48" s="9"/>
      <c r="G48" s="9">
        <f t="shared" si="3"/>
        <v>3600000</v>
      </c>
      <c r="H48" s="40">
        <f>'Cost of Manuf COMd modified'!$J$16</f>
        <v>3306181.9200000004</v>
      </c>
      <c r="I48" s="9">
        <f>((G48-H48-E48)*(1-$D$8)+E48)+$D$5*$D$12*'Renewable H2 Tax Credit'!$C$9*1000</f>
        <v>585832.65599999973</v>
      </c>
      <c r="J48" s="9">
        <f t="shared" si="4"/>
        <v>585832.65599999973</v>
      </c>
      <c r="K48" s="9">
        <f t="shared" si="5"/>
        <v>2119987.8079999927</v>
      </c>
      <c r="L48" s="15">
        <f t="shared" si="1"/>
        <v>230112.00989095966</v>
      </c>
      <c r="M48" s="15">
        <f t="shared" si="2"/>
        <v>-1816313.3036341644</v>
      </c>
    </row>
    <row r="49" spans="3:13" x14ac:dyDescent="0.2">
      <c r="C49" s="10">
        <v>21</v>
      </c>
      <c r="D49" s="9"/>
      <c r="E49" s="20"/>
      <c r="F49" s="20"/>
      <c r="G49" s="9">
        <f t="shared" si="3"/>
        <v>3600000</v>
      </c>
      <c r="H49" s="40">
        <f>'Cost of Manuf COMd modified'!$J$16</f>
        <v>3306181.9200000004</v>
      </c>
      <c r="I49" s="9">
        <f>((G49-H49-E49)*(1-$D$8)+E49)+$D$5*$D$12*'Renewable H2 Tax Credit'!$C$9*1000</f>
        <v>585832.65599999973</v>
      </c>
      <c r="J49" s="9">
        <f t="shared" si="4"/>
        <v>585832.65599999973</v>
      </c>
      <c r="K49" s="9">
        <f t="shared" ref="K49:K58" si="6">K48+J49</f>
        <v>2705820.4639999922</v>
      </c>
      <c r="L49" s="15">
        <f t="shared" si="1"/>
        <v>220096.85825071333</v>
      </c>
      <c r="M49" s="15">
        <f t="shared" ref="M49:M58" si="7">M48+L49</f>
        <v>-1596216.4453834509</v>
      </c>
    </row>
    <row r="50" spans="3:13" x14ac:dyDescent="0.2">
      <c r="C50" s="10">
        <v>22</v>
      </c>
      <c r="D50" s="9"/>
      <c r="E50" s="20"/>
      <c r="F50" s="20"/>
      <c r="G50" s="9">
        <f t="shared" si="3"/>
        <v>3600000</v>
      </c>
      <c r="H50" s="40">
        <f>'Cost of Manuf COMd modified'!$J$16</f>
        <v>3306181.9200000004</v>
      </c>
      <c r="I50" s="9">
        <f>((G50-H50-E50)*(1-$D$8)+E50)+$D$5*$D$12*'Renewable H2 Tax Credit'!$C$9*1000</f>
        <v>585832.65599999973</v>
      </c>
      <c r="J50" s="9">
        <f t="shared" si="4"/>
        <v>585832.65599999973</v>
      </c>
      <c r="K50" s="9">
        <f t="shared" si="6"/>
        <v>3291653.1199999917</v>
      </c>
      <c r="L50" s="15">
        <f t="shared" si="1"/>
        <v>210517.59547356737</v>
      </c>
      <c r="M50" s="15">
        <f t="shared" si="7"/>
        <v>-1385698.8499098835</v>
      </c>
    </row>
    <row r="51" spans="3:13" x14ac:dyDescent="0.2">
      <c r="C51" s="10">
        <v>23</v>
      </c>
      <c r="D51" s="9"/>
      <c r="E51" s="20"/>
      <c r="F51" s="20"/>
      <c r="G51" s="9">
        <f t="shared" si="3"/>
        <v>3600000</v>
      </c>
      <c r="H51" s="40">
        <f>'Cost of Manuf COMd modified'!$J$16</f>
        <v>3306181.9200000004</v>
      </c>
      <c r="I51" s="9">
        <f>((G51-H51-E51)*(1-$D$8)+E51)+$D$5*$D$12*'Renewable H2 Tax Credit'!$C$9*1000</f>
        <v>585832.65599999973</v>
      </c>
      <c r="J51" s="9">
        <f t="shared" si="4"/>
        <v>585832.65599999973</v>
      </c>
      <c r="K51" s="9">
        <f t="shared" si="6"/>
        <v>3877485.7759999912</v>
      </c>
      <c r="L51" s="15">
        <f t="shared" si="1"/>
        <v>201355.25039385218</v>
      </c>
      <c r="M51" s="15">
        <f t="shared" si="7"/>
        <v>-1184343.5995160313</v>
      </c>
    </row>
    <row r="52" spans="3:13" x14ac:dyDescent="0.2">
      <c r="C52" s="10">
        <v>24</v>
      </c>
      <c r="D52" s="9"/>
      <c r="E52" s="20"/>
      <c r="F52" s="20"/>
      <c r="G52" s="9">
        <f t="shared" si="3"/>
        <v>3600000</v>
      </c>
      <c r="H52" s="40">
        <f>'Cost of Manuf COMd modified'!$J$16</f>
        <v>3306181.9200000004</v>
      </c>
      <c r="I52" s="9">
        <f>((G52-H52-E52)*(1-$D$8)+E52)+$D$5*$D$12*'Renewable H2 Tax Credit'!$C$9*1000</f>
        <v>585832.65599999973</v>
      </c>
      <c r="J52" s="9">
        <f t="shared" si="4"/>
        <v>585832.65599999973</v>
      </c>
      <c r="K52" s="9">
        <f t="shared" si="6"/>
        <v>4463318.4319999907</v>
      </c>
      <c r="L52" s="15">
        <f t="shared" si="1"/>
        <v>192591.67752683934</v>
      </c>
      <c r="M52" s="15">
        <f t="shared" si="7"/>
        <v>-991751.92198919202</v>
      </c>
    </row>
    <row r="53" spans="3:13" x14ac:dyDescent="0.2">
      <c r="C53" s="10">
        <v>25</v>
      </c>
      <c r="D53" s="9"/>
      <c r="E53" s="20"/>
      <c r="F53" s="20"/>
      <c r="G53" s="9">
        <f t="shared" si="3"/>
        <v>3600000</v>
      </c>
      <c r="H53" s="40">
        <f>'Cost of Manuf COMd modified'!$J$16</f>
        <v>3306181.9200000004</v>
      </c>
      <c r="I53" s="9">
        <f>((G53-H53-E53)*(1-$D$8)+E53)+$D$5*$D$12*'Renewable H2 Tax Credit'!$C$9*1000</f>
        <v>585832.65599999973</v>
      </c>
      <c r="J53" s="9">
        <f t="shared" si="4"/>
        <v>585832.65599999973</v>
      </c>
      <c r="K53" s="9">
        <f t="shared" si="6"/>
        <v>5049151.0879999902</v>
      </c>
      <c r="L53" s="15">
        <f t="shared" si="1"/>
        <v>184209.52113267846</v>
      </c>
      <c r="M53" s="15">
        <f t="shared" si="7"/>
        <v>-807542.40085651353</v>
      </c>
    </row>
    <row r="54" spans="3:13" x14ac:dyDescent="0.2">
      <c r="C54" s="10">
        <v>26</v>
      </c>
      <c r="D54" s="9"/>
      <c r="E54" s="20"/>
      <c r="F54" s="20"/>
      <c r="G54" s="9">
        <f t="shared" si="3"/>
        <v>3600000</v>
      </c>
      <c r="H54" s="40">
        <f>'Cost of Manuf COMd modified'!$J$16</f>
        <v>3306181.9200000004</v>
      </c>
      <c r="I54" s="9">
        <f>((G54-H54-E54)*(1-$D$8)+E54)+$D$5*$D$12*'Renewable H2 Tax Credit'!$C$9*1000</f>
        <v>585832.65599999973</v>
      </c>
      <c r="J54" s="9">
        <f t="shared" si="4"/>
        <v>585832.65599999973</v>
      </c>
      <c r="K54" s="9">
        <f t="shared" si="6"/>
        <v>5634983.7439999897</v>
      </c>
      <c r="L54" s="15">
        <f t="shared" si="1"/>
        <v>176192.18084437645</v>
      </c>
      <c r="M54" s="15">
        <f t="shared" si="7"/>
        <v>-631350.22001213708</v>
      </c>
    </row>
    <row r="55" spans="3:13" x14ac:dyDescent="0.2">
      <c r="C55" s="10">
        <v>27</v>
      </c>
      <c r="D55" s="9"/>
      <c r="E55" s="20"/>
      <c r="F55" s="20"/>
      <c r="G55" s="9">
        <f t="shared" si="3"/>
        <v>3600000</v>
      </c>
      <c r="H55" s="40">
        <f>'Cost of Manuf COMd modified'!$J$16</f>
        <v>3306181.9200000004</v>
      </c>
      <c r="I55" s="9">
        <f>((G55-H55-E55)*(1-$D$8)+E55)+$D$5*$D$12*'Renewable H2 Tax Credit'!$C$9*1000</f>
        <v>585832.65599999973</v>
      </c>
      <c r="J55" s="9">
        <f t="shared" si="4"/>
        <v>585832.65599999973</v>
      </c>
      <c r="K55" s="9">
        <f t="shared" si="6"/>
        <v>6220816.3999999892</v>
      </c>
      <c r="L55" s="15">
        <f t="shared" si="1"/>
        <v>168523.77879174869</v>
      </c>
      <c r="M55" s="15">
        <f t="shared" si="7"/>
        <v>-462826.4412203884</v>
      </c>
    </row>
    <row r="56" spans="3:13" x14ac:dyDescent="0.2">
      <c r="C56" s="10">
        <v>28</v>
      </c>
      <c r="D56" s="9"/>
      <c r="E56" s="20"/>
      <c r="F56" s="20"/>
      <c r="G56" s="9">
        <f t="shared" si="3"/>
        <v>3600000</v>
      </c>
      <c r="H56" s="40">
        <f>'Cost of Manuf COMd modified'!$J$16</f>
        <v>3306181.9200000004</v>
      </c>
      <c r="I56" s="9">
        <f>((G56-H56-E56)*(1-$D$8)+E56)+$D$5*$D$12*'Renewable H2 Tax Credit'!$C$9*1000</f>
        <v>585832.65599999973</v>
      </c>
      <c r="J56" s="9">
        <f t="shared" si="4"/>
        <v>585832.65599999973</v>
      </c>
      <c r="K56" s="9">
        <f t="shared" si="6"/>
        <v>6806649.0559999887</v>
      </c>
      <c r="L56" s="15">
        <f t="shared" si="1"/>
        <v>161189.12815623221</v>
      </c>
      <c r="M56" s="15">
        <f t="shared" si="7"/>
        <v>-301637.31306415622</v>
      </c>
    </row>
    <row r="57" spans="3:13" x14ac:dyDescent="0.2">
      <c r="C57" s="10">
        <v>29</v>
      </c>
      <c r="D57" s="9"/>
      <c r="E57" s="20"/>
      <c r="F57" s="20"/>
      <c r="G57" s="9">
        <f t="shared" si="3"/>
        <v>3600000</v>
      </c>
      <c r="H57" s="40">
        <f>'Cost of Manuf COMd modified'!$J$16</f>
        <v>3306181.9200000004</v>
      </c>
      <c r="I57" s="9">
        <f>((G57-H57-E57)*(1-$D$8)+E57)+$D$5*$D$12*'Renewable H2 Tax Credit'!$C$9*1000</f>
        <v>585832.65599999973</v>
      </c>
      <c r="J57" s="9">
        <f t="shared" si="4"/>
        <v>585832.65599999973</v>
      </c>
      <c r="K57" s="9">
        <f t="shared" si="6"/>
        <v>7392481.7119999882</v>
      </c>
      <c r="L57" s="15">
        <f t="shared" si="1"/>
        <v>154173.70309428638</v>
      </c>
      <c r="M57" s="15">
        <f t="shared" si="7"/>
        <v>-147463.60996986984</v>
      </c>
    </row>
    <row r="58" spans="3:13" x14ac:dyDescent="0.2">
      <c r="C58" s="10">
        <v>30</v>
      </c>
      <c r="D58" s="19">
        <f>D13</f>
        <v>25000</v>
      </c>
      <c r="E58" s="20"/>
      <c r="F58" s="20"/>
      <c r="G58" s="9">
        <f t="shared" si="3"/>
        <v>3600000</v>
      </c>
      <c r="H58" s="40">
        <f>'Cost of Manuf COMd modified'!$J$16</f>
        <v>3306181.9200000004</v>
      </c>
      <c r="I58" s="9">
        <f>((G58-H58-E58)*(1-$D$8)+E58)+$D$5*$D$12*'Renewable H2 Tax Credit'!$C$9*1000</f>
        <v>585832.65599999973</v>
      </c>
      <c r="J58" s="9">
        <f>I58</f>
        <v>585832.65599999973</v>
      </c>
      <c r="K58" s="9">
        <f t="shared" si="6"/>
        <v>7978314.3679999877</v>
      </c>
      <c r="L58" s="15">
        <f t="shared" si="1"/>
        <v>147463.60996981509</v>
      </c>
      <c r="M58" s="15">
        <f t="shared" si="7"/>
        <v>-5.4744305089116096E-8</v>
      </c>
    </row>
  </sheetData>
  <hyperlinks>
    <hyperlink ref="M18" r:id="rId1" xr:uid="{00000000-0004-0000-0200-000000000000}"/>
  </hyperlinks>
  <pageMargins left="0.7" right="0.7" top="0.75" bottom="0.75" header="0.3" footer="0.3"/>
  <pageSetup orientation="portrait" verticalDpi="0" r:id="rId2"/>
  <ignoredErrors>
    <ignoredError sqref="L28:L58" formula="1"/>
  </ignoredErrors>
  <drawing r:id="rId3"/>
  <legacy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C9CEE-4374-4FEA-8962-2C7A62A8542C}">
  <dimension ref="B3"/>
  <sheetViews>
    <sheetView topLeftCell="A9" workbookViewId="0">
      <selection activeCell="B3" sqref="B3"/>
    </sheetView>
  </sheetViews>
  <sheetFormatPr defaultRowHeight="15" x14ac:dyDescent="0.2"/>
  <sheetData>
    <row r="3" spans="2:2" x14ac:dyDescent="0.2">
      <c r="B3" t="s">
        <v>190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3:R30"/>
  <sheetViews>
    <sheetView topLeftCell="A16" zoomScaleNormal="100" zoomScaleSheetLayoutView="100" workbookViewId="0">
      <selection activeCell="I38" sqref="I38"/>
    </sheetView>
  </sheetViews>
  <sheetFormatPr defaultRowHeight="15" x14ac:dyDescent="0.2"/>
  <cols>
    <col min="3" max="3" width="20" customWidth="1"/>
    <col min="5" max="5" width="26.44140625" customWidth="1"/>
    <col min="6" max="6" width="15.33203125" customWidth="1"/>
    <col min="8" max="8" width="11" customWidth="1"/>
    <col min="9" max="9" width="20.21875" customWidth="1"/>
    <col min="10" max="10" width="22" customWidth="1"/>
    <col min="11" max="11" width="21" customWidth="1"/>
  </cols>
  <sheetData>
    <row r="3" spans="3:18" ht="20.25" x14ac:dyDescent="0.3">
      <c r="C3" s="54" t="s">
        <v>111</v>
      </c>
      <c r="D3" s="54"/>
      <c r="E3" s="54"/>
      <c r="F3" s="54"/>
      <c r="G3" s="54"/>
    </row>
    <row r="5" spans="3:18" x14ac:dyDescent="0.2">
      <c r="C5" s="6" t="s">
        <v>78</v>
      </c>
      <c r="D5" s="6"/>
      <c r="E5" s="6"/>
      <c r="F5" s="36">
        <f>'Discounted cash flow'!D6</f>
        <v>12000000</v>
      </c>
      <c r="G5" s="6"/>
      <c r="H5" s="6"/>
      <c r="I5" s="6"/>
      <c r="J5" s="6"/>
      <c r="K5" s="6"/>
      <c r="L5" s="6"/>
      <c r="M5" s="6"/>
      <c r="N5" s="6"/>
      <c r="O5" s="6"/>
      <c r="P5" s="6"/>
      <c r="Q5" s="6"/>
      <c r="R5" s="6"/>
    </row>
    <row r="6" spans="3:18" x14ac:dyDescent="0.2">
      <c r="C6" s="3" t="s">
        <v>17</v>
      </c>
      <c r="D6" s="6"/>
      <c r="E6" s="6"/>
      <c r="F6" s="28">
        <v>10000</v>
      </c>
      <c r="G6" s="6" t="s">
        <v>20</v>
      </c>
      <c r="H6" s="6" t="s">
        <v>31</v>
      </c>
      <c r="I6" s="6"/>
      <c r="J6" s="6"/>
      <c r="K6" s="6"/>
      <c r="L6" s="6"/>
      <c r="M6" s="6"/>
      <c r="N6" s="6"/>
      <c r="O6" s="6"/>
      <c r="P6" s="6"/>
      <c r="Q6" s="6"/>
      <c r="R6" s="6"/>
    </row>
    <row r="7" spans="3:18" x14ac:dyDescent="0.2">
      <c r="C7" s="3" t="s">
        <v>18</v>
      </c>
      <c r="D7" s="6"/>
      <c r="E7" s="6"/>
      <c r="F7" s="28">
        <v>10000</v>
      </c>
      <c r="G7" s="6" t="s">
        <v>20</v>
      </c>
      <c r="H7" s="6" t="s">
        <v>31</v>
      </c>
      <c r="I7" s="6"/>
      <c r="J7" s="6"/>
      <c r="K7" s="6"/>
      <c r="L7" s="6"/>
      <c r="M7" s="6"/>
      <c r="N7" s="6"/>
      <c r="O7" s="6"/>
      <c r="P7" s="6"/>
      <c r="Q7" s="6"/>
      <c r="R7" s="6"/>
    </row>
    <row r="8" spans="3:18" x14ac:dyDescent="0.2">
      <c r="C8" s="6" t="s">
        <v>32</v>
      </c>
      <c r="D8" s="6"/>
      <c r="E8" s="6"/>
      <c r="F8" s="28">
        <f>M8*1000*H8</f>
        <v>691200</v>
      </c>
      <c r="G8" s="6" t="s">
        <v>20</v>
      </c>
      <c r="H8" s="75">
        <f>'Discounted cash flow'!D14</f>
        <v>0.02</v>
      </c>
      <c r="I8" s="6" t="s">
        <v>19</v>
      </c>
      <c r="J8" s="6">
        <v>0.4</v>
      </c>
      <c r="K8" s="6" t="s">
        <v>169</v>
      </c>
      <c r="L8" s="6">
        <f>'Discounted cash flow'!D5</f>
        <v>10</v>
      </c>
      <c r="M8" s="6">
        <f>'Discounted cash flow'!D12*L8*J8*24</f>
        <v>34560</v>
      </c>
      <c r="N8" s="6" t="s">
        <v>21</v>
      </c>
      <c r="O8" s="6"/>
      <c r="P8" s="6"/>
      <c r="Q8" s="6"/>
      <c r="R8" s="6"/>
    </row>
    <row r="9" spans="3:18" x14ac:dyDescent="0.2">
      <c r="C9" s="6" t="s">
        <v>77</v>
      </c>
      <c r="D9" s="6"/>
      <c r="E9" s="6"/>
      <c r="F9" s="35">
        <f>F30</f>
        <v>300000</v>
      </c>
      <c r="G9" s="6" t="s">
        <v>20</v>
      </c>
      <c r="H9" s="97">
        <f>F28</f>
        <v>3</v>
      </c>
      <c r="I9" s="6" t="s">
        <v>49</v>
      </c>
      <c r="J9" s="6"/>
      <c r="K9" s="6"/>
      <c r="L9" s="6"/>
      <c r="M9" s="6"/>
      <c r="N9" s="6"/>
      <c r="O9" s="6"/>
      <c r="P9" s="6"/>
      <c r="Q9" s="6"/>
      <c r="R9" s="6"/>
    </row>
    <row r="10" spans="3:18" x14ac:dyDescent="0.2">
      <c r="C10" s="6" t="s">
        <v>22</v>
      </c>
      <c r="D10" s="6"/>
      <c r="E10" s="6"/>
      <c r="F10" s="6" t="s">
        <v>50</v>
      </c>
      <c r="G10" s="6"/>
      <c r="H10" s="6"/>
      <c r="I10" s="6"/>
      <c r="J10" s="6"/>
      <c r="K10" s="6"/>
      <c r="L10" s="6"/>
      <c r="M10" s="6"/>
      <c r="N10" s="6"/>
      <c r="O10" s="6"/>
      <c r="P10" s="6"/>
      <c r="Q10" s="6"/>
      <c r="R10" s="6"/>
    </row>
    <row r="11" spans="3:18" x14ac:dyDescent="0.2">
      <c r="C11" s="6"/>
      <c r="D11" s="6"/>
      <c r="E11" s="6"/>
      <c r="F11" s="6"/>
      <c r="G11" s="6"/>
      <c r="H11" s="6"/>
      <c r="I11" s="6"/>
      <c r="J11" s="6"/>
      <c r="K11" s="6"/>
      <c r="L11" s="6"/>
      <c r="M11" s="6"/>
      <c r="N11" s="6"/>
      <c r="O11" s="6"/>
      <c r="P11" s="6"/>
      <c r="Q11" s="6"/>
      <c r="R11" s="6"/>
    </row>
    <row r="12" spans="3:18" ht="20.25" x14ac:dyDescent="0.3">
      <c r="C12" s="6" t="s">
        <v>65</v>
      </c>
      <c r="D12">
        <v>0.18</v>
      </c>
      <c r="E12" s="32" t="s">
        <v>66</v>
      </c>
      <c r="F12" s="31">
        <f>D12*F5</f>
        <v>2160000</v>
      </c>
      <c r="H12" s="53" t="s">
        <v>75</v>
      </c>
      <c r="I12">
        <f>D12-0.016</f>
        <v>0.16399999999999998</v>
      </c>
      <c r="J12" s="90">
        <f>F5*I12</f>
        <v>1967999.9999999998</v>
      </c>
      <c r="L12" t="s">
        <v>191</v>
      </c>
    </row>
    <row r="13" spans="3:18" x14ac:dyDescent="0.2">
      <c r="D13">
        <v>2.73</v>
      </c>
      <c r="E13" s="34" t="s">
        <v>67</v>
      </c>
      <c r="F13" s="31">
        <f>D13*F9</f>
        <v>819000</v>
      </c>
      <c r="I13">
        <f>D13-0.15-0.077</f>
        <v>2.5030000000000001</v>
      </c>
      <c r="J13" s="91">
        <f>I13*F9</f>
        <v>750900</v>
      </c>
      <c r="L13" t="s">
        <v>76</v>
      </c>
    </row>
    <row r="14" spans="3:18" x14ac:dyDescent="0.2">
      <c r="D14">
        <v>1.23</v>
      </c>
      <c r="E14" s="26" t="s">
        <v>74</v>
      </c>
      <c r="F14" s="31">
        <f>D14*(F6+F7+F8)</f>
        <v>874776</v>
      </c>
      <c r="I14">
        <f>D14</f>
        <v>1.23</v>
      </c>
      <c r="J14" s="92">
        <f>I14*SUM(F6:F8)</f>
        <v>874776</v>
      </c>
    </row>
    <row r="15" spans="3:18" x14ac:dyDescent="0.2">
      <c r="J15" s="93">
        <f>SUM(J12:J14)</f>
        <v>3593676</v>
      </c>
      <c r="L15" t="s">
        <v>192</v>
      </c>
    </row>
    <row r="16" spans="3:18" ht="20.25" x14ac:dyDescent="0.3">
      <c r="C16" s="6" t="s">
        <v>27</v>
      </c>
      <c r="D16" s="6" t="s">
        <v>79</v>
      </c>
      <c r="E16" s="6"/>
      <c r="F16" s="39">
        <f>SUM(F12:F14)</f>
        <v>3853776</v>
      </c>
      <c r="G16" s="6"/>
      <c r="H16" s="6"/>
      <c r="I16" s="53" t="s">
        <v>80</v>
      </c>
      <c r="J16" s="94">
        <f>J15-0.05*J15-0.03*J15</f>
        <v>3306181.9200000004</v>
      </c>
      <c r="K16" s="6"/>
      <c r="L16" s="6"/>
      <c r="M16" s="6"/>
      <c r="N16" s="6"/>
      <c r="O16" s="6"/>
      <c r="P16" s="6"/>
      <c r="Q16" s="6"/>
      <c r="R16" s="6"/>
    </row>
    <row r="23" spans="3:11" ht="15.75" x14ac:dyDescent="0.25">
      <c r="C23" s="95" t="s">
        <v>24</v>
      </c>
      <c r="D23" s="34"/>
      <c r="E23" s="34" t="s">
        <v>23</v>
      </c>
      <c r="F23" s="76">
        <f>(6.29+0.23*5)^0.5</f>
        <v>2.7276363393971712</v>
      </c>
      <c r="G23" s="34" t="s">
        <v>48</v>
      </c>
      <c r="H23" s="34"/>
      <c r="I23" s="34"/>
      <c r="J23" s="34"/>
      <c r="K23" s="34"/>
    </row>
    <row r="24" spans="3:11" x14ac:dyDescent="0.2">
      <c r="C24" s="34"/>
      <c r="D24" s="34"/>
      <c r="E24" s="34"/>
      <c r="F24" s="34"/>
      <c r="G24" s="34"/>
      <c r="H24" s="34"/>
      <c r="I24" s="34"/>
      <c r="J24" s="34"/>
      <c r="K24" s="34"/>
    </row>
    <row r="25" spans="3:11" x14ac:dyDescent="0.2">
      <c r="C25" s="34">
        <v>4.5</v>
      </c>
      <c r="D25" s="34" t="s">
        <v>25</v>
      </c>
      <c r="E25" s="34"/>
      <c r="F25" s="34"/>
      <c r="G25" s="34"/>
      <c r="H25" s="34"/>
      <c r="I25" s="34"/>
      <c r="J25" s="34"/>
      <c r="K25" s="34"/>
    </row>
    <row r="26" spans="3:11" x14ac:dyDescent="0.2">
      <c r="C26" s="34"/>
      <c r="D26" s="34"/>
      <c r="E26" s="34"/>
      <c r="F26" s="107">
        <v>3</v>
      </c>
      <c r="G26" s="34" t="s">
        <v>185</v>
      </c>
      <c r="H26" s="34"/>
      <c r="I26" s="34"/>
      <c r="J26" s="34"/>
      <c r="K26" s="34"/>
    </row>
    <row r="27" spans="3:11" x14ac:dyDescent="0.2">
      <c r="C27" s="34"/>
      <c r="D27" s="34"/>
      <c r="E27" s="34"/>
      <c r="F27" s="34"/>
      <c r="G27" s="34"/>
      <c r="H27" s="34"/>
      <c r="I27" s="34"/>
      <c r="J27" s="34"/>
      <c r="K27" s="34"/>
    </row>
    <row r="28" spans="3:11" x14ac:dyDescent="0.2">
      <c r="C28" s="34"/>
      <c r="D28" s="34"/>
      <c r="E28" s="34" t="s">
        <v>131</v>
      </c>
      <c r="F28" s="76">
        <f>'Discounted cash flow'!D21</f>
        <v>3</v>
      </c>
      <c r="G28" s="34" t="s">
        <v>170</v>
      </c>
      <c r="H28" s="34"/>
      <c r="I28" s="34"/>
      <c r="J28" s="34"/>
      <c r="K28" s="34"/>
    </row>
    <row r="29" spans="3:11" x14ac:dyDescent="0.2">
      <c r="C29" s="34"/>
      <c r="D29" s="34"/>
      <c r="E29" s="34"/>
      <c r="F29" s="91">
        <f>'Discounted cash flow'!D22</f>
        <v>100000</v>
      </c>
      <c r="G29" s="34" t="s">
        <v>26</v>
      </c>
      <c r="H29" s="34"/>
      <c r="I29" s="34"/>
      <c r="J29" s="34"/>
      <c r="K29" s="34"/>
    </row>
    <row r="30" spans="3:11" x14ac:dyDescent="0.2">
      <c r="C30" s="34"/>
      <c r="D30" s="34"/>
      <c r="E30" s="34"/>
      <c r="F30" s="91">
        <f>F28*F29</f>
        <v>300000</v>
      </c>
      <c r="G30" s="34" t="s">
        <v>20</v>
      </c>
      <c r="H30" s="34"/>
      <c r="I30" s="34"/>
      <c r="J30" s="34"/>
      <c r="K30" s="34"/>
    </row>
  </sheetData>
  <pageMargins left="0.7" right="0.7" top="0.75" bottom="0.75" header="0.3" footer="0.3"/>
  <pageSetup orientation="portrait" horizontalDpi="0" verticalDpi="0"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C3"/>
  <sheetViews>
    <sheetView workbookViewId="0">
      <selection activeCell="C4" sqref="C4"/>
    </sheetView>
  </sheetViews>
  <sheetFormatPr defaultRowHeight="15" x14ac:dyDescent="0.2"/>
  <sheetData>
    <row r="3" spans="3:3" x14ac:dyDescent="0.2">
      <c r="C3" t="s">
        <v>187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4:S40"/>
  <sheetViews>
    <sheetView topLeftCell="A17" zoomScaleNormal="100" workbookViewId="0">
      <selection activeCell="F42" sqref="F42"/>
    </sheetView>
  </sheetViews>
  <sheetFormatPr defaultRowHeight="15" x14ac:dyDescent="0.2"/>
  <cols>
    <col min="2" max="2" width="20.77734375" customWidth="1"/>
    <col min="3" max="3" width="14.5546875" bestFit="1" customWidth="1"/>
    <col min="4" max="4" width="25.77734375" customWidth="1"/>
    <col min="5" max="5" width="14.5546875" bestFit="1" customWidth="1"/>
    <col min="7" max="7" width="13.6640625" customWidth="1"/>
    <col min="8" max="8" width="16" bestFit="1" customWidth="1"/>
  </cols>
  <sheetData>
    <row r="4" spans="2:19" x14ac:dyDescent="0.2">
      <c r="I4" s="6"/>
      <c r="J4" s="6"/>
      <c r="K4" s="6"/>
      <c r="L4" s="6"/>
      <c r="M4" s="6"/>
      <c r="N4" s="6"/>
      <c r="O4" s="6"/>
      <c r="P4" s="6"/>
      <c r="Q4" s="6"/>
      <c r="R4" s="6"/>
      <c r="S4" s="6"/>
    </row>
    <row r="5" spans="2:19" x14ac:dyDescent="0.2">
      <c r="I5" s="6"/>
      <c r="J5" s="6"/>
      <c r="K5" s="6"/>
      <c r="L5" s="6"/>
      <c r="M5" s="6"/>
      <c r="N5" s="6"/>
      <c r="O5" s="6"/>
      <c r="P5" s="6"/>
      <c r="Q5" s="6"/>
      <c r="R5" s="6"/>
      <c r="S5" s="6"/>
    </row>
    <row r="6" spans="2:19" x14ac:dyDescent="0.2">
      <c r="I6" s="6"/>
      <c r="J6" s="6"/>
      <c r="K6" s="6"/>
      <c r="L6" s="6"/>
      <c r="M6" s="6"/>
      <c r="N6" s="6"/>
      <c r="O6" s="6"/>
      <c r="P6" s="6"/>
      <c r="Q6" s="6"/>
      <c r="R6" s="6"/>
      <c r="S6" s="6"/>
    </row>
    <row r="7" spans="2:19" x14ac:dyDescent="0.2">
      <c r="I7" s="6"/>
      <c r="J7" s="6"/>
      <c r="K7" s="6"/>
      <c r="L7" s="6"/>
      <c r="M7" s="6"/>
      <c r="N7" s="6"/>
      <c r="O7" s="6"/>
      <c r="P7" s="6"/>
      <c r="Q7" s="6"/>
      <c r="R7" s="6"/>
      <c r="S7" s="6"/>
    </row>
    <row r="8" spans="2:19" x14ac:dyDescent="0.2">
      <c r="I8" s="6"/>
      <c r="J8" s="6"/>
      <c r="K8" s="6"/>
      <c r="L8" s="6"/>
      <c r="M8" s="6"/>
      <c r="N8" s="6"/>
      <c r="O8" s="6"/>
      <c r="P8" s="6"/>
      <c r="Q8" s="6"/>
      <c r="R8" s="6"/>
      <c r="S8" s="6"/>
    </row>
    <row r="9" spans="2:19" x14ac:dyDescent="0.2">
      <c r="B9" s="6" t="s">
        <v>82</v>
      </c>
      <c r="C9" s="6"/>
      <c r="D9" s="63">
        <v>34260000</v>
      </c>
      <c r="E9" s="6" t="s">
        <v>83</v>
      </c>
      <c r="F9" s="3">
        <v>20000</v>
      </c>
      <c r="G9" s="6" t="s">
        <v>87</v>
      </c>
      <c r="H9" s="6"/>
      <c r="I9" s="6"/>
      <c r="J9" s="6"/>
      <c r="K9" s="6"/>
      <c r="L9" s="6"/>
      <c r="M9" s="6"/>
      <c r="N9" s="6"/>
      <c r="O9" s="6"/>
      <c r="P9" s="6"/>
      <c r="Q9" s="6"/>
      <c r="R9" s="6"/>
      <c r="S9" s="6"/>
    </row>
    <row r="10" spans="2:19" x14ac:dyDescent="0.2">
      <c r="B10" s="6"/>
      <c r="C10" s="6"/>
      <c r="D10" s="6"/>
      <c r="E10" s="6" t="s">
        <v>60</v>
      </c>
      <c r="F10" s="47">
        <f>F9/360</f>
        <v>55.555555555555557</v>
      </c>
      <c r="G10" s="6" t="s">
        <v>84</v>
      </c>
      <c r="H10" s="6"/>
      <c r="I10" s="6"/>
      <c r="J10" s="6"/>
      <c r="K10" s="6"/>
      <c r="L10" s="6"/>
      <c r="M10" s="6"/>
      <c r="N10" s="6"/>
      <c r="O10" s="6"/>
      <c r="P10" s="6"/>
      <c r="Q10" s="6"/>
      <c r="R10" s="6"/>
      <c r="S10" s="6"/>
    </row>
    <row r="11" spans="2:19" x14ac:dyDescent="0.2">
      <c r="B11" s="6"/>
      <c r="C11" s="6"/>
      <c r="D11" s="6"/>
      <c r="E11" s="6"/>
      <c r="F11" s="6"/>
      <c r="G11" s="6"/>
      <c r="H11" s="6"/>
      <c r="I11" s="6"/>
      <c r="J11" s="6"/>
      <c r="K11" s="6"/>
      <c r="L11" s="6"/>
      <c r="M11" s="6"/>
      <c r="N11" s="6"/>
      <c r="O11" s="6"/>
      <c r="P11" s="6"/>
      <c r="Q11" s="6"/>
      <c r="R11" s="6"/>
      <c r="S11" s="6"/>
    </row>
    <row r="12" spans="2:19" x14ac:dyDescent="0.2">
      <c r="B12" s="6"/>
      <c r="C12" s="6"/>
      <c r="D12" s="6"/>
      <c r="E12" s="6"/>
      <c r="F12" s="6"/>
      <c r="G12" s="6"/>
      <c r="H12" s="6"/>
      <c r="I12" s="6"/>
      <c r="J12" s="6"/>
      <c r="K12" s="6"/>
      <c r="L12" s="6"/>
      <c r="M12" s="6"/>
      <c r="N12" s="6"/>
      <c r="O12" s="6"/>
      <c r="P12" s="6"/>
      <c r="Q12" s="6"/>
      <c r="R12" s="6"/>
      <c r="S12" s="6"/>
    </row>
    <row r="13" spans="2:19" x14ac:dyDescent="0.2">
      <c r="B13" s="6"/>
      <c r="C13" s="6"/>
      <c r="D13" s="6"/>
      <c r="E13" s="6"/>
      <c r="F13" s="6"/>
      <c r="G13" s="6"/>
      <c r="H13" s="6"/>
      <c r="I13" s="6"/>
      <c r="J13" s="6"/>
      <c r="K13" s="6"/>
      <c r="L13" s="6"/>
      <c r="M13" s="6"/>
      <c r="N13" s="6"/>
      <c r="O13" s="6"/>
      <c r="P13" s="6"/>
      <c r="Q13" s="6"/>
      <c r="R13" s="6"/>
      <c r="S13" s="6"/>
    </row>
    <row r="14" spans="2:19" x14ac:dyDescent="0.2">
      <c r="E14" t="s">
        <v>96</v>
      </c>
      <c r="F14" s="3">
        <v>10</v>
      </c>
      <c r="G14" s="3" t="s">
        <v>85</v>
      </c>
      <c r="H14" s="3"/>
      <c r="I14" s="6"/>
      <c r="J14" s="6"/>
      <c r="K14" s="6"/>
      <c r="L14" s="6"/>
      <c r="M14" s="6"/>
      <c r="N14" s="6"/>
      <c r="O14" s="6"/>
      <c r="P14" s="6"/>
      <c r="Q14" s="6"/>
      <c r="R14" s="6"/>
      <c r="S14" s="6"/>
    </row>
    <row r="15" spans="2:19" x14ac:dyDescent="0.2">
      <c r="F15" s="3">
        <v>360</v>
      </c>
      <c r="G15" s="3" t="s">
        <v>86</v>
      </c>
      <c r="H15" s="3"/>
      <c r="I15" s="6"/>
      <c r="J15" s="6"/>
      <c r="K15" s="6"/>
      <c r="L15" s="6"/>
      <c r="M15" s="6"/>
      <c r="N15" s="6"/>
      <c r="O15" s="6"/>
      <c r="P15" s="6"/>
      <c r="Q15" s="6"/>
      <c r="R15" s="6"/>
      <c r="S15" s="6"/>
    </row>
    <row r="16" spans="2:19" x14ac:dyDescent="0.2">
      <c r="F16">
        <f>F15*F14</f>
        <v>3600</v>
      </c>
      <c r="G16" t="s">
        <v>87</v>
      </c>
      <c r="I16" s="6"/>
      <c r="J16" s="6"/>
      <c r="K16" s="6"/>
      <c r="L16" s="6"/>
      <c r="M16" s="6"/>
      <c r="N16" s="6"/>
      <c r="O16" s="6"/>
      <c r="P16" s="6"/>
      <c r="Q16" s="6"/>
      <c r="R16" s="6"/>
      <c r="S16" s="6"/>
    </row>
    <row r="17" spans="2:19" x14ac:dyDescent="0.2">
      <c r="F17" s="46">
        <f>F9/F16</f>
        <v>5.5555555555555554</v>
      </c>
      <c r="G17" t="s">
        <v>88</v>
      </c>
      <c r="I17" s="6"/>
      <c r="J17" s="6"/>
      <c r="K17" s="6"/>
      <c r="L17" s="6"/>
      <c r="M17" s="6"/>
      <c r="N17" s="6"/>
      <c r="O17" s="6"/>
      <c r="P17" s="6"/>
      <c r="Q17" s="6"/>
      <c r="R17" s="6"/>
      <c r="S17" s="6"/>
    </row>
    <row r="18" spans="2:19" x14ac:dyDescent="0.2">
      <c r="I18" s="6"/>
      <c r="J18" s="6"/>
      <c r="K18" s="6"/>
      <c r="L18" s="6"/>
      <c r="M18" s="6"/>
      <c r="N18" s="6"/>
      <c r="O18" s="6"/>
      <c r="P18" s="6"/>
      <c r="Q18" s="6"/>
      <c r="R18" s="6"/>
      <c r="S18" s="6"/>
    </row>
    <row r="19" spans="2:19" ht="15.75" x14ac:dyDescent="0.25">
      <c r="B19" s="49" t="s">
        <v>103</v>
      </c>
      <c r="C19" s="22"/>
      <c r="I19" s="6"/>
      <c r="J19" s="6"/>
      <c r="K19" s="6"/>
      <c r="L19" s="6"/>
      <c r="M19" s="6"/>
      <c r="N19" s="6"/>
      <c r="O19" s="6"/>
      <c r="P19" s="6"/>
      <c r="Q19" s="6"/>
      <c r="R19" s="6"/>
      <c r="S19" s="6"/>
    </row>
    <row r="20" spans="2:19" x14ac:dyDescent="0.2">
      <c r="B20" s="26" t="s">
        <v>102</v>
      </c>
      <c r="C20" s="26"/>
      <c r="D20" s="26"/>
      <c r="E20" s="26"/>
      <c r="F20" s="26"/>
      <c r="G20" s="26"/>
      <c r="I20" s="6"/>
      <c r="J20" s="6"/>
      <c r="K20" s="6"/>
      <c r="L20" s="6"/>
      <c r="M20" s="6"/>
      <c r="N20" s="6"/>
      <c r="O20" s="6"/>
      <c r="P20" s="6"/>
      <c r="Q20" s="6"/>
      <c r="R20" s="6"/>
      <c r="S20" s="6"/>
    </row>
    <row r="21" spans="2:19" x14ac:dyDescent="0.2">
      <c r="B21" s="26" t="s">
        <v>117</v>
      </c>
      <c r="C21" s="26"/>
      <c r="D21" s="26"/>
      <c r="E21" s="26"/>
      <c r="F21" s="26"/>
      <c r="G21" s="26"/>
      <c r="I21" s="6"/>
      <c r="J21" s="6"/>
      <c r="K21" s="6"/>
      <c r="L21" s="6"/>
      <c r="M21" s="6"/>
      <c r="N21" s="6"/>
      <c r="O21" s="6"/>
      <c r="P21" s="6"/>
      <c r="Q21" s="6"/>
      <c r="R21" s="6"/>
      <c r="S21" s="6"/>
    </row>
    <row r="22" spans="2:19" x14ac:dyDescent="0.2">
      <c r="B22" s="26" t="s">
        <v>116</v>
      </c>
      <c r="C22" s="27">
        <f>(F9/F16)^0.6</f>
        <v>2.7979277582846254</v>
      </c>
      <c r="D22" s="26"/>
      <c r="E22" s="26"/>
      <c r="F22" s="26"/>
      <c r="G22" s="26"/>
      <c r="I22" s="6"/>
      <c r="J22" s="6"/>
      <c r="K22" s="6"/>
      <c r="L22" s="6"/>
      <c r="M22" s="6"/>
      <c r="N22" s="6"/>
      <c r="O22" s="6"/>
      <c r="P22" s="6"/>
      <c r="Q22" s="6"/>
      <c r="R22" s="6"/>
      <c r="S22" s="6"/>
    </row>
    <row r="23" spans="2:19" x14ac:dyDescent="0.2">
      <c r="B23" s="26"/>
      <c r="C23" s="27"/>
      <c r="D23" s="26"/>
      <c r="E23" s="26"/>
      <c r="F23" s="26"/>
      <c r="G23" s="26"/>
      <c r="I23" s="6"/>
      <c r="J23" s="6"/>
      <c r="K23" s="6"/>
      <c r="L23" s="6"/>
      <c r="M23" s="6"/>
      <c r="N23" s="6"/>
      <c r="O23" s="6"/>
      <c r="P23" s="6"/>
      <c r="Q23" s="6"/>
      <c r="R23" s="6"/>
      <c r="S23" s="6"/>
    </row>
    <row r="24" spans="2:19" x14ac:dyDescent="0.2">
      <c r="B24" s="26" t="s">
        <v>7</v>
      </c>
      <c r="C24" s="26"/>
      <c r="D24" s="26"/>
      <c r="E24" s="26"/>
      <c r="F24" s="26"/>
      <c r="G24" s="26"/>
    </row>
    <row r="25" spans="2:19" x14ac:dyDescent="0.2">
      <c r="B25" s="22" t="s">
        <v>6</v>
      </c>
      <c r="C25" s="50">
        <f>D9/C22</f>
        <v>12244776.477361366</v>
      </c>
      <c r="D25" s="22" t="s">
        <v>118</v>
      </c>
      <c r="E25" s="26"/>
      <c r="F25" s="26"/>
      <c r="G25" s="26"/>
    </row>
    <row r="27" spans="2:19" x14ac:dyDescent="0.2">
      <c r="B27" s="7" t="s">
        <v>89</v>
      </c>
      <c r="C27" s="7" t="s">
        <v>128</v>
      </c>
      <c r="D27" s="7"/>
      <c r="E27" s="7"/>
      <c r="F27" s="7"/>
      <c r="G27" s="7"/>
      <c r="H27" s="7"/>
    </row>
    <row r="28" spans="2:19" x14ac:dyDescent="0.2">
      <c r="B28" s="7"/>
      <c r="C28" s="7" t="s">
        <v>127</v>
      </c>
      <c r="D28" s="7"/>
      <c r="E28" s="7"/>
      <c r="F28" s="7"/>
      <c r="G28" s="7"/>
      <c r="H28" s="7"/>
    </row>
    <row r="29" spans="2:19" x14ac:dyDescent="0.2">
      <c r="B29" s="6" t="s">
        <v>97</v>
      </c>
      <c r="C29" s="48">
        <f>0.6*D9</f>
        <v>20556000</v>
      </c>
      <c r="D29" t="s">
        <v>104</v>
      </c>
      <c r="E29" s="46">
        <f>F17</f>
        <v>5.5555555555555554</v>
      </c>
      <c r="F29" t="s">
        <v>91</v>
      </c>
      <c r="H29" s="31">
        <f>C29/F17</f>
        <v>3700080</v>
      </c>
      <c r="I29" t="s">
        <v>98</v>
      </c>
    </row>
    <row r="30" spans="2:19" x14ac:dyDescent="0.2">
      <c r="B30" s="6" t="s">
        <v>90</v>
      </c>
      <c r="C30" s="48">
        <f>D9-C29</f>
        <v>13704000</v>
      </c>
      <c r="D30" t="s">
        <v>105</v>
      </c>
      <c r="E30" s="45">
        <f>C22</f>
        <v>2.7979277582846254</v>
      </c>
      <c r="F30" t="s">
        <v>92</v>
      </c>
      <c r="H30" s="31">
        <f>C30/E30</f>
        <v>4897910.5909445463</v>
      </c>
      <c r="I30" t="s">
        <v>99</v>
      </c>
    </row>
    <row r="31" spans="2:19" x14ac:dyDescent="0.2">
      <c r="B31" s="6" t="s">
        <v>100</v>
      </c>
      <c r="C31" s="48">
        <f>SUM(C29:C30)</f>
        <v>34260000</v>
      </c>
      <c r="G31" t="s">
        <v>93</v>
      </c>
      <c r="H31" s="66">
        <f>H29+H30</f>
        <v>8597990.5909445472</v>
      </c>
      <c r="I31" t="s">
        <v>101</v>
      </c>
    </row>
    <row r="32" spans="2:19" x14ac:dyDescent="0.2">
      <c r="I32" t="s">
        <v>122</v>
      </c>
    </row>
    <row r="33" spans="2:14" x14ac:dyDescent="0.2">
      <c r="B33" s="4" t="s">
        <v>167</v>
      </c>
      <c r="C33" s="4"/>
      <c r="D33" s="4"/>
    </row>
    <row r="34" spans="2:14" x14ac:dyDescent="0.2">
      <c r="B34" s="4" t="s">
        <v>125</v>
      </c>
      <c r="C34" s="4">
        <v>580</v>
      </c>
      <c r="D34" s="4" t="s">
        <v>120</v>
      </c>
    </row>
    <row r="35" spans="2:14" x14ac:dyDescent="0.2">
      <c r="B35" s="29" t="s">
        <v>53</v>
      </c>
      <c r="C35" s="4">
        <v>812</v>
      </c>
      <c r="D35" s="4" t="s">
        <v>13</v>
      </c>
    </row>
    <row r="36" spans="2:14" x14ac:dyDescent="0.2">
      <c r="B36" s="29"/>
      <c r="C36" s="4"/>
      <c r="D36" s="4"/>
      <c r="E36" s="65" t="s">
        <v>52</v>
      </c>
    </row>
    <row r="37" spans="2:14" x14ac:dyDescent="0.2">
      <c r="B37" s="4" t="s">
        <v>11</v>
      </c>
      <c r="C37" s="4"/>
      <c r="D37" s="4"/>
    </row>
    <row r="38" spans="2:14" ht="15.75" thickBot="1" x14ac:dyDescent="0.25"/>
    <row r="39" spans="2:14" ht="16.5" thickTop="1" thickBot="1" x14ac:dyDescent="0.25">
      <c r="F39" s="67" t="s">
        <v>121</v>
      </c>
      <c r="G39" s="68"/>
      <c r="H39" s="69">
        <f>H31*(C35/C34)</f>
        <v>12037186.827322366</v>
      </c>
      <c r="I39" s="68" t="s">
        <v>123</v>
      </c>
      <c r="J39" s="68"/>
      <c r="K39" s="70">
        <f>F10</f>
        <v>55.555555555555557</v>
      </c>
      <c r="L39" s="68" t="s">
        <v>124</v>
      </c>
      <c r="M39" s="68"/>
      <c r="N39" s="71"/>
    </row>
    <row r="40" spans="2:14" ht="15.75" thickTop="1" x14ac:dyDescent="0.2"/>
  </sheetData>
  <hyperlinks>
    <hyperlink ref="E36" r:id="rId1" location="/p/48" xr:uid="{00000000-0004-0000-0500-000000000000}"/>
  </hyperlinks>
  <pageMargins left="0.7" right="0.7" top="0.75" bottom="0.75" header="0.3" footer="0.3"/>
  <pageSetup orientation="portrait" horizontalDpi="0" verticalDpi="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7:Q40"/>
  <sheetViews>
    <sheetView zoomScale="80" zoomScaleNormal="80" workbookViewId="0">
      <selection activeCell="Q44" sqref="Q44"/>
    </sheetView>
  </sheetViews>
  <sheetFormatPr defaultRowHeight="15" x14ac:dyDescent="0.2"/>
  <cols>
    <col min="2" max="2" width="15.5546875" bestFit="1" customWidth="1"/>
    <col min="4" max="4" width="18.77734375" customWidth="1"/>
    <col min="5" max="5" width="14.5546875" bestFit="1" customWidth="1"/>
  </cols>
  <sheetData>
    <row r="7" spans="2:17" x14ac:dyDescent="0.2">
      <c r="D7" s="8" t="s">
        <v>0</v>
      </c>
      <c r="E7" s="8"/>
      <c r="F7" s="8"/>
      <c r="G7" s="8"/>
      <c r="H7" s="8"/>
      <c r="I7" s="8"/>
      <c r="J7" s="8"/>
      <c r="K7" s="8"/>
      <c r="L7" s="8"/>
      <c r="M7" s="8"/>
      <c r="N7" s="8"/>
      <c r="O7" s="8"/>
      <c r="P7" s="8"/>
      <c r="Q7" s="8"/>
    </row>
    <row r="8" spans="2:17" x14ac:dyDescent="0.2">
      <c r="D8" s="8"/>
      <c r="E8" s="8"/>
      <c r="F8" s="8"/>
      <c r="G8" s="8"/>
      <c r="H8" s="8"/>
      <c r="I8" s="8"/>
      <c r="J8" s="8"/>
      <c r="K8" s="8"/>
      <c r="L8" s="8"/>
      <c r="M8" s="8"/>
      <c r="N8" s="8"/>
      <c r="O8" s="8"/>
      <c r="P8" s="8"/>
      <c r="Q8" s="8"/>
    </row>
    <row r="9" spans="2:17" x14ac:dyDescent="0.2">
      <c r="D9" s="8" t="s">
        <v>1</v>
      </c>
      <c r="E9" s="8"/>
      <c r="F9" s="8"/>
      <c r="G9" s="8"/>
      <c r="H9" s="8"/>
      <c r="I9" s="8"/>
      <c r="J9" s="8"/>
      <c r="K9" s="8"/>
      <c r="L9" s="8"/>
      <c r="M9" s="8"/>
      <c r="N9" s="8"/>
      <c r="O9" s="8"/>
      <c r="P9" s="8"/>
      <c r="Q9" s="8"/>
    </row>
    <row r="10" spans="2:17" x14ac:dyDescent="0.2">
      <c r="D10" s="8"/>
      <c r="E10" s="8"/>
      <c r="F10" s="8"/>
      <c r="G10" s="8"/>
      <c r="H10" s="8"/>
      <c r="I10" s="8"/>
      <c r="J10" s="8"/>
      <c r="K10" s="8"/>
      <c r="L10" s="8"/>
      <c r="M10" s="8"/>
      <c r="N10" s="8"/>
      <c r="O10" s="8"/>
      <c r="P10" s="8"/>
      <c r="Q10" s="8"/>
    </row>
    <row r="11" spans="2:17" x14ac:dyDescent="0.2">
      <c r="B11" s="22" t="s">
        <v>172</v>
      </c>
      <c r="D11" s="3">
        <v>500</v>
      </c>
      <c r="E11" s="8" t="s">
        <v>2</v>
      </c>
      <c r="F11" s="8"/>
      <c r="G11" s="8"/>
      <c r="H11" s="8"/>
      <c r="I11" s="8"/>
      <c r="J11" s="8"/>
      <c r="K11" s="8"/>
      <c r="L11" s="8"/>
      <c r="M11" s="8"/>
      <c r="N11" s="8"/>
      <c r="O11" s="8"/>
      <c r="P11" s="8"/>
      <c r="Q11" s="8"/>
    </row>
    <row r="12" spans="2:17" x14ac:dyDescent="0.2">
      <c r="B12" s="50">
        <f>D12*E24/E23</f>
        <v>328080808.0808081</v>
      </c>
      <c r="D12" s="17">
        <v>120000000</v>
      </c>
      <c r="E12" s="21" t="s">
        <v>5</v>
      </c>
      <c r="F12" s="8"/>
      <c r="G12" s="8"/>
      <c r="H12" s="8"/>
      <c r="I12" s="8"/>
      <c r="J12" s="8"/>
      <c r="K12" s="8"/>
      <c r="L12" s="8"/>
      <c r="M12" s="8"/>
      <c r="N12" s="8"/>
      <c r="O12" s="8"/>
      <c r="P12" s="8"/>
      <c r="Q12" s="8"/>
    </row>
    <row r="13" spans="2:17" x14ac:dyDescent="0.2">
      <c r="B13" t="s">
        <v>173</v>
      </c>
      <c r="E13" s="1"/>
      <c r="K13" s="8"/>
      <c r="L13" s="8"/>
      <c r="M13" s="8"/>
      <c r="N13" s="8"/>
      <c r="O13" s="8"/>
      <c r="P13" s="8"/>
      <c r="Q13" s="8"/>
    </row>
    <row r="14" spans="2:17" x14ac:dyDescent="0.2">
      <c r="D14" s="26" t="s">
        <v>36</v>
      </c>
      <c r="E14" s="26"/>
      <c r="F14" s="26"/>
      <c r="G14" s="26"/>
      <c r="H14" s="26"/>
      <c r="I14" s="26"/>
      <c r="K14" s="8"/>
      <c r="L14" s="8"/>
      <c r="M14" s="8"/>
      <c r="N14" s="8"/>
      <c r="O14" s="8"/>
      <c r="P14" s="8"/>
      <c r="Q14" s="8"/>
    </row>
    <row r="15" spans="2:17" x14ac:dyDescent="0.2">
      <c r="D15" s="26" t="s">
        <v>10</v>
      </c>
      <c r="E15" s="26"/>
      <c r="F15" s="26"/>
      <c r="G15" s="26"/>
      <c r="H15" s="26"/>
      <c r="I15" s="26"/>
      <c r="K15" s="8"/>
      <c r="L15" s="8"/>
      <c r="M15" s="8"/>
      <c r="N15" s="8"/>
      <c r="O15" s="8"/>
      <c r="P15" s="8"/>
      <c r="Q15" s="8"/>
    </row>
    <row r="16" spans="2:17" x14ac:dyDescent="0.2">
      <c r="D16" s="26"/>
      <c r="E16" s="26"/>
      <c r="F16" s="26"/>
      <c r="G16" s="26"/>
      <c r="H16" s="26"/>
      <c r="I16" s="26"/>
      <c r="K16" s="8"/>
      <c r="L16" s="8"/>
      <c r="M16" s="8"/>
      <c r="N16" s="8"/>
      <c r="O16" s="8"/>
      <c r="P16" s="8"/>
      <c r="Q16" s="8"/>
    </row>
    <row r="17" spans="4:17" x14ac:dyDescent="0.2">
      <c r="D17" s="26" t="s">
        <v>3</v>
      </c>
      <c r="E17" s="27">
        <f>50^0.6</f>
        <v>10.456395525912733</v>
      </c>
      <c r="F17" s="26"/>
      <c r="G17" s="26"/>
      <c r="H17" s="26"/>
      <c r="I17" s="26"/>
      <c r="K17" s="8"/>
      <c r="L17" s="8"/>
      <c r="M17" s="8"/>
      <c r="N17" s="8"/>
      <c r="O17" s="8"/>
      <c r="P17" s="8"/>
      <c r="Q17" s="8"/>
    </row>
    <row r="18" spans="4:17" x14ac:dyDescent="0.2">
      <c r="D18" s="26"/>
      <c r="E18" s="27"/>
      <c r="F18" s="26"/>
      <c r="G18" s="26"/>
      <c r="H18" s="26"/>
      <c r="I18" s="26"/>
      <c r="K18" s="8"/>
      <c r="L18" s="8"/>
      <c r="M18" s="8"/>
      <c r="N18" s="8"/>
      <c r="O18" s="8"/>
      <c r="P18" s="8"/>
      <c r="Q18" s="8"/>
    </row>
    <row r="19" spans="4:17" x14ac:dyDescent="0.2">
      <c r="D19" s="26" t="s">
        <v>7</v>
      </c>
      <c r="E19" s="26"/>
      <c r="F19" s="26"/>
      <c r="G19" s="26"/>
      <c r="H19" s="26"/>
      <c r="I19" s="26"/>
      <c r="K19" s="8"/>
      <c r="L19" s="8"/>
      <c r="M19" s="8"/>
      <c r="N19" s="8"/>
      <c r="O19" s="8"/>
      <c r="P19" s="8"/>
      <c r="Q19" s="8"/>
    </row>
    <row r="20" spans="4:17" x14ac:dyDescent="0.2">
      <c r="D20" s="26" t="s">
        <v>6</v>
      </c>
      <c r="E20" s="28">
        <f>D12/E17</f>
        <v>11476229.997480443</v>
      </c>
      <c r="F20" s="26"/>
      <c r="G20" s="26"/>
      <c r="H20" s="26"/>
      <c r="I20" s="26"/>
      <c r="K20" s="8"/>
      <c r="L20" s="8"/>
      <c r="M20" s="8"/>
      <c r="N20" s="8"/>
      <c r="O20" s="8"/>
      <c r="P20" s="8"/>
      <c r="Q20" s="8"/>
    </row>
    <row r="21" spans="4:17" x14ac:dyDescent="0.2">
      <c r="E21" s="2"/>
      <c r="K21" s="8"/>
      <c r="L21" s="8"/>
      <c r="M21" s="8"/>
      <c r="N21" s="8"/>
      <c r="O21" s="8"/>
      <c r="P21" s="8"/>
      <c r="Q21" s="8"/>
    </row>
    <row r="22" spans="4:17" x14ac:dyDescent="0.2">
      <c r="D22" s="4" t="s">
        <v>8</v>
      </c>
      <c r="E22" s="4"/>
      <c r="F22" s="4"/>
      <c r="K22" s="8"/>
      <c r="L22" s="8"/>
      <c r="M22" s="8"/>
      <c r="N22" s="8"/>
      <c r="O22" s="8"/>
      <c r="P22" s="8"/>
      <c r="Q22" s="8"/>
    </row>
    <row r="23" spans="4:17" x14ac:dyDescent="0.2">
      <c r="D23" s="4" t="s">
        <v>4</v>
      </c>
      <c r="E23" s="4">
        <v>297</v>
      </c>
      <c r="F23" s="4" t="s">
        <v>12</v>
      </c>
      <c r="K23" s="8"/>
      <c r="L23" s="8"/>
      <c r="M23" s="8"/>
      <c r="N23" s="8"/>
      <c r="O23" s="8"/>
      <c r="P23" s="8"/>
      <c r="Q23" s="8"/>
    </row>
    <row r="24" spans="4:17" x14ac:dyDescent="0.2">
      <c r="D24" s="29" t="s">
        <v>53</v>
      </c>
      <c r="E24" s="4">
        <v>812</v>
      </c>
      <c r="F24" s="4" t="s">
        <v>13</v>
      </c>
      <c r="K24" s="8"/>
      <c r="L24" s="8"/>
      <c r="M24" s="8"/>
      <c r="N24" s="8"/>
      <c r="O24" s="8"/>
      <c r="P24" s="8"/>
      <c r="Q24" s="8"/>
    </row>
    <row r="25" spans="4:17" x14ac:dyDescent="0.2">
      <c r="D25" s="29"/>
      <c r="E25" s="4"/>
      <c r="F25" s="4"/>
      <c r="G25" t="s">
        <v>52</v>
      </c>
      <c r="K25" s="8"/>
      <c r="L25" s="8"/>
      <c r="M25" s="8"/>
      <c r="N25" s="8"/>
      <c r="O25" s="8"/>
      <c r="P25" s="8"/>
      <c r="Q25" s="8"/>
    </row>
    <row r="26" spans="4:17" x14ac:dyDescent="0.2">
      <c r="D26" s="4" t="s">
        <v>11</v>
      </c>
      <c r="E26" s="4"/>
      <c r="F26" s="4"/>
      <c r="K26" s="8"/>
      <c r="L26" s="8"/>
      <c r="M26" s="8"/>
      <c r="N26" s="8"/>
      <c r="O26" s="8"/>
      <c r="P26" s="8"/>
      <c r="Q26" s="8"/>
    </row>
    <row r="27" spans="4:17" x14ac:dyDescent="0.2">
      <c r="K27" s="8"/>
      <c r="L27" s="8"/>
      <c r="M27" s="8"/>
      <c r="N27" s="8"/>
      <c r="O27" s="8"/>
      <c r="P27" s="8"/>
      <c r="Q27" s="8"/>
    </row>
    <row r="28" spans="4:17" x14ac:dyDescent="0.2">
      <c r="K28" s="8"/>
      <c r="L28" s="8"/>
      <c r="M28" s="8"/>
      <c r="N28" s="8"/>
      <c r="O28" s="8"/>
      <c r="P28" s="8"/>
      <c r="Q28" s="8"/>
    </row>
    <row r="29" spans="4:17" x14ac:dyDescent="0.2">
      <c r="D29" s="24"/>
      <c r="E29" s="25">
        <f>E20*(E24/E23)</f>
        <v>31376090.094121613</v>
      </c>
      <c r="F29" s="24" t="s">
        <v>72</v>
      </c>
      <c r="G29" s="24"/>
      <c r="H29" s="24"/>
      <c r="I29" s="24"/>
      <c r="J29" s="24"/>
      <c r="K29" s="8" t="s">
        <v>9</v>
      </c>
      <c r="L29" s="8"/>
      <c r="M29" s="8"/>
      <c r="N29" s="8"/>
      <c r="O29" s="8"/>
      <c r="P29" s="8"/>
      <c r="Q29" s="8"/>
    </row>
    <row r="30" spans="4:17" x14ac:dyDescent="0.2">
      <c r="D30" s="24"/>
      <c r="E30" s="24"/>
      <c r="F30" s="24" t="s">
        <v>51</v>
      </c>
      <c r="G30" s="24"/>
      <c r="H30" s="24"/>
      <c r="I30" s="24"/>
      <c r="J30" s="24"/>
      <c r="K30" s="8"/>
      <c r="L30" s="8"/>
      <c r="M30" s="8"/>
      <c r="N30" s="8"/>
      <c r="O30" s="8"/>
      <c r="P30" s="8"/>
      <c r="Q30" s="8"/>
    </row>
    <row r="31" spans="4:17" x14ac:dyDescent="0.2">
      <c r="K31" s="8"/>
      <c r="L31" s="8"/>
      <c r="M31" s="8"/>
      <c r="N31" s="8"/>
      <c r="O31" s="8"/>
      <c r="P31" s="8"/>
      <c r="Q31" s="8"/>
    </row>
    <row r="32" spans="4:17" x14ac:dyDescent="0.2">
      <c r="K32" s="8"/>
      <c r="L32" s="8"/>
      <c r="M32" s="8"/>
      <c r="N32" s="8"/>
      <c r="O32" s="8"/>
      <c r="P32" s="8"/>
      <c r="Q32" s="8"/>
    </row>
    <row r="33" spans="11:17" x14ac:dyDescent="0.2">
      <c r="K33" s="8"/>
      <c r="L33" s="8"/>
      <c r="M33" s="8"/>
      <c r="N33" s="8"/>
      <c r="O33" s="8"/>
      <c r="P33" s="8"/>
      <c r="Q33" s="8"/>
    </row>
    <row r="34" spans="11:17" x14ac:dyDescent="0.2">
      <c r="K34" s="8"/>
      <c r="L34" s="8"/>
      <c r="M34" s="8"/>
      <c r="N34" s="8"/>
      <c r="O34" s="8"/>
      <c r="P34" s="8"/>
      <c r="Q34" s="8"/>
    </row>
    <row r="35" spans="11:17" x14ac:dyDescent="0.2">
      <c r="K35" s="8"/>
      <c r="L35" s="8"/>
      <c r="M35" s="8"/>
      <c r="N35" s="8"/>
      <c r="O35" s="8"/>
      <c r="P35" s="8"/>
      <c r="Q35" s="8"/>
    </row>
    <row r="36" spans="11:17" x14ac:dyDescent="0.2">
      <c r="K36" s="8"/>
      <c r="L36" s="8"/>
      <c r="M36" s="8"/>
      <c r="N36" s="8"/>
      <c r="O36" s="8"/>
      <c r="P36" s="8"/>
      <c r="Q36" s="8"/>
    </row>
    <row r="40" spans="11:17" x14ac:dyDescent="0.2">
      <c r="K40" s="3"/>
      <c r="L40"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D5:R35"/>
  <sheetViews>
    <sheetView topLeftCell="B17" workbookViewId="0">
      <selection activeCell="H46" sqref="H46"/>
    </sheetView>
  </sheetViews>
  <sheetFormatPr defaultRowHeight="15" x14ac:dyDescent="0.2"/>
  <cols>
    <col min="5" max="5" width="14.5546875" bestFit="1" customWidth="1"/>
    <col min="14" max="14" width="14.33203125" customWidth="1"/>
    <col min="17" max="17" width="12" bestFit="1" customWidth="1"/>
  </cols>
  <sheetData>
    <row r="5" spans="4:18" x14ac:dyDescent="0.2">
      <c r="D5" s="8" t="s">
        <v>141</v>
      </c>
      <c r="E5" s="8"/>
      <c r="F5" s="8"/>
      <c r="G5" s="8"/>
      <c r="H5" s="8"/>
      <c r="I5" s="8"/>
      <c r="J5" s="8"/>
      <c r="K5" s="8"/>
    </row>
    <row r="7" spans="4:18" x14ac:dyDescent="0.2">
      <c r="D7" t="s">
        <v>162</v>
      </c>
    </row>
    <row r="8" spans="4:18" x14ac:dyDescent="0.2">
      <c r="D8" t="s">
        <v>142</v>
      </c>
      <c r="N8" s="3">
        <v>500</v>
      </c>
      <c r="O8" s="3" t="s">
        <v>144</v>
      </c>
      <c r="P8" s="3"/>
    </row>
    <row r="9" spans="4:18" x14ac:dyDescent="0.2">
      <c r="N9">
        <v>454</v>
      </c>
      <c r="O9" t="s">
        <v>143</v>
      </c>
      <c r="Q9" s="85">
        <f>365*0.9*N9</f>
        <v>149139</v>
      </c>
      <c r="R9" t="s">
        <v>150</v>
      </c>
    </row>
    <row r="10" spans="4:18" x14ac:dyDescent="0.2">
      <c r="M10" s="3" t="s">
        <v>68</v>
      </c>
      <c r="N10" s="63">
        <v>350</v>
      </c>
      <c r="O10" s="3" t="s">
        <v>148</v>
      </c>
      <c r="Q10" s="31"/>
    </row>
    <row r="11" spans="4:18" x14ac:dyDescent="0.2">
      <c r="K11" t="s">
        <v>163</v>
      </c>
      <c r="N11" t="s">
        <v>145</v>
      </c>
    </row>
    <row r="13" spans="4:18" x14ac:dyDescent="0.2">
      <c r="N13" s="3" t="s">
        <v>146</v>
      </c>
      <c r="O13" s="3">
        <v>10</v>
      </c>
    </row>
    <row r="14" spans="4:18" x14ac:dyDescent="0.2">
      <c r="N14" t="s">
        <v>147</v>
      </c>
      <c r="O14">
        <f>N9</f>
        <v>454</v>
      </c>
    </row>
    <row r="16" spans="4:18" x14ac:dyDescent="0.2">
      <c r="N16" t="s">
        <v>164</v>
      </c>
      <c r="O16">
        <f>(O13/O14)^0.6</f>
        <v>0.10133663717970962</v>
      </c>
    </row>
    <row r="17" spans="4:17" x14ac:dyDescent="0.2">
      <c r="O17" s="2">
        <f>O16*N10</f>
        <v>35.467823012898364</v>
      </c>
      <c r="P17" t="s">
        <v>148</v>
      </c>
      <c r="Q17" t="s">
        <v>149</v>
      </c>
    </row>
    <row r="20" spans="4:17" ht="15.75" x14ac:dyDescent="0.25">
      <c r="D20" s="78" t="s">
        <v>158</v>
      </c>
    </row>
    <row r="21" spans="4:17" x14ac:dyDescent="0.2">
      <c r="D21" t="s">
        <v>151</v>
      </c>
    </row>
    <row r="22" spans="4:17" x14ac:dyDescent="0.2">
      <c r="D22" t="s">
        <v>152</v>
      </c>
      <c r="E22" s="3">
        <v>2000</v>
      </c>
      <c r="F22" s="3" t="s">
        <v>153</v>
      </c>
      <c r="G22" s="3"/>
      <c r="H22" s="3"/>
      <c r="J22" t="s">
        <v>155</v>
      </c>
    </row>
    <row r="23" spans="4:17" x14ac:dyDescent="0.2">
      <c r="E23" s="3">
        <v>3600</v>
      </c>
      <c r="F23" s="3" t="s">
        <v>154</v>
      </c>
      <c r="G23" s="3"/>
      <c r="H23" s="3"/>
    </row>
    <row r="25" spans="4:17" x14ac:dyDescent="0.2">
      <c r="E25" s="2">
        <f>E22*E23</f>
        <v>7200000</v>
      </c>
      <c r="F25" t="s">
        <v>140</v>
      </c>
      <c r="G25">
        <f>E23/360</f>
        <v>10</v>
      </c>
      <c r="H25" t="s">
        <v>156</v>
      </c>
      <c r="J25">
        <v>360</v>
      </c>
      <c r="K25" t="s">
        <v>157</v>
      </c>
    </row>
    <row r="27" spans="4:17" x14ac:dyDescent="0.2">
      <c r="D27" t="s">
        <v>159</v>
      </c>
    </row>
    <row r="30" spans="4:17" x14ac:dyDescent="0.2">
      <c r="D30" s="4" t="s">
        <v>160</v>
      </c>
      <c r="E30" s="4">
        <v>2017</v>
      </c>
      <c r="F30" s="4">
        <v>568</v>
      </c>
    </row>
    <row r="31" spans="4:17" x14ac:dyDescent="0.2">
      <c r="D31" s="4"/>
      <c r="E31" s="4">
        <v>2022</v>
      </c>
      <c r="F31" s="4">
        <v>812</v>
      </c>
    </row>
    <row r="32" spans="4:17" ht="15.75" thickBot="1" x14ac:dyDescent="0.25"/>
    <row r="33" spans="5:12" ht="15.75" thickTop="1" x14ac:dyDescent="0.2">
      <c r="E33" s="79">
        <f>(F31/F30)*E25</f>
        <v>10292957.746478874</v>
      </c>
      <c r="F33" s="80"/>
      <c r="G33" s="80">
        <f>G25</f>
        <v>10</v>
      </c>
      <c r="H33" s="80" t="s">
        <v>156</v>
      </c>
      <c r="I33" s="80"/>
      <c r="J33" s="80">
        <v>360</v>
      </c>
      <c r="K33" s="80" t="s">
        <v>157</v>
      </c>
      <c r="L33" s="81"/>
    </row>
    <row r="34" spans="5:12" ht="15.75" thickBot="1" x14ac:dyDescent="0.25">
      <c r="E34" s="82" t="s">
        <v>161</v>
      </c>
      <c r="F34" s="83"/>
      <c r="G34" s="83"/>
      <c r="H34" s="83"/>
      <c r="I34" s="83"/>
      <c r="J34" s="83"/>
      <c r="K34" s="83"/>
      <c r="L34" s="84"/>
    </row>
    <row r="35" spans="5:12" ht="15.75" thickTop="1" x14ac:dyDescent="0.2"/>
  </sheetData>
  <pageMargins left="0.7" right="0.7" top="0.75" bottom="0.75" header="0.3" footer="0.3"/>
  <pageSetup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4:L19"/>
  <sheetViews>
    <sheetView workbookViewId="0">
      <selection activeCell="M25" sqref="M25"/>
    </sheetView>
  </sheetViews>
  <sheetFormatPr defaultRowHeight="15" x14ac:dyDescent="0.2"/>
  <cols>
    <col min="6" max="6" width="13.5546875" bestFit="1" customWidth="1"/>
    <col min="7" max="7" width="11.5546875" customWidth="1"/>
  </cols>
  <sheetData>
    <row r="4" spans="3:11" x14ac:dyDescent="0.2">
      <c r="C4" t="s">
        <v>54</v>
      </c>
    </row>
    <row r="6" spans="3:11" x14ac:dyDescent="0.2">
      <c r="C6">
        <v>2020</v>
      </c>
    </row>
    <row r="8" spans="3:11" x14ac:dyDescent="0.2">
      <c r="C8" t="s">
        <v>55</v>
      </c>
      <c r="F8" s="17">
        <v>1000</v>
      </c>
      <c r="G8" s="3" t="s">
        <v>56</v>
      </c>
    </row>
    <row r="10" spans="3:11" x14ac:dyDescent="0.2">
      <c r="C10" s="6" t="s">
        <v>57</v>
      </c>
      <c r="D10" s="6"/>
      <c r="E10" s="6"/>
      <c r="F10" s="3">
        <v>4</v>
      </c>
      <c r="G10" s="3" t="s">
        <v>119</v>
      </c>
      <c r="H10" s="6" t="s">
        <v>59</v>
      </c>
      <c r="I10" s="6"/>
    </row>
    <row r="11" spans="3:11" x14ac:dyDescent="0.2">
      <c r="C11" s="6"/>
      <c r="D11" s="6"/>
      <c r="E11" s="6" t="s">
        <v>60</v>
      </c>
      <c r="F11" s="6">
        <f>F10*1000</f>
        <v>4000</v>
      </c>
      <c r="G11" s="6" t="s">
        <v>58</v>
      </c>
      <c r="H11" s="6"/>
      <c r="I11" s="6"/>
    </row>
    <row r="13" spans="3:11" x14ac:dyDescent="0.2">
      <c r="F13" s="30">
        <f>F11*F8</f>
        <v>4000000</v>
      </c>
      <c r="G13" t="s">
        <v>61</v>
      </c>
    </row>
    <row r="15" spans="3:11" x14ac:dyDescent="0.2">
      <c r="C15" s="6" t="s">
        <v>64</v>
      </c>
      <c r="D15" s="6"/>
    </row>
    <row r="16" spans="3:11" x14ac:dyDescent="0.2">
      <c r="C16" s="29" t="s">
        <v>53</v>
      </c>
      <c r="D16" s="4"/>
      <c r="E16" s="4"/>
      <c r="F16" s="4">
        <v>812</v>
      </c>
      <c r="G16" s="4"/>
      <c r="H16" s="4"/>
      <c r="I16" s="4"/>
      <c r="J16" s="4"/>
      <c r="K16" s="4"/>
    </row>
    <row r="17" spans="3:12" x14ac:dyDescent="0.2">
      <c r="C17" s="4" t="s">
        <v>62</v>
      </c>
      <c r="D17" s="4"/>
      <c r="E17" s="4"/>
      <c r="F17" s="4">
        <v>596.20000000000005</v>
      </c>
      <c r="G17" s="4"/>
      <c r="H17" s="4" t="s">
        <v>63</v>
      </c>
      <c r="I17" s="4"/>
      <c r="J17" s="4"/>
      <c r="K17" s="4"/>
    </row>
    <row r="19" spans="3:12" x14ac:dyDescent="0.2">
      <c r="F19" s="33">
        <f>(F16/F17)*F13</f>
        <v>5447836.2965447828</v>
      </c>
      <c r="G19" s="7" t="s">
        <v>113</v>
      </c>
      <c r="H19" s="7"/>
      <c r="I19" s="7"/>
      <c r="J19" s="7"/>
      <c r="K19" s="7"/>
      <c r="L19" s="7"/>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4:G8"/>
  <sheetViews>
    <sheetView workbookViewId="0">
      <selection activeCell="D12" sqref="D12"/>
    </sheetView>
  </sheetViews>
  <sheetFormatPr defaultRowHeight="15" x14ac:dyDescent="0.2"/>
  <cols>
    <col min="6" max="6" width="10" bestFit="1" customWidth="1"/>
  </cols>
  <sheetData>
    <row r="4" spans="3:7" x14ac:dyDescent="0.2">
      <c r="C4" s="37" t="s">
        <v>68</v>
      </c>
    </row>
    <row r="5" spans="3:7" x14ac:dyDescent="0.2">
      <c r="C5" s="38" t="s">
        <v>69</v>
      </c>
    </row>
    <row r="6" spans="3:7" x14ac:dyDescent="0.2">
      <c r="C6" s="37" t="s">
        <v>70</v>
      </c>
    </row>
    <row r="8" spans="3:7" x14ac:dyDescent="0.2">
      <c r="C8" t="s">
        <v>71</v>
      </c>
      <c r="F8" s="2">
        <v>7500</v>
      </c>
      <c r="G8">
        <v>2022</v>
      </c>
    </row>
  </sheetData>
  <hyperlinks>
    <hyperlink ref="C5" r:id="rId1" display="https://www.globalindustrial.com/p/commercial-reverse-osmosis-system-for-boilerless-steamers-and-combi-ovens?infoParam.campaignId=T9F&amp;gclid=EAIaIQobChMIyv7Amf2e-wIVcHtvBB2KLgrZEAQYBCABEgJFWfD_BwE" xr:uid="{00000000-0004-0000-0B00-000000000000}"/>
  </hyperlinks>
  <pageMargins left="0.7" right="0.7" top="0.75" bottom="0.75" header="0.3" footer="0.3"/>
  <pageSetup orientation="portrait" horizontalDpi="0" verticalDpi="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2:F9"/>
  <sheetViews>
    <sheetView workbookViewId="0">
      <selection activeCell="Q37" sqref="Q37"/>
    </sheetView>
  </sheetViews>
  <sheetFormatPr defaultRowHeight="15" x14ac:dyDescent="0.2"/>
  <sheetData>
    <row r="2" spans="3:6" x14ac:dyDescent="0.2">
      <c r="C2" t="s">
        <v>177</v>
      </c>
    </row>
    <row r="5" spans="3:6" x14ac:dyDescent="0.2">
      <c r="C5" s="63">
        <v>0.6</v>
      </c>
      <c r="D5" s="3" t="s">
        <v>174</v>
      </c>
      <c r="E5" s="3"/>
      <c r="F5" s="3"/>
    </row>
    <row r="7" spans="3:6" x14ac:dyDescent="0.2">
      <c r="C7">
        <f>176/1000</f>
        <v>0.17599999999999999</v>
      </c>
      <c r="D7" t="s">
        <v>175</v>
      </c>
    </row>
    <row r="9" spans="3:6" x14ac:dyDescent="0.2">
      <c r="C9" s="31">
        <f>C7*C5</f>
        <v>0.10559999999999999</v>
      </c>
      <c r="D9" t="s">
        <v>176</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D5:D7"/>
  <sheetViews>
    <sheetView workbookViewId="0">
      <selection activeCell="D8" sqref="D8"/>
    </sheetView>
  </sheetViews>
  <sheetFormatPr defaultRowHeight="15" x14ac:dyDescent="0.2"/>
  <sheetData>
    <row r="5" spans="4:4" x14ac:dyDescent="0.2">
      <c r="D5" t="s">
        <v>73</v>
      </c>
    </row>
    <row r="7" spans="4:4" x14ac:dyDescent="0.2">
      <c r="D7" t="s">
        <v>183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D6"/>
  <sheetViews>
    <sheetView workbookViewId="0">
      <selection activeCell="D7" sqref="D7"/>
    </sheetView>
  </sheetViews>
  <sheetFormatPr defaultRowHeight="15" x14ac:dyDescent="0.2"/>
  <sheetData>
    <row r="6" spans="4:4" x14ac:dyDescent="0.2">
      <c r="D6" t="s">
        <v>183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D6"/>
  <sheetViews>
    <sheetView workbookViewId="0">
      <selection activeCell="D10" sqref="D10"/>
    </sheetView>
  </sheetViews>
  <sheetFormatPr defaultRowHeight="15" x14ac:dyDescent="0.2"/>
  <sheetData>
    <row r="6" spans="4:4" x14ac:dyDescent="0.2">
      <c r="D6" t="s">
        <v>183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 this workbook</vt:lpstr>
      <vt:lpstr>Disclaimer</vt:lpstr>
      <vt:lpstr>Textbook</vt:lpstr>
      <vt:lpstr>Discounted cash flow</vt:lpstr>
      <vt:lpstr>Ammonia price history</vt:lpstr>
      <vt:lpstr>Cost of Manuf COMd modified</vt:lpstr>
      <vt:lpstr>CEPCI</vt:lpstr>
      <vt:lpstr>CAPEX via paper Malmali et al</vt:lpstr>
      <vt:lpstr> CAPEX Grundt et al 6 10 rule</vt:lpstr>
      <vt:lpstr>H-B Capex from Ammoniaenergy.or</vt:lpstr>
      <vt:lpstr>CAPEX by DOE for electrolysis</vt:lpstr>
      <vt:lpstr>Reverse Osmosis CAPEX</vt:lpstr>
      <vt:lpstr>Renewable H2 Tax Credit</vt:lpstr>
      <vt:lpstr>CAPEX Haber Bosch</vt:lpstr>
      <vt:lpstr>CAPEX NH3 storage</vt:lpstr>
      <vt:lpstr>CAPEX Instrument. and control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Pfromm, Peter Heinz</dc:creator>
  <cp:lastModifiedBy>PHP PHP</cp:lastModifiedBy>
  <dcterms:created xsi:type="dcterms:W3CDTF">2022-11-03T21:01:32Z</dcterms:created>
  <dcterms:modified xsi:type="dcterms:W3CDTF">2023-10-25T18:28:41Z</dcterms:modified>
</cp:coreProperties>
</file>