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angh\Desktop\BITS\Fourth Year\Sem 1\Business Analysis and Valuation\Project\"/>
    </mc:Choice>
  </mc:AlternateContent>
  <xr:revisionPtr revIDLastSave="0" documentId="13_ncr:1_{DF95EC7C-8C91-471C-B4B7-4D9789BD9D0F}" xr6:coauthVersionLast="45" xr6:coauthVersionMax="45" xr10:uidLastSave="{00000000-0000-0000-0000-000000000000}"/>
  <bookViews>
    <workbookView xWindow="-108" yWindow="-108" windowWidth="23256" windowHeight="12576" tabRatio="889" xr2:uid="{00000000-000D-0000-FFFF-FFFF00000000}"/>
  </bookViews>
  <sheets>
    <sheet name="Beta Calculation" sheetId="1" r:id="rId1"/>
    <sheet name="Cost of Equity" sheetId="5" r:id="rId2"/>
    <sheet name="WACC Calculation" sheetId="4" r:id="rId3"/>
    <sheet name="Growth Rate Calculation" sheetId="7" r:id="rId4"/>
    <sheet name="Stable period equity reinvestme" sheetId="9" r:id="rId5"/>
    <sheet name="Normalised non-cash net income" sheetId="8" r:id="rId6"/>
    <sheet name="FCFE Projections" sheetId="10" r:id="rId7"/>
  </sheets>
  <externalReferences>
    <externalReference r:id="rId8"/>
    <externalReference r:id="rId9"/>
  </externalReferences>
  <calcPr calcId="191029"/>
</workbook>
</file>

<file path=xl/calcChain.xml><?xml version="1.0" encoding="utf-8"?>
<calcChain xmlns="http://schemas.openxmlformats.org/spreadsheetml/2006/main">
  <c r="B24" i="10" l="1"/>
  <c r="E24" i="10" l="1"/>
  <c r="E25" i="10"/>
  <c r="G8" i="10"/>
  <c r="F8" i="10"/>
  <c r="E8" i="10"/>
  <c r="D8" i="10"/>
  <c r="B12" i="9" l="1"/>
  <c r="G6" i="8"/>
  <c r="F13" i="9" s="1"/>
  <c r="G5" i="8"/>
  <c r="F12" i="9"/>
  <c r="F9" i="9"/>
  <c r="G8" i="9"/>
  <c r="D12" i="9"/>
  <c r="E12" i="9"/>
  <c r="E13" i="9" s="1"/>
  <c r="F8" i="9"/>
  <c r="E8" i="9"/>
  <c r="C12" i="9"/>
  <c r="D8" i="9"/>
  <c r="C8" i="9"/>
  <c r="B8" i="9"/>
  <c r="B9" i="9" l="1"/>
  <c r="B13" i="9" s="1"/>
  <c r="C9" i="9"/>
  <c r="C13" i="9" s="1"/>
  <c r="D9" i="9"/>
  <c r="D13" i="9" s="1"/>
  <c r="E9" i="9"/>
  <c r="C6" i="8"/>
  <c r="D6" i="8"/>
  <c r="E6" i="8"/>
  <c r="F6" i="8"/>
  <c r="C5" i="8"/>
  <c r="D5" i="8"/>
  <c r="E5" i="8"/>
  <c r="F5" i="8"/>
  <c r="B5" i="8"/>
  <c r="N15" i="7"/>
  <c r="O8" i="7"/>
  <c r="N8" i="7"/>
  <c r="N9" i="7" s="1"/>
  <c r="B5" i="7"/>
  <c r="B25" i="10" s="1"/>
  <c r="B4" i="7"/>
  <c r="B3" i="7"/>
  <c r="B2" i="8" s="1"/>
  <c r="B6" i="8" s="1"/>
  <c r="B8" i="8" s="1"/>
  <c r="B9" i="10" s="1"/>
  <c r="I17" i="4"/>
  <c r="I68" i="1" s="1"/>
  <c r="I6" i="4"/>
  <c r="B8" i="4" s="1"/>
  <c r="B8" i="7" l="1"/>
  <c r="B9" i="7" s="1"/>
  <c r="B11" i="7" s="1"/>
  <c r="I69" i="1"/>
  <c r="I70" i="1" s="1"/>
  <c r="E26" i="10" s="1"/>
  <c r="E27" i="10" s="1"/>
  <c r="S64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16" i="1"/>
  <c r="B7" i="4"/>
  <c r="N17" i="7" l="1"/>
  <c r="C15" i="9" s="1"/>
  <c r="D21" i="7" s="1"/>
  <c r="H8" i="10" s="1"/>
  <c r="B10" i="7"/>
  <c r="E10" i="10"/>
  <c r="G10" i="10"/>
  <c r="F10" i="10"/>
  <c r="C10" i="10"/>
  <c r="D10" i="10"/>
  <c r="B4" i="5"/>
  <c r="B5" i="5" s="1"/>
  <c r="C12" i="10" s="1"/>
  <c r="B20" i="4"/>
  <c r="B21" i="4" s="1"/>
  <c r="D19" i="7" l="1"/>
  <c r="B8" i="10" s="1"/>
  <c r="B10" i="10" s="1"/>
  <c r="B11" i="10" s="1"/>
  <c r="H10" i="10"/>
  <c r="C13" i="10"/>
  <c r="D12" i="10"/>
  <c r="B23" i="4"/>
  <c r="B26" i="4"/>
  <c r="I65" i="1"/>
  <c r="I64" i="1"/>
  <c r="I66" i="1" s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4" i="1"/>
  <c r="C9" i="10" l="1"/>
  <c r="D9" i="10" s="1"/>
  <c r="E9" i="10" s="1"/>
  <c r="B19" i="10"/>
  <c r="E19" i="10" s="1"/>
  <c r="L8" i="10" s="1"/>
  <c r="I10" i="10"/>
  <c r="J10" i="10" s="1"/>
  <c r="K10" i="10" s="1"/>
  <c r="L10" i="10" s="1"/>
  <c r="E12" i="10"/>
  <c r="D13" i="10"/>
  <c r="C11" i="10" l="1"/>
  <c r="C14" i="10" s="1"/>
  <c r="D11" i="10"/>
  <c r="D14" i="10" s="1"/>
  <c r="K8" i="10"/>
  <c r="J8" i="10"/>
  <c r="I8" i="10"/>
  <c r="E13" i="10"/>
  <c r="F12" i="10"/>
  <c r="F9" i="10"/>
  <c r="E11" i="10"/>
  <c r="E14" i="10" l="1"/>
  <c r="F11" i="10"/>
  <c r="G9" i="10"/>
  <c r="F13" i="10"/>
  <c r="G12" i="10"/>
  <c r="F14" i="10" l="1"/>
  <c r="G13" i="10"/>
  <c r="H12" i="10"/>
  <c r="H9" i="10"/>
  <c r="I9" i="10" s="1"/>
  <c r="G11" i="10"/>
  <c r="J9" i="10" l="1"/>
  <c r="I11" i="10"/>
  <c r="H13" i="10"/>
  <c r="I12" i="10"/>
  <c r="G14" i="10"/>
  <c r="H11" i="10"/>
  <c r="H14" i="10" l="1"/>
  <c r="J12" i="10"/>
  <c r="I13" i="10"/>
  <c r="I14" i="10" s="1"/>
  <c r="K9" i="10"/>
  <c r="J11" i="10"/>
  <c r="L9" i="10" l="1"/>
  <c r="K11" i="10"/>
  <c r="K12" i="10"/>
  <c r="J13" i="10"/>
  <c r="J14" i="10" s="1"/>
  <c r="L12" i="10" l="1"/>
  <c r="L13" i="10" s="1"/>
  <c r="K13" i="10"/>
  <c r="K14" i="10" s="1"/>
  <c r="B18" i="10"/>
  <c r="B20" i="10" s="1"/>
  <c r="B21" i="10" s="1"/>
  <c r="B22" i="10" s="1"/>
  <c r="L11" i="10"/>
  <c r="L14" i="10" l="1"/>
  <c r="L15" i="10" s="1"/>
  <c r="B26" i="10" s="1"/>
  <c r="B29" i="10" s="1"/>
</calcChain>
</file>

<file path=xl/sharedStrings.xml><?xml version="1.0" encoding="utf-8"?>
<sst xmlns="http://schemas.openxmlformats.org/spreadsheetml/2006/main" count="166" uniqueCount="122">
  <si>
    <t>Date</t>
  </si>
  <si>
    <t>Open</t>
  </si>
  <si>
    <t>High</t>
  </si>
  <si>
    <t>Low</t>
  </si>
  <si>
    <t>Close</t>
  </si>
  <si>
    <t>Adj Close</t>
  </si>
  <si>
    <t>Volume</t>
  </si>
  <si>
    <t>Monthly Returns</t>
  </si>
  <si>
    <t>Havells</t>
  </si>
  <si>
    <t>NSEI</t>
  </si>
  <si>
    <t>Covariance with Index</t>
  </si>
  <si>
    <t>Variance of index</t>
  </si>
  <si>
    <t>As per CARE ratings, Havells has a rating of AAA</t>
  </si>
  <si>
    <t>Cost of debt = Risk free rate + Default spread</t>
  </si>
  <si>
    <t>Cost of debt = 10 year government securities rate + spread of AAA rated bonds</t>
  </si>
  <si>
    <t>Cost of debt</t>
  </si>
  <si>
    <t>Government Securities in July 20</t>
  </si>
  <si>
    <t>AAA bond spread</t>
  </si>
  <si>
    <t>For data following has been referred to:</t>
  </si>
  <si>
    <t>Cost of Equity</t>
  </si>
  <si>
    <t>Risk free rate</t>
  </si>
  <si>
    <t>Taken as 10 year government securities rate</t>
  </si>
  <si>
    <t>Annualized Returns</t>
  </si>
  <si>
    <t>Rm</t>
  </si>
  <si>
    <t>Beta</t>
  </si>
  <si>
    <t>Cost of Equity=Risk free rate + beta(Market return rate - Risk free rate)</t>
  </si>
  <si>
    <t>Weighted Average Cost of Capital</t>
  </si>
  <si>
    <t>Equity Capital</t>
  </si>
  <si>
    <t>Debt capital</t>
  </si>
  <si>
    <t>Net Income</t>
  </si>
  <si>
    <t>Pre-tax Cost of debt</t>
  </si>
  <si>
    <t>Current Assets</t>
  </si>
  <si>
    <t>Current Liabilities</t>
  </si>
  <si>
    <t>After tax Cost of debt</t>
  </si>
  <si>
    <t>Tax rate</t>
  </si>
  <si>
    <t>Unlevered Beta of Havells</t>
  </si>
  <si>
    <t>Debt/Equity ratio</t>
  </si>
  <si>
    <t>Levered beta of Havells</t>
  </si>
  <si>
    <t>Click to view Page</t>
  </si>
  <si>
    <t>Hence rate of discounting</t>
  </si>
  <si>
    <t>Non Cash ROE</t>
  </si>
  <si>
    <t>Book value of equity</t>
  </si>
  <si>
    <t>Cash and cash equivalents</t>
  </si>
  <si>
    <t>Pre-tax income from cash and cash equivalents</t>
  </si>
  <si>
    <t>Applicable tax</t>
  </si>
  <si>
    <t>After-tax income from cash and cash equivalents</t>
  </si>
  <si>
    <t>Non-cash ROE</t>
  </si>
  <si>
    <t>Equity Reinvestment Rate</t>
  </si>
  <si>
    <t>Capital Expenditure</t>
  </si>
  <si>
    <t>March 31, 2020</t>
  </si>
  <si>
    <t>March 31, 2019</t>
  </si>
  <si>
    <t>Working Capital</t>
  </si>
  <si>
    <t>Net change in Working Capital</t>
  </si>
  <si>
    <t>All figures in crores</t>
  </si>
  <si>
    <t>Depreciation and Amortisation Expenses</t>
  </si>
  <si>
    <t>Debt issued</t>
  </si>
  <si>
    <t>Expected Growth Rate in Net Income</t>
  </si>
  <si>
    <t>Non-cash net income</t>
  </si>
  <si>
    <t>March 31, 2018</t>
  </si>
  <si>
    <t>March 31, 2017</t>
  </si>
  <si>
    <t>March 31, 2016</t>
  </si>
  <si>
    <t>Here it is assumed that 'Others', and 'Miscellaneous income' don't result from cash and cash equivalents</t>
  </si>
  <si>
    <t>Normalised Non Cash Net Income</t>
  </si>
  <si>
    <t>Stable period equity reinvestment rate</t>
  </si>
  <si>
    <t>March 31, 2015</t>
  </si>
  <si>
    <t>March 31, 2014</t>
  </si>
  <si>
    <t>Note: Equity reinvestment rate can be over 100%</t>
  </si>
  <si>
    <t>Applicable tax rate</t>
  </si>
  <si>
    <t>Average Equity Reinvestment Rate</t>
  </si>
  <si>
    <t>Long term Borrowing</t>
  </si>
  <si>
    <t>Long term Financial liabilities</t>
  </si>
  <si>
    <t>Stable Growth Rate in Net Income</t>
  </si>
  <si>
    <t>Current year</t>
  </si>
  <si>
    <t>Over past 5 years, company has grown at an average rate: -</t>
  </si>
  <si>
    <t>Free Cash Flow Projections</t>
  </si>
  <si>
    <t>Here it is assumed that the effect of the pandemic will drive growth down further over the course of the current fiscal year</t>
  </si>
  <si>
    <t>Post that over the next 5 years, company  will move towards stable period growth rate</t>
  </si>
  <si>
    <t>March 31, 2021</t>
  </si>
  <si>
    <t>March 31, 2022</t>
  </si>
  <si>
    <t>March 31, 2023</t>
  </si>
  <si>
    <t>March 31, 2024</t>
  </si>
  <si>
    <t>March 31, 2025</t>
  </si>
  <si>
    <t>March 31, 2026</t>
  </si>
  <si>
    <t>Growth Rate</t>
  </si>
  <si>
    <t>Current Year</t>
  </si>
  <si>
    <t>Equity Reinvestment rate</t>
  </si>
  <si>
    <t>FCFE</t>
  </si>
  <si>
    <t>Cost of Equity (assumed constant across 5 years)</t>
  </si>
  <si>
    <t>Cumulative cost of equity</t>
  </si>
  <si>
    <t>Present Value</t>
  </si>
  <si>
    <t>Total</t>
  </si>
  <si>
    <t>Terminal Value</t>
  </si>
  <si>
    <t>Present Value of Terminal Value</t>
  </si>
  <si>
    <t>Value of Equity in Operating Assets</t>
  </si>
  <si>
    <t>Cash and Marketable securities</t>
  </si>
  <si>
    <t>Value of Equity</t>
  </si>
  <si>
    <t>Number of Shares</t>
  </si>
  <si>
    <t>Value of Equity per share</t>
  </si>
  <si>
    <t>Stable period cost of equity</t>
  </si>
  <si>
    <t>At the time of valuation, Havells share price was Rs. 826.10</t>
  </si>
  <si>
    <t>Hence Havells share is overvalued and recommendation is to sell</t>
  </si>
  <si>
    <t>Links:</t>
  </si>
  <si>
    <t>http://www.attainix.com/ICTrackerDetail.aspx?stockcode=HAVELLS.IN</t>
  </si>
  <si>
    <t>https://billiondollarvaluation.com/havells-valuation-excel-model-and-intrinsic-value-of-shares/?amp</t>
  </si>
  <si>
    <t>March 31, 2027</t>
  </si>
  <si>
    <t>March 31, 2028</t>
  </si>
  <si>
    <t>March 31, 2029</t>
  </si>
  <si>
    <t>March 31, 2030</t>
  </si>
  <si>
    <t>Stable Period Growth Rate</t>
  </si>
  <si>
    <t>Quadratic Growth</t>
  </si>
  <si>
    <t>Linear Decline</t>
  </si>
  <si>
    <t>Expected net income in year 11</t>
  </si>
  <si>
    <t>https://simplywall.st/stocks/in/capital-goods/nse-havells/havells-india-shares</t>
  </si>
  <si>
    <t>Note: While there is a huge difference in the intrinsic and market values, I cross checked my value of share with a few other resources. All of them value Havells in the 125-155 range. As a matter of fact, significant insider trading has been reported</t>
  </si>
  <si>
    <t>Since the company has been historically seen to raise funds primarily via equity financing, I assume this trend will continue into the future</t>
  </si>
  <si>
    <t>FCFE in year 11</t>
  </si>
  <si>
    <t>Equity reinvestment in year 11</t>
  </si>
  <si>
    <t>Pre COVID-19</t>
  </si>
  <si>
    <t>However as Leverage is relatively constant and beta is close to 1 (Toyota case), we can use the FCFE approach to value the firm</t>
  </si>
  <si>
    <t>It is worth noting that in 2020, the company has had a dividend payout ratio of 72.33% as sharp contrast from the usual dividend payout ratio in the last 5 years which usually lay around 30%. This might indicate an effect of the coronavirus pandemic and needs to be corrected. I will assume that Non-cash ROE remains relatively constant as can be seen from the trends of the previous years. The equity reinvestment rate will vary across a period of 5 years before settling to a stable value</t>
  </si>
  <si>
    <t>https://www.gurufocus.com/term/iv_dcf_share/NSE:HAVELLS/Intrinsic-Value-Projected-FCF/Havells-India-Ltd</t>
  </si>
  <si>
    <t>In the stable period return on equity will equal cost of equity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</si>
</sst>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%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rgb="FFE0E4E9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0" fillId="0" borderId="0" applyNumberFormat="0" applyFill="0" applyBorder="0" applyAlignment="0" applyProtection="0"/>
  </cellStyleXfs>
  <cellXfs count="22">
    <xf numFmtId="0" fontId="0" fillId="0" borderId="0" xfId="0"/>
    <xf numFmtId="14" fontId="0" fillId="0" borderId="0" xfId="0" applyNumberFormat="1"/>
    <xf numFmtId="14" fontId="0" fillId="0" borderId="0" xfId="0" applyNumberFormat="1" applyFont="1"/>
    <xf numFmtId="0" fontId="18" fillId="33" borderId="10" xfId="0" applyFont="1" applyFill="1" applyBorder="1" applyAlignment="1">
      <alignment horizontal="right" vertical="center"/>
    </xf>
    <xf numFmtId="3" fontId="18" fillId="33" borderId="10" xfId="0" applyNumberFormat="1" applyFont="1" applyFill="1" applyBorder="1" applyAlignment="1">
      <alignment horizontal="right" vertical="center"/>
    </xf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4" fontId="0" fillId="0" borderId="0" xfId="0" applyNumberFormat="1"/>
    <xf numFmtId="164" fontId="0" fillId="0" borderId="0" xfId="0" applyNumberFormat="1"/>
    <xf numFmtId="0" fontId="0" fillId="0" borderId="0" xfId="0" applyAlignment="1">
      <alignment vertical="top"/>
    </xf>
    <xf numFmtId="0" fontId="16" fillId="0" borderId="0" xfId="0" applyFont="1"/>
    <xf numFmtId="3" fontId="0" fillId="0" borderId="0" xfId="0" applyNumberFormat="1"/>
    <xf numFmtId="0" fontId="20" fillId="0" borderId="0" xfId="42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16" fillId="0" borderId="0" xfId="0" applyFont="1" applyAlignment="1">
      <alignment horizontal="center"/>
    </xf>
    <xf numFmtId="0" fontId="21" fillId="0" borderId="0" xfId="42" applyFont="1" applyAlignment="1">
      <alignment horizontal="left" vertical="top" wrapText="1"/>
    </xf>
    <xf numFmtId="0" fontId="16" fillId="0" borderId="0" xfId="0" applyFont="1" applyAlignment="1">
      <alignment horizontal="left"/>
    </xf>
    <xf numFmtId="0" fontId="21" fillId="0" borderId="0" xfId="42" applyFont="1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center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hyperlink" Target="https://www.moneycontrol.com/financials/havellsindia/consolidated-ratiosVI/hi01#hi01" TargetMode="External"/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22860</xdr:colOff>
      <xdr:row>0</xdr:row>
      <xdr:rowOff>15240</xdr:rowOff>
    </xdr:from>
    <xdr:to>
      <xdr:col>20</xdr:col>
      <xdr:colOff>449580</xdr:colOff>
      <xdr:row>11</xdr:row>
      <xdr:rowOff>164165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62800" y="15240"/>
          <a:ext cx="7132320" cy="2160605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83820</xdr:colOff>
          <xdr:row>11</xdr:row>
          <xdr:rowOff>38100</xdr:rowOff>
        </xdr:from>
        <xdr:to>
          <xdr:col>0</xdr:col>
          <xdr:colOff>998220</xdr:colOff>
          <xdr:row>14</xdr:row>
          <xdr:rowOff>175260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2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10</xdr:col>
      <xdr:colOff>0</xdr:colOff>
      <xdr:row>16</xdr:row>
      <xdr:rowOff>0</xdr:rowOff>
    </xdr:from>
    <xdr:to>
      <xdr:col>29</xdr:col>
      <xdr:colOff>103314</xdr:colOff>
      <xdr:row>19</xdr:row>
      <xdr:rowOff>70408</xdr:rowOff>
    </xdr:to>
    <xdr:pic>
      <xdr:nvPicPr>
        <xdr:cNvPr id="3" name="Picture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749540" y="2926080"/>
          <a:ext cx="11685714" cy="619048"/>
        </a:xfrm>
        <a:prstGeom prst="rect">
          <a:avLst/>
        </a:prstGeom>
      </xdr:spPr>
    </xdr:pic>
    <xdr:clientData/>
  </xdr:twoCellAnchor>
  <xdr:twoCellAnchor>
    <xdr:from>
      <xdr:col>11</xdr:col>
      <xdr:colOff>495300</xdr:colOff>
      <xdr:row>14</xdr:row>
      <xdr:rowOff>121920</xdr:rowOff>
    </xdr:from>
    <xdr:to>
      <xdr:col>12</xdr:col>
      <xdr:colOff>266700</xdr:colOff>
      <xdr:row>15</xdr:row>
      <xdr:rowOff>129540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>
          <a:off x="8854440" y="2682240"/>
          <a:ext cx="381000" cy="1905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312420</xdr:colOff>
      <xdr:row>3</xdr:row>
      <xdr:rowOff>105856</xdr:rowOff>
    </xdr:from>
    <xdr:to>
      <xdr:col>11</xdr:col>
      <xdr:colOff>23707</xdr:colOff>
      <xdr:row>9</xdr:row>
      <xdr:rowOff>134803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73580" y="654496"/>
          <a:ext cx="5197687" cy="2215887"/>
        </a:xfrm>
        <a:prstGeom prst="rect">
          <a:avLst/>
        </a:prstGeom>
      </xdr:spPr>
    </xdr:pic>
    <xdr:clientData/>
  </xdr:twoCellAnchor>
  <xdr:twoCellAnchor editAs="oneCell">
    <xdr:from>
      <xdr:col>16</xdr:col>
      <xdr:colOff>228599</xdr:colOff>
      <xdr:row>2</xdr:row>
      <xdr:rowOff>14494</xdr:rowOff>
    </xdr:from>
    <xdr:to>
      <xdr:col>26</xdr:col>
      <xdr:colOff>138136</xdr:colOff>
      <xdr:row>9</xdr:row>
      <xdr:rowOff>190499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949939" y="380254"/>
          <a:ext cx="6005537" cy="25458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18585</xdr:colOff>
      <xdr:row>44</xdr:row>
      <xdr:rowOff>83634</xdr:rowOff>
    </xdr:from>
    <xdr:to>
      <xdr:col>19</xdr:col>
      <xdr:colOff>593734</xdr:colOff>
      <xdr:row>92</xdr:row>
      <xdr:rowOff>7183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585" y="10026805"/>
          <a:ext cx="16558564" cy="884452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turn%20on%20Equity%20Decompositio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oleObject" Target="file:///C:\Users\sangh\Desktop\BITS\Fourth%20Year\Sem%201\Business%20Analysis%20and%20Valuation\Project\Banking%20Review%20-%20September%202020.pdf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turn on Equity"/>
    </sheetNames>
    <sheetDataSet>
      <sheetData sheetId="0">
        <row r="4">
          <cell r="B4">
            <v>735.35</v>
          </cell>
        </row>
        <row r="7">
          <cell r="B7">
            <v>0.25168000000000001</v>
          </cell>
        </row>
        <row r="13">
          <cell r="B13">
            <v>267.7</v>
          </cell>
        </row>
        <row r="31">
          <cell r="B31">
            <v>4311.5600000000004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oleLink xmlns:r="http://schemas.openxmlformats.org/officeDocument/2006/relationships" r:id="rId1" progId="Package">
    <oleItems>
      <oleItem name="'" icon="1" preferPic="1"/>
    </oleItems>
  </oleLin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moneycontrol.com/financials/havellsindia/consolidated-ratiosVI/hi01/1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pages.stern.nyu.edu/~adamodar/New_Home_Page/valquestions/growth.htm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simplywall.st/stocks/in/capital-goods/nse-havells/havells-india-shares" TargetMode="External"/><Relationship Id="rId2" Type="http://schemas.openxmlformats.org/officeDocument/2006/relationships/hyperlink" Target="https://billiondollarvaluation.com/havells-valuation-excel-model-and-intrinsic-value-of-shares/?amp" TargetMode="External"/><Relationship Id="rId1" Type="http://schemas.openxmlformats.org/officeDocument/2006/relationships/hyperlink" Target="http://www.attainix.com/ICTrackerDetail.aspx?stockcode=HAVELLS.IN" TargetMode="External"/><Relationship Id="rId5" Type="http://schemas.openxmlformats.org/officeDocument/2006/relationships/drawing" Target="../drawings/drawing3.xml"/><Relationship Id="rId4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S70"/>
  <sheetViews>
    <sheetView tabSelected="1" topLeftCell="B49" workbookViewId="0">
      <selection activeCell="I68" sqref="I68"/>
    </sheetView>
  </sheetViews>
  <sheetFormatPr defaultRowHeight="14.4" x14ac:dyDescent="0.3"/>
  <cols>
    <col min="1" max="1" width="11.109375" customWidth="1"/>
    <col min="8" max="8" width="20.21875" customWidth="1"/>
    <col min="11" max="11" width="11.77734375" customWidth="1"/>
    <col min="18" max="18" width="14.5546875" customWidth="1"/>
    <col min="19" max="19" width="16.44140625" customWidth="1"/>
  </cols>
  <sheetData>
    <row r="1" spans="1:19" x14ac:dyDescent="0.3">
      <c r="A1" t="s">
        <v>8</v>
      </c>
      <c r="K1" t="s">
        <v>9</v>
      </c>
    </row>
    <row r="2" spans="1:19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K2" t="s">
        <v>0</v>
      </c>
      <c r="L2" t="s">
        <v>1</v>
      </c>
      <c r="M2" t="s">
        <v>2</v>
      </c>
      <c r="N2" t="s">
        <v>3</v>
      </c>
      <c r="O2" t="s">
        <v>4</v>
      </c>
      <c r="P2" t="s">
        <v>5</v>
      </c>
      <c r="Q2" t="s">
        <v>6</v>
      </c>
      <c r="R2" t="s">
        <v>7</v>
      </c>
      <c r="S2" t="s">
        <v>22</v>
      </c>
    </row>
    <row r="3" spans="1:19" x14ac:dyDescent="0.3">
      <c r="A3" s="1">
        <v>42309</v>
      </c>
      <c r="B3">
        <v>253</v>
      </c>
      <c r="C3">
        <v>300</v>
      </c>
      <c r="D3">
        <v>235.300003</v>
      </c>
      <c r="E3">
        <v>285.75</v>
      </c>
      <c r="F3">
        <v>273.650757</v>
      </c>
      <c r="G3">
        <v>26161230</v>
      </c>
      <c r="K3" s="1">
        <v>42309</v>
      </c>
      <c r="L3">
        <v>8054.5498049999997</v>
      </c>
      <c r="M3">
        <v>8116.1000979999999</v>
      </c>
      <c r="N3">
        <v>7714.1499020000001</v>
      </c>
      <c r="O3">
        <v>7935.25</v>
      </c>
      <c r="P3">
        <v>7935.25</v>
      </c>
      <c r="Q3">
        <v>2868500</v>
      </c>
    </row>
    <row r="4" spans="1:19" x14ac:dyDescent="0.3">
      <c r="A4" s="1">
        <v>42339</v>
      </c>
      <c r="B4">
        <v>288.20001200000002</v>
      </c>
      <c r="C4">
        <v>312</v>
      </c>
      <c r="D4">
        <v>274.64999399999999</v>
      </c>
      <c r="E4">
        <v>304.70001200000002</v>
      </c>
      <c r="F4">
        <v>291.79834</v>
      </c>
      <c r="G4">
        <v>73476284</v>
      </c>
      <c r="H4">
        <f>(E4/E3-1)*100</f>
        <v>6.6316752405949364</v>
      </c>
      <c r="K4" s="1">
        <v>42339</v>
      </c>
      <c r="L4">
        <v>7958.1499020000001</v>
      </c>
      <c r="M4">
        <v>7979.2998049999997</v>
      </c>
      <c r="N4">
        <v>7551.0498049999997</v>
      </c>
      <c r="O4">
        <v>7946.3500979999999</v>
      </c>
      <c r="P4">
        <v>7946.3500979999999</v>
      </c>
      <c r="Q4">
        <v>3026200</v>
      </c>
      <c r="R4">
        <f>(O4/O3-1)*100</f>
        <v>0.13988340631989615</v>
      </c>
    </row>
    <row r="5" spans="1:19" x14ac:dyDescent="0.3">
      <c r="A5" s="1">
        <v>42370</v>
      </c>
      <c r="B5">
        <v>305</v>
      </c>
      <c r="C5">
        <v>322.20001200000002</v>
      </c>
      <c r="D5">
        <v>268.89999399999999</v>
      </c>
      <c r="E5">
        <v>296.70001200000002</v>
      </c>
      <c r="F5">
        <v>284.13708500000001</v>
      </c>
      <c r="G5">
        <v>35851414</v>
      </c>
      <c r="H5">
        <f t="shared" ref="H5:H62" si="0">(E5/E4-1)*100</f>
        <v>-2.6255332080525107</v>
      </c>
      <c r="K5" s="1">
        <v>42370</v>
      </c>
      <c r="L5">
        <v>7924.5498049999997</v>
      </c>
      <c r="M5">
        <v>7937.5498049999997</v>
      </c>
      <c r="N5">
        <v>7241.5</v>
      </c>
      <c r="O5">
        <v>7563.5498049999997</v>
      </c>
      <c r="P5">
        <v>7563.5498049999997</v>
      </c>
      <c r="Q5">
        <v>3781100</v>
      </c>
      <c r="R5">
        <f t="shared" ref="R5:R62" si="1">(O5/O4-1)*100</f>
        <v>-4.8173096865735454</v>
      </c>
    </row>
    <row r="6" spans="1:19" x14ac:dyDescent="0.3">
      <c r="A6" s="1">
        <v>42401</v>
      </c>
      <c r="B6">
        <v>301</v>
      </c>
      <c r="C6">
        <v>311</v>
      </c>
      <c r="D6">
        <v>259.10000600000001</v>
      </c>
      <c r="E6">
        <v>272.20001200000002</v>
      </c>
      <c r="F6">
        <v>260.67453</v>
      </c>
      <c r="G6">
        <v>26185661</v>
      </c>
      <c r="H6">
        <f t="shared" si="0"/>
        <v>-8.2574988234243811</v>
      </c>
      <c r="K6" s="1">
        <v>42401</v>
      </c>
      <c r="L6">
        <v>7589.5</v>
      </c>
      <c r="M6">
        <v>7600.4501950000003</v>
      </c>
      <c r="N6">
        <v>6825.7998049999997</v>
      </c>
      <c r="O6">
        <v>6987.0498049999997</v>
      </c>
      <c r="P6">
        <v>6987.0498049999997</v>
      </c>
      <c r="Q6">
        <v>5170500</v>
      </c>
      <c r="R6">
        <f t="shared" si="1"/>
        <v>-7.622082419803677</v>
      </c>
    </row>
    <row r="7" spans="1:19" x14ac:dyDescent="0.3">
      <c r="A7" s="1">
        <v>42430</v>
      </c>
      <c r="B7">
        <v>272.20001200000002</v>
      </c>
      <c r="C7">
        <v>324.60000600000001</v>
      </c>
      <c r="D7">
        <v>270.14999399999999</v>
      </c>
      <c r="E7">
        <v>321.35000600000001</v>
      </c>
      <c r="F7">
        <v>307.74340799999999</v>
      </c>
      <c r="G7">
        <v>25297165</v>
      </c>
      <c r="H7">
        <f t="shared" si="0"/>
        <v>18.056573046734471</v>
      </c>
      <c r="K7" s="1">
        <v>42430</v>
      </c>
      <c r="L7">
        <v>7038.25</v>
      </c>
      <c r="M7">
        <v>7777.6000979999999</v>
      </c>
      <c r="N7">
        <v>7035.1000979999999</v>
      </c>
      <c r="O7">
        <v>7738.3999020000001</v>
      </c>
      <c r="P7">
        <v>7738.3999020000001</v>
      </c>
      <c r="Q7">
        <v>4809600</v>
      </c>
      <c r="R7">
        <f t="shared" si="1"/>
        <v>10.753467027848117</v>
      </c>
    </row>
    <row r="8" spans="1:19" x14ac:dyDescent="0.3">
      <c r="A8" s="1">
        <v>42461</v>
      </c>
      <c r="B8">
        <v>319</v>
      </c>
      <c r="C8">
        <v>354</v>
      </c>
      <c r="D8">
        <v>312.39999399999999</v>
      </c>
      <c r="E8">
        <v>332.20001200000002</v>
      </c>
      <c r="F8">
        <v>318.13397200000003</v>
      </c>
      <c r="G8">
        <v>27352510</v>
      </c>
      <c r="H8">
        <f t="shared" si="0"/>
        <v>3.3763826971890509</v>
      </c>
      <c r="K8" s="1">
        <v>42461</v>
      </c>
      <c r="L8">
        <v>7718.0498049999997</v>
      </c>
      <c r="M8">
        <v>7992</v>
      </c>
      <c r="N8">
        <v>7516.8500979999999</v>
      </c>
      <c r="O8">
        <v>7849.7998049999997</v>
      </c>
      <c r="P8">
        <v>7849.7998049999997</v>
      </c>
      <c r="Q8">
        <v>3538800</v>
      </c>
      <c r="R8">
        <f t="shared" si="1"/>
        <v>1.4395728369014371</v>
      </c>
    </row>
    <row r="9" spans="1:19" x14ac:dyDescent="0.3">
      <c r="A9" s="1">
        <v>42491</v>
      </c>
      <c r="B9">
        <v>332.10000600000001</v>
      </c>
      <c r="C9">
        <v>378.39999399999999</v>
      </c>
      <c r="D9">
        <v>327</v>
      </c>
      <c r="E9">
        <v>364.5</v>
      </c>
      <c r="F9">
        <v>349.06631499999997</v>
      </c>
      <c r="G9">
        <v>72034768</v>
      </c>
      <c r="H9">
        <f t="shared" si="0"/>
        <v>9.7230544350491943</v>
      </c>
      <c r="K9" s="1">
        <v>42491</v>
      </c>
      <c r="L9">
        <v>7822.7001950000003</v>
      </c>
      <c r="M9">
        <v>8213.5996090000008</v>
      </c>
      <c r="N9">
        <v>7678.3500979999999</v>
      </c>
      <c r="O9">
        <v>8160.1000979999999</v>
      </c>
      <c r="P9">
        <v>8160.1000979999999</v>
      </c>
      <c r="Q9">
        <v>4361300</v>
      </c>
      <c r="R9">
        <f t="shared" si="1"/>
        <v>3.9529707853485752</v>
      </c>
    </row>
    <row r="10" spans="1:19" x14ac:dyDescent="0.3">
      <c r="A10" s="1">
        <v>42522</v>
      </c>
      <c r="B10">
        <v>358.5</v>
      </c>
      <c r="C10">
        <v>370</v>
      </c>
      <c r="D10">
        <v>347.54998799999998</v>
      </c>
      <c r="E10">
        <v>359.89999399999999</v>
      </c>
      <c r="F10">
        <v>344.66110200000003</v>
      </c>
      <c r="G10">
        <v>24069607</v>
      </c>
      <c r="H10">
        <f t="shared" si="0"/>
        <v>-1.2620043895747668</v>
      </c>
      <c r="K10" s="1">
        <v>42522</v>
      </c>
      <c r="L10">
        <v>8179.2001950000003</v>
      </c>
      <c r="M10">
        <v>8308.1503909999992</v>
      </c>
      <c r="N10">
        <v>7927.0498049999997</v>
      </c>
      <c r="O10">
        <v>8287.75</v>
      </c>
      <c r="P10">
        <v>8287.75</v>
      </c>
      <c r="Q10">
        <v>4193500</v>
      </c>
      <c r="R10">
        <f t="shared" si="1"/>
        <v>1.5643178449647577</v>
      </c>
    </row>
    <row r="11" spans="1:19" x14ac:dyDescent="0.3">
      <c r="A11" s="1">
        <v>42552</v>
      </c>
      <c r="B11">
        <v>358</v>
      </c>
      <c r="C11">
        <v>391.75</v>
      </c>
      <c r="D11">
        <v>351.60000600000001</v>
      </c>
      <c r="E11">
        <v>389.64999399999999</v>
      </c>
      <c r="F11">
        <v>376.30831899999998</v>
      </c>
      <c r="G11">
        <v>35237371</v>
      </c>
      <c r="H11">
        <f t="shared" si="0"/>
        <v>8.2661851892112068</v>
      </c>
      <c r="K11" s="1">
        <v>42552</v>
      </c>
      <c r="L11">
        <v>8313.0498050000006</v>
      </c>
      <c r="M11">
        <v>8674.7001949999994</v>
      </c>
      <c r="N11">
        <v>8287.5498050000006</v>
      </c>
      <c r="O11">
        <v>8638.5</v>
      </c>
      <c r="P11">
        <v>8638.5</v>
      </c>
      <c r="Q11">
        <v>3321700</v>
      </c>
      <c r="R11">
        <f t="shared" si="1"/>
        <v>4.2321498597327478</v>
      </c>
    </row>
    <row r="12" spans="1:19" x14ac:dyDescent="0.3">
      <c r="A12" s="1">
        <v>42583</v>
      </c>
      <c r="B12">
        <v>391.5</v>
      </c>
      <c r="C12">
        <v>428.29998799999998</v>
      </c>
      <c r="D12">
        <v>385.64999399999999</v>
      </c>
      <c r="E12">
        <v>417.60000600000001</v>
      </c>
      <c r="F12">
        <v>403.30136099999999</v>
      </c>
      <c r="G12">
        <v>27933792</v>
      </c>
      <c r="H12">
        <f t="shared" si="0"/>
        <v>7.1731072578946398</v>
      </c>
      <c r="K12" s="1">
        <v>42583</v>
      </c>
      <c r="L12">
        <v>8654.2998050000006</v>
      </c>
      <c r="M12">
        <v>8819.2001949999994</v>
      </c>
      <c r="N12">
        <v>8518.1503909999992</v>
      </c>
      <c r="O12">
        <v>8786.2001949999994</v>
      </c>
      <c r="P12">
        <v>8786.2001949999994</v>
      </c>
      <c r="Q12">
        <v>5510100</v>
      </c>
      <c r="R12">
        <f t="shared" si="1"/>
        <v>1.7097898361984054</v>
      </c>
    </row>
    <row r="13" spans="1:19" x14ac:dyDescent="0.3">
      <c r="A13" s="1">
        <v>42614</v>
      </c>
      <c r="B13">
        <v>417</v>
      </c>
      <c r="C13">
        <v>433.54998799999998</v>
      </c>
      <c r="D13">
        <v>396.5</v>
      </c>
      <c r="E13">
        <v>418.20001200000002</v>
      </c>
      <c r="F13">
        <v>403.88079800000003</v>
      </c>
      <c r="G13">
        <v>26067331</v>
      </c>
      <c r="H13">
        <f t="shared" si="0"/>
        <v>0.143679595636792</v>
      </c>
      <c r="K13" s="1">
        <v>42614</v>
      </c>
      <c r="L13">
        <v>8793.5996090000008</v>
      </c>
      <c r="M13">
        <v>8968.7001949999994</v>
      </c>
      <c r="N13">
        <v>8555.2001949999994</v>
      </c>
      <c r="O13">
        <v>8611.1503909999992</v>
      </c>
      <c r="P13">
        <v>8611.1503909999992</v>
      </c>
      <c r="Q13">
        <v>3900400</v>
      </c>
      <c r="R13">
        <f t="shared" si="1"/>
        <v>-1.9923266043905596</v>
      </c>
    </row>
    <row r="14" spans="1:19" x14ac:dyDescent="0.3">
      <c r="A14" s="1">
        <v>42644</v>
      </c>
      <c r="B14">
        <v>420</v>
      </c>
      <c r="C14">
        <v>459.39999399999999</v>
      </c>
      <c r="D14">
        <v>400.79998799999998</v>
      </c>
      <c r="E14">
        <v>407.10000600000001</v>
      </c>
      <c r="F14">
        <v>393.16082799999998</v>
      </c>
      <c r="G14">
        <v>30961003</v>
      </c>
      <c r="H14">
        <f t="shared" si="0"/>
        <v>-2.6542337832357599</v>
      </c>
      <c r="K14" s="1">
        <v>42644</v>
      </c>
      <c r="L14">
        <v>8666.1503909999992</v>
      </c>
      <c r="M14">
        <v>8806.9501949999994</v>
      </c>
      <c r="N14">
        <v>8506.1503909999992</v>
      </c>
      <c r="O14">
        <v>8638</v>
      </c>
      <c r="P14">
        <v>8638</v>
      </c>
      <c r="Q14">
        <v>3165200</v>
      </c>
      <c r="R14">
        <f t="shared" si="1"/>
        <v>0.31180048867875954</v>
      </c>
    </row>
    <row r="15" spans="1:19" x14ac:dyDescent="0.3">
      <c r="A15" s="1">
        <v>42675</v>
      </c>
      <c r="B15">
        <v>406</v>
      </c>
      <c r="C15">
        <v>414</v>
      </c>
      <c r="D15">
        <v>302.79998799999998</v>
      </c>
      <c r="E15">
        <v>344.35000600000001</v>
      </c>
      <c r="F15">
        <v>332.55944799999997</v>
      </c>
      <c r="G15">
        <v>33849118</v>
      </c>
      <c r="H15">
        <f t="shared" si="0"/>
        <v>-15.413902990706418</v>
      </c>
      <c r="K15" s="1">
        <v>42675</v>
      </c>
      <c r="L15">
        <v>8653.1503909999992</v>
      </c>
      <c r="M15">
        <v>8669.5996090000008</v>
      </c>
      <c r="N15">
        <v>7916.3999020000001</v>
      </c>
      <c r="O15">
        <v>8224.5</v>
      </c>
      <c r="P15">
        <v>8224.5</v>
      </c>
      <c r="Q15">
        <v>4585400</v>
      </c>
      <c r="R15">
        <f t="shared" si="1"/>
        <v>-4.7869877286408897</v>
      </c>
    </row>
    <row r="16" spans="1:19" x14ac:dyDescent="0.3">
      <c r="A16" s="1">
        <v>42705</v>
      </c>
      <c r="B16">
        <v>345.45001200000002</v>
      </c>
      <c r="C16">
        <v>354.89999399999999</v>
      </c>
      <c r="D16">
        <v>310.54998799999998</v>
      </c>
      <c r="E16">
        <v>342.25</v>
      </c>
      <c r="F16">
        <v>330.53131100000002</v>
      </c>
      <c r="G16">
        <v>19789010</v>
      </c>
      <c r="H16">
        <f t="shared" si="0"/>
        <v>-0.60984636660642577</v>
      </c>
      <c r="K16" s="1">
        <v>42705</v>
      </c>
      <c r="L16">
        <v>8244</v>
      </c>
      <c r="M16">
        <v>8274.9501949999994</v>
      </c>
      <c r="N16">
        <v>7893.7998049999997</v>
      </c>
      <c r="O16">
        <v>8185.7998049999997</v>
      </c>
      <c r="P16">
        <v>8185.7998049999997</v>
      </c>
      <c r="Q16">
        <v>3118800</v>
      </c>
      <c r="R16">
        <f t="shared" si="1"/>
        <v>-0.47054769286887232</v>
      </c>
      <c r="S16">
        <f>(O16/O4-1)*100</f>
        <v>3.0133294411514244</v>
      </c>
    </row>
    <row r="17" spans="1:19" x14ac:dyDescent="0.3">
      <c r="A17" s="1">
        <v>42736</v>
      </c>
      <c r="B17">
        <v>345.89999399999999</v>
      </c>
      <c r="C17">
        <v>432.20001200000002</v>
      </c>
      <c r="D17">
        <v>337</v>
      </c>
      <c r="E17">
        <v>420.04998799999998</v>
      </c>
      <c r="F17">
        <v>405.667419</v>
      </c>
      <c r="G17">
        <v>43890596</v>
      </c>
      <c r="H17">
        <f t="shared" si="0"/>
        <v>22.731917604090569</v>
      </c>
      <c r="K17" s="1">
        <v>42736</v>
      </c>
      <c r="L17">
        <v>8210.0996090000008</v>
      </c>
      <c r="M17">
        <v>8672.7001949999994</v>
      </c>
      <c r="N17">
        <v>8133.7998049999997</v>
      </c>
      <c r="O17">
        <v>8561.2998050000006</v>
      </c>
      <c r="P17">
        <v>8561.2998050000006</v>
      </c>
      <c r="Q17">
        <v>4009100</v>
      </c>
      <c r="R17">
        <f t="shared" si="1"/>
        <v>4.5872121105458685</v>
      </c>
      <c r="S17">
        <f t="shared" ref="S17:S62" si="2">(O17/O5-1)*100</f>
        <v>13.191557214846705</v>
      </c>
    </row>
    <row r="18" spans="1:19" x14ac:dyDescent="0.3">
      <c r="A18" s="1">
        <v>42767</v>
      </c>
      <c r="B18">
        <v>421.70001200000002</v>
      </c>
      <c r="C18">
        <v>446</v>
      </c>
      <c r="D18">
        <v>396.25</v>
      </c>
      <c r="E18">
        <v>406.10000600000001</v>
      </c>
      <c r="F18">
        <v>392.19509900000003</v>
      </c>
      <c r="G18">
        <v>28520186</v>
      </c>
      <c r="H18">
        <f t="shared" si="0"/>
        <v>-3.3210290200032078</v>
      </c>
      <c r="K18" s="1">
        <v>42767</v>
      </c>
      <c r="L18">
        <v>8570.3496090000008</v>
      </c>
      <c r="M18">
        <v>8982.1503909999992</v>
      </c>
      <c r="N18">
        <v>8537.5</v>
      </c>
      <c r="O18">
        <v>8879.5996090000008</v>
      </c>
      <c r="P18">
        <v>8879.5996090000008</v>
      </c>
      <c r="Q18">
        <v>4398500</v>
      </c>
      <c r="R18">
        <f t="shared" si="1"/>
        <v>3.717891105905502</v>
      </c>
      <c r="S18">
        <f t="shared" si="2"/>
        <v>27.086536618726754</v>
      </c>
    </row>
    <row r="19" spans="1:19" x14ac:dyDescent="0.3">
      <c r="A19" s="1">
        <v>42795</v>
      </c>
      <c r="B19">
        <v>407.79998799999998</v>
      </c>
      <c r="C19">
        <v>474.5</v>
      </c>
      <c r="D19">
        <v>405.60000600000001</v>
      </c>
      <c r="E19">
        <v>465.75</v>
      </c>
      <c r="F19">
        <v>449.80267300000003</v>
      </c>
      <c r="G19">
        <v>29345870</v>
      </c>
      <c r="H19">
        <f t="shared" si="0"/>
        <v>14.688498674880579</v>
      </c>
      <c r="K19" s="1">
        <v>42795</v>
      </c>
      <c r="L19">
        <v>8904.4003909999992</v>
      </c>
      <c r="M19">
        <v>9218.4003909999992</v>
      </c>
      <c r="N19">
        <v>8860.0996090000008</v>
      </c>
      <c r="O19">
        <v>9173.75</v>
      </c>
      <c r="P19">
        <v>9173.75</v>
      </c>
      <c r="Q19">
        <v>4835000</v>
      </c>
      <c r="R19">
        <f t="shared" si="1"/>
        <v>3.3126537676525514</v>
      </c>
      <c r="S19">
        <f t="shared" si="2"/>
        <v>18.548409440936652</v>
      </c>
    </row>
    <row r="20" spans="1:19" x14ac:dyDescent="0.3">
      <c r="A20" s="1">
        <v>42826</v>
      </c>
      <c r="B20">
        <v>467</v>
      </c>
      <c r="C20">
        <v>499.45001200000002</v>
      </c>
      <c r="D20">
        <v>459.20001200000002</v>
      </c>
      <c r="E20">
        <v>483.89999399999999</v>
      </c>
      <c r="F20">
        <v>467.33123799999998</v>
      </c>
      <c r="G20">
        <v>15798427</v>
      </c>
      <c r="H20">
        <f t="shared" si="0"/>
        <v>3.8969391304347845</v>
      </c>
      <c r="K20" s="1">
        <v>42826</v>
      </c>
      <c r="L20">
        <v>9220.5996090000008</v>
      </c>
      <c r="M20">
        <v>9367.1503909999992</v>
      </c>
      <c r="N20">
        <v>9075.1503909999992</v>
      </c>
      <c r="O20">
        <v>9304.0498050000006</v>
      </c>
      <c r="P20">
        <v>9304.0498050000006</v>
      </c>
      <c r="Q20">
        <v>2931300</v>
      </c>
      <c r="R20">
        <f t="shared" si="1"/>
        <v>1.4203548712358627</v>
      </c>
      <c r="S20">
        <f t="shared" si="2"/>
        <v>18.525950165935477</v>
      </c>
    </row>
    <row r="21" spans="1:19" x14ac:dyDescent="0.3">
      <c r="A21" s="1">
        <v>42856</v>
      </c>
      <c r="B21">
        <v>483.89999399999999</v>
      </c>
      <c r="C21">
        <v>526.29998799999998</v>
      </c>
      <c r="D21">
        <v>433.60000600000001</v>
      </c>
      <c r="E21">
        <v>487.39999399999999</v>
      </c>
      <c r="F21">
        <v>470.711365</v>
      </c>
      <c r="G21">
        <v>34527910</v>
      </c>
      <c r="H21">
        <f t="shared" si="0"/>
        <v>0.72328994490542531</v>
      </c>
      <c r="K21" s="1">
        <v>42856</v>
      </c>
      <c r="L21">
        <v>9339.8496090000008</v>
      </c>
      <c r="M21">
        <v>9649.5996090000008</v>
      </c>
      <c r="N21">
        <v>9269.9003909999992</v>
      </c>
      <c r="O21">
        <v>9621.25</v>
      </c>
      <c r="P21">
        <v>9621.25</v>
      </c>
      <c r="Q21">
        <v>4541800</v>
      </c>
      <c r="R21">
        <f t="shared" si="1"/>
        <v>3.4092701742582721</v>
      </c>
      <c r="S21">
        <f t="shared" si="2"/>
        <v>17.906029147340007</v>
      </c>
    </row>
    <row r="22" spans="1:19" x14ac:dyDescent="0.3">
      <c r="A22" s="1">
        <v>42887</v>
      </c>
      <c r="B22">
        <v>491.64999399999999</v>
      </c>
      <c r="C22">
        <v>511.5</v>
      </c>
      <c r="D22">
        <v>440.85000600000001</v>
      </c>
      <c r="E22">
        <v>460</v>
      </c>
      <c r="F22">
        <v>444.24954200000002</v>
      </c>
      <c r="G22">
        <v>18904100</v>
      </c>
      <c r="H22">
        <f t="shared" si="0"/>
        <v>-5.6216648209478581</v>
      </c>
      <c r="K22" s="1">
        <v>42887</v>
      </c>
      <c r="L22">
        <v>9603.5498050000006</v>
      </c>
      <c r="M22">
        <v>9709.2998050000006</v>
      </c>
      <c r="N22">
        <v>9448.75</v>
      </c>
      <c r="O22">
        <v>9520.9003909999992</v>
      </c>
      <c r="P22">
        <v>9520.9003909999992</v>
      </c>
      <c r="Q22">
        <v>3558000</v>
      </c>
      <c r="R22">
        <f t="shared" si="1"/>
        <v>-1.0429997037807004</v>
      </c>
      <c r="S22">
        <f t="shared" si="2"/>
        <v>14.879193882537468</v>
      </c>
    </row>
    <row r="23" spans="1:19" x14ac:dyDescent="0.3">
      <c r="A23" s="1">
        <v>42917</v>
      </c>
      <c r="B23">
        <v>460</v>
      </c>
      <c r="C23">
        <v>485.54998799999998</v>
      </c>
      <c r="D23">
        <v>451.29998799999998</v>
      </c>
      <c r="E23">
        <v>472.79998799999998</v>
      </c>
      <c r="F23">
        <v>459.93414300000001</v>
      </c>
      <c r="G23">
        <v>25329650</v>
      </c>
      <c r="H23">
        <f t="shared" si="0"/>
        <v>2.7826060869565294</v>
      </c>
      <c r="K23" s="1">
        <v>42917</v>
      </c>
      <c r="L23">
        <v>9587.9501949999994</v>
      </c>
      <c r="M23">
        <v>10114.849609000001</v>
      </c>
      <c r="N23">
        <v>9543.5498050000006</v>
      </c>
      <c r="O23">
        <v>10077.099609000001</v>
      </c>
      <c r="P23">
        <v>10077.099609000001</v>
      </c>
      <c r="Q23">
        <v>3732400</v>
      </c>
      <c r="R23">
        <f t="shared" si="1"/>
        <v>5.8418762423538162</v>
      </c>
      <c r="S23">
        <f t="shared" si="2"/>
        <v>16.653349644035444</v>
      </c>
    </row>
    <row r="24" spans="1:19" x14ac:dyDescent="0.3">
      <c r="A24" s="1">
        <v>42948</v>
      </c>
      <c r="B24">
        <v>473.20001200000002</v>
      </c>
      <c r="C24">
        <v>501.89999399999999</v>
      </c>
      <c r="D24">
        <v>453.85000600000001</v>
      </c>
      <c r="E24">
        <v>488.35000600000001</v>
      </c>
      <c r="F24">
        <v>475.06097399999999</v>
      </c>
      <c r="G24">
        <v>22926785</v>
      </c>
      <c r="H24">
        <f t="shared" si="0"/>
        <v>3.288920980260257</v>
      </c>
      <c r="K24" s="1">
        <v>42948</v>
      </c>
      <c r="L24">
        <v>10101.049805000001</v>
      </c>
      <c r="M24">
        <v>10137.849609000001</v>
      </c>
      <c r="N24">
        <v>9685.5498050000006</v>
      </c>
      <c r="O24">
        <v>9917.9003909999992</v>
      </c>
      <c r="P24">
        <v>9917.9003909999992</v>
      </c>
      <c r="Q24">
        <v>4168000</v>
      </c>
      <c r="R24">
        <f t="shared" si="1"/>
        <v>-1.5798118920827053</v>
      </c>
      <c r="S24">
        <f t="shared" si="2"/>
        <v>12.880428067687566</v>
      </c>
    </row>
    <row r="25" spans="1:19" x14ac:dyDescent="0.3">
      <c r="A25" s="1">
        <v>42979</v>
      </c>
      <c r="B25">
        <v>488.54998799999998</v>
      </c>
      <c r="C25">
        <v>521.45001200000002</v>
      </c>
      <c r="D25">
        <v>469.54998799999998</v>
      </c>
      <c r="E25">
        <v>483.14999399999999</v>
      </c>
      <c r="F25">
        <v>470.00250199999999</v>
      </c>
      <c r="G25">
        <v>22282980</v>
      </c>
      <c r="H25">
        <f t="shared" si="0"/>
        <v>-1.0648125189129276</v>
      </c>
      <c r="K25" s="1">
        <v>42979</v>
      </c>
      <c r="L25">
        <v>9937.6503909999992</v>
      </c>
      <c r="M25">
        <v>10178.950194999999</v>
      </c>
      <c r="N25">
        <v>9687.5498050000006</v>
      </c>
      <c r="O25">
        <v>9788.5996090000008</v>
      </c>
      <c r="P25">
        <v>9788.5996090000008</v>
      </c>
      <c r="Q25">
        <v>4165300</v>
      </c>
      <c r="R25">
        <f t="shared" si="1"/>
        <v>-1.3037112382912497</v>
      </c>
      <c r="S25">
        <f t="shared" si="2"/>
        <v>13.673541449590987</v>
      </c>
    </row>
    <row r="26" spans="1:19" x14ac:dyDescent="0.3">
      <c r="A26" s="1">
        <v>43009</v>
      </c>
      <c r="B26">
        <v>483.14999399999999</v>
      </c>
      <c r="C26">
        <v>564.59997599999997</v>
      </c>
      <c r="D26">
        <v>479.5</v>
      </c>
      <c r="E26">
        <v>484.75</v>
      </c>
      <c r="F26">
        <v>471.55898999999999</v>
      </c>
      <c r="G26">
        <v>42156211</v>
      </c>
      <c r="H26">
        <f t="shared" si="0"/>
        <v>0.33116134117141538</v>
      </c>
      <c r="K26" s="1">
        <v>43009</v>
      </c>
      <c r="L26">
        <v>9893.2998050000006</v>
      </c>
      <c r="M26">
        <v>10384.5</v>
      </c>
      <c r="N26">
        <v>9831.0498050000006</v>
      </c>
      <c r="O26">
        <v>10335.299805000001</v>
      </c>
      <c r="P26">
        <v>10335.299805000001</v>
      </c>
      <c r="Q26">
        <v>4500300</v>
      </c>
      <c r="R26">
        <f t="shared" si="1"/>
        <v>5.5850705702309433</v>
      </c>
      <c r="S26">
        <f t="shared" si="2"/>
        <v>19.649222100023156</v>
      </c>
    </row>
    <row r="27" spans="1:19" x14ac:dyDescent="0.3">
      <c r="A27" s="1">
        <v>43040</v>
      </c>
      <c r="B27">
        <v>486.04998799999998</v>
      </c>
      <c r="C27">
        <v>527.90002400000003</v>
      </c>
      <c r="D27">
        <v>486.04998799999998</v>
      </c>
      <c r="E27">
        <v>509.29998799999998</v>
      </c>
      <c r="F27">
        <v>495.44088699999998</v>
      </c>
      <c r="G27">
        <v>28815618</v>
      </c>
      <c r="H27">
        <f t="shared" si="0"/>
        <v>5.0644637441980445</v>
      </c>
      <c r="K27" s="1">
        <v>43040</v>
      </c>
      <c r="L27">
        <v>10390.349609000001</v>
      </c>
      <c r="M27">
        <v>10490.450194999999</v>
      </c>
      <c r="N27">
        <v>10094</v>
      </c>
      <c r="O27">
        <v>10226.549805000001</v>
      </c>
      <c r="P27">
        <v>10226.549805000001</v>
      </c>
      <c r="Q27">
        <v>4650900</v>
      </c>
      <c r="R27">
        <f t="shared" si="1"/>
        <v>-1.0522191136379866</v>
      </c>
      <c r="S27">
        <f t="shared" si="2"/>
        <v>24.342510851723521</v>
      </c>
    </row>
    <row r="28" spans="1:19" x14ac:dyDescent="0.3">
      <c r="A28" s="1">
        <v>43070</v>
      </c>
      <c r="B28">
        <v>510.95001200000002</v>
      </c>
      <c r="C28">
        <v>569.90002400000003</v>
      </c>
      <c r="D28">
        <v>502.60000600000001</v>
      </c>
      <c r="E28">
        <v>562.45001200000002</v>
      </c>
      <c r="F28">
        <v>547.14465299999995</v>
      </c>
      <c r="G28">
        <v>25915311</v>
      </c>
      <c r="H28">
        <f t="shared" si="0"/>
        <v>10.435897359573488</v>
      </c>
      <c r="K28" s="1">
        <v>43070</v>
      </c>
      <c r="L28">
        <v>10263.700194999999</v>
      </c>
      <c r="M28">
        <v>10552.400390999999</v>
      </c>
      <c r="N28">
        <v>10033.349609000001</v>
      </c>
      <c r="O28">
        <v>10530.700194999999</v>
      </c>
      <c r="P28">
        <v>10530.700194999999</v>
      </c>
      <c r="Q28">
        <v>3504400</v>
      </c>
      <c r="R28">
        <f t="shared" si="1"/>
        <v>2.9741251526618662</v>
      </c>
      <c r="S28">
        <f t="shared" si="2"/>
        <v>28.645953307674365</v>
      </c>
    </row>
    <row r="29" spans="1:19" x14ac:dyDescent="0.3">
      <c r="A29" s="1">
        <v>43101</v>
      </c>
      <c r="B29">
        <v>566.70001200000002</v>
      </c>
      <c r="C29">
        <v>592.5</v>
      </c>
      <c r="D29">
        <v>518.09997599999997</v>
      </c>
      <c r="E29">
        <v>522.34997599999997</v>
      </c>
      <c r="F29">
        <v>508.13574199999999</v>
      </c>
      <c r="G29">
        <v>33349341</v>
      </c>
      <c r="H29">
        <f t="shared" si="0"/>
        <v>-7.1295288726920703</v>
      </c>
      <c r="K29" s="1">
        <v>43101</v>
      </c>
      <c r="L29">
        <v>10477.549805000001</v>
      </c>
      <c r="M29">
        <v>11171.549805000001</v>
      </c>
      <c r="N29">
        <v>10404.650390999999</v>
      </c>
      <c r="O29">
        <v>11027.700194999999</v>
      </c>
      <c r="P29">
        <v>11027.700194999999</v>
      </c>
      <c r="Q29">
        <v>4560600</v>
      </c>
      <c r="R29">
        <f t="shared" si="1"/>
        <v>4.7195342265652585</v>
      </c>
      <c r="S29">
        <f t="shared" si="2"/>
        <v>28.808714169308303</v>
      </c>
    </row>
    <row r="30" spans="1:19" x14ac:dyDescent="0.3">
      <c r="A30" s="1">
        <v>43132</v>
      </c>
      <c r="B30">
        <v>525.79998799999998</v>
      </c>
      <c r="C30">
        <v>532.70001200000002</v>
      </c>
      <c r="D30">
        <v>450</v>
      </c>
      <c r="E30">
        <v>507.64999399999999</v>
      </c>
      <c r="F30">
        <v>493.83581500000003</v>
      </c>
      <c r="G30">
        <v>21570341</v>
      </c>
      <c r="H30">
        <f t="shared" si="0"/>
        <v>-2.8142017182748003</v>
      </c>
      <c r="K30" s="1">
        <v>43132</v>
      </c>
      <c r="L30">
        <v>11044.549805000001</v>
      </c>
      <c r="M30">
        <v>11117.349609000001</v>
      </c>
      <c r="N30">
        <v>10276.299805000001</v>
      </c>
      <c r="O30">
        <v>10492.849609000001</v>
      </c>
      <c r="P30">
        <v>10492.849609000001</v>
      </c>
      <c r="Q30">
        <v>4389900</v>
      </c>
      <c r="R30">
        <f t="shared" si="1"/>
        <v>-4.8500646240138279</v>
      </c>
      <c r="S30">
        <f t="shared" si="2"/>
        <v>18.168048910278301</v>
      </c>
    </row>
    <row r="31" spans="1:19" x14ac:dyDescent="0.3">
      <c r="A31" s="1">
        <v>43160</v>
      </c>
      <c r="B31">
        <v>507.64999399999999</v>
      </c>
      <c r="C31">
        <v>527.70001200000002</v>
      </c>
      <c r="D31">
        <v>486.20001200000002</v>
      </c>
      <c r="E31">
        <v>487.85000600000001</v>
      </c>
      <c r="F31">
        <v>474.57458500000001</v>
      </c>
      <c r="G31">
        <v>20245719</v>
      </c>
      <c r="H31">
        <f t="shared" si="0"/>
        <v>-3.9003227093508008</v>
      </c>
      <c r="K31" s="1">
        <v>43160</v>
      </c>
      <c r="L31">
        <v>10479.950194999999</v>
      </c>
      <c r="M31">
        <v>10525.5</v>
      </c>
      <c r="N31">
        <v>9951.9003909999992</v>
      </c>
      <c r="O31">
        <v>10113.700194999999</v>
      </c>
      <c r="P31">
        <v>10113.700194999999</v>
      </c>
      <c r="Q31">
        <v>4389100</v>
      </c>
      <c r="R31">
        <f t="shared" si="1"/>
        <v>-3.6134074929921267</v>
      </c>
      <c r="S31">
        <f t="shared" si="2"/>
        <v>10.246084698187751</v>
      </c>
    </row>
    <row r="32" spans="1:19" x14ac:dyDescent="0.3">
      <c r="A32" s="1">
        <v>43191</v>
      </c>
      <c r="B32">
        <v>489.04998799999998</v>
      </c>
      <c r="C32">
        <v>559.20001200000002</v>
      </c>
      <c r="D32">
        <v>483.64999399999999</v>
      </c>
      <c r="E32">
        <v>547.25</v>
      </c>
      <c r="F32">
        <v>532.35821499999997</v>
      </c>
      <c r="G32">
        <v>25944184</v>
      </c>
      <c r="H32">
        <f t="shared" si="0"/>
        <v>12.175872352044204</v>
      </c>
      <c r="K32" s="1">
        <v>43191</v>
      </c>
      <c r="L32">
        <v>10151.650390999999</v>
      </c>
      <c r="M32">
        <v>10759</v>
      </c>
      <c r="N32">
        <v>10111.299805000001</v>
      </c>
      <c r="O32">
        <v>10739.349609000001</v>
      </c>
      <c r="P32">
        <v>10739.349609000001</v>
      </c>
      <c r="Q32">
        <v>4499400</v>
      </c>
      <c r="R32">
        <f t="shared" si="1"/>
        <v>6.1861574096225391</v>
      </c>
      <c r="S32">
        <f t="shared" si="2"/>
        <v>15.426613507901354</v>
      </c>
    </row>
    <row r="33" spans="1:19" x14ac:dyDescent="0.3">
      <c r="A33" s="1">
        <v>43221</v>
      </c>
      <c r="B33">
        <v>547.25</v>
      </c>
      <c r="C33">
        <v>569.45001200000002</v>
      </c>
      <c r="D33">
        <v>514.70001200000002</v>
      </c>
      <c r="E33">
        <v>544.15002400000003</v>
      </c>
      <c r="F33">
        <v>529.34258999999997</v>
      </c>
      <c r="G33">
        <v>32415570</v>
      </c>
      <c r="H33">
        <f t="shared" si="0"/>
        <v>-0.56646432160804006</v>
      </c>
      <c r="K33" s="1">
        <v>43221</v>
      </c>
      <c r="L33">
        <v>10783.849609000001</v>
      </c>
      <c r="M33">
        <v>10929.200194999999</v>
      </c>
      <c r="N33">
        <v>10417.799805000001</v>
      </c>
      <c r="O33">
        <v>10736.150390999999</v>
      </c>
      <c r="P33">
        <v>10736.150390999999</v>
      </c>
      <c r="Q33">
        <v>5142500</v>
      </c>
      <c r="R33">
        <f t="shared" si="1"/>
        <v>-2.9789681093173037E-2</v>
      </c>
      <c r="S33">
        <f t="shared" si="2"/>
        <v>11.587895450175377</v>
      </c>
    </row>
    <row r="34" spans="1:19" x14ac:dyDescent="0.3">
      <c r="A34" s="1">
        <v>43252</v>
      </c>
      <c r="B34">
        <v>544.75</v>
      </c>
      <c r="C34">
        <v>569.84997599999997</v>
      </c>
      <c r="D34">
        <v>520.09997599999997</v>
      </c>
      <c r="E34">
        <v>543.34997599999997</v>
      </c>
      <c r="F34">
        <v>528.56426999999996</v>
      </c>
      <c r="G34">
        <v>22119358</v>
      </c>
      <c r="H34">
        <f t="shared" si="0"/>
        <v>-0.14702710001167629</v>
      </c>
      <c r="K34" s="1">
        <v>43252</v>
      </c>
      <c r="L34">
        <v>10738.450194999999</v>
      </c>
      <c r="M34">
        <v>10893.25</v>
      </c>
      <c r="N34">
        <v>10550.900390999999</v>
      </c>
      <c r="O34">
        <v>10714.299805000001</v>
      </c>
      <c r="P34">
        <v>10714.299805000001</v>
      </c>
      <c r="Q34">
        <v>4683800</v>
      </c>
      <c r="R34">
        <f t="shared" si="1"/>
        <v>-0.20352347167487128</v>
      </c>
      <c r="S34">
        <f t="shared" si="2"/>
        <v>12.534522629058365</v>
      </c>
    </row>
    <row r="35" spans="1:19" x14ac:dyDescent="0.3">
      <c r="A35" s="1">
        <v>43282</v>
      </c>
      <c r="B35">
        <v>545.79998799999998</v>
      </c>
      <c r="C35">
        <v>636</v>
      </c>
      <c r="D35">
        <v>530.5</v>
      </c>
      <c r="E35">
        <v>634.40002400000003</v>
      </c>
      <c r="F35">
        <v>617.13671899999997</v>
      </c>
      <c r="G35">
        <v>42293634</v>
      </c>
      <c r="H35">
        <f t="shared" si="0"/>
        <v>16.757164262762391</v>
      </c>
      <c r="K35" s="1">
        <v>43282</v>
      </c>
      <c r="L35">
        <v>10732.349609000001</v>
      </c>
      <c r="M35">
        <v>11366</v>
      </c>
      <c r="N35">
        <v>10604.650390999999</v>
      </c>
      <c r="O35">
        <v>11356.5</v>
      </c>
      <c r="P35">
        <v>11356.5</v>
      </c>
      <c r="Q35">
        <v>4648500</v>
      </c>
      <c r="R35">
        <f t="shared" si="1"/>
        <v>5.9938606039407816</v>
      </c>
      <c r="S35">
        <f t="shared" si="2"/>
        <v>12.696117341713563</v>
      </c>
    </row>
    <row r="36" spans="1:19" x14ac:dyDescent="0.3">
      <c r="A36" s="1">
        <v>43313</v>
      </c>
      <c r="B36">
        <v>636.75</v>
      </c>
      <c r="C36">
        <v>726.90002400000003</v>
      </c>
      <c r="D36">
        <v>624.75</v>
      </c>
      <c r="E36">
        <v>725.25</v>
      </c>
      <c r="F36">
        <v>715.97717299999999</v>
      </c>
      <c r="G36">
        <v>26533035</v>
      </c>
      <c r="H36">
        <f t="shared" si="0"/>
        <v>14.320613581817888</v>
      </c>
      <c r="K36" s="1">
        <v>43313</v>
      </c>
      <c r="L36">
        <v>11359.799805000001</v>
      </c>
      <c r="M36">
        <v>11760.200194999999</v>
      </c>
      <c r="N36">
        <v>11234.950194999999</v>
      </c>
      <c r="O36">
        <v>11680.5</v>
      </c>
      <c r="P36">
        <v>11680.5</v>
      </c>
      <c r="Q36">
        <v>4923000</v>
      </c>
      <c r="R36">
        <f t="shared" si="1"/>
        <v>2.8529916787742637</v>
      </c>
      <c r="S36">
        <f t="shared" si="2"/>
        <v>17.771902716420417</v>
      </c>
    </row>
    <row r="37" spans="1:19" x14ac:dyDescent="0.3">
      <c r="A37" s="1">
        <v>43344</v>
      </c>
      <c r="B37">
        <v>722</v>
      </c>
      <c r="C37">
        <v>728.75</v>
      </c>
      <c r="D37">
        <v>581.84997599999997</v>
      </c>
      <c r="E37">
        <v>594.5</v>
      </c>
      <c r="F37">
        <v>586.89892599999996</v>
      </c>
      <c r="G37">
        <v>24651469</v>
      </c>
      <c r="H37">
        <f t="shared" si="0"/>
        <v>-18.02826611513272</v>
      </c>
      <c r="K37" s="1">
        <v>43344</v>
      </c>
      <c r="L37">
        <v>11751.799805000001</v>
      </c>
      <c r="M37">
        <v>11751.799805000001</v>
      </c>
      <c r="N37">
        <v>10850.299805000001</v>
      </c>
      <c r="O37">
        <v>10930.450194999999</v>
      </c>
      <c r="P37">
        <v>10930.450194999999</v>
      </c>
      <c r="Q37">
        <v>5151800</v>
      </c>
      <c r="R37">
        <f t="shared" si="1"/>
        <v>-6.4213844013526922</v>
      </c>
      <c r="S37">
        <f t="shared" si="2"/>
        <v>11.665106671133408</v>
      </c>
    </row>
    <row r="38" spans="1:19" x14ac:dyDescent="0.3">
      <c r="A38" s="1">
        <v>43374</v>
      </c>
      <c r="B38">
        <v>591.40002400000003</v>
      </c>
      <c r="C38">
        <v>649.5</v>
      </c>
      <c r="D38">
        <v>549.84997599999997</v>
      </c>
      <c r="E38">
        <v>645.79998799999998</v>
      </c>
      <c r="F38">
        <v>637.54303000000004</v>
      </c>
      <c r="G38">
        <v>37088611</v>
      </c>
      <c r="H38">
        <f t="shared" si="0"/>
        <v>8.6290980656013474</v>
      </c>
      <c r="K38" s="1">
        <v>43374</v>
      </c>
      <c r="L38">
        <v>10930.900390999999</v>
      </c>
      <c r="M38">
        <v>11035.650390999999</v>
      </c>
      <c r="N38">
        <v>10004.549805000001</v>
      </c>
      <c r="O38">
        <v>10386.599609000001</v>
      </c>
      <c r="P38">
        <v>10386.599609000001</v>
      </c>
      <c r="Q38">
        <v>7030800</v>
      </c>
      <c r="R38">
        <f t="shared" si="1"/>
        <v>-4.9755552268906271</v>
      </c>
      <c r="S38">
        <f t="shared" si="2"/>
        <v>0.49635525788214174</v>
      </c>
    </row>
    <row r="39" spans="1:19" x14ac:dyDescent="0.3">
      <c r="A39" s="1">
        <v>43405</v>
      </c>
      <c r="B39">
        <v>647</v>
      </c>
      <c r="C39">
        <v>707</v>
      </c>
      <c r="D39">
        <v>638.25</v>
      </c>
      <c r="E39">
        <v>684.70001200000002</v>
      </c>
      <c r="F39">
        <v>675.94561799999997</v>
      </c>
      <c r="G39">
        <v>24636411</v>
      </c>
      <c r="H39">
        <f t="shared" si="0"/>
        <v>6.0235405269162046</v>
      </c>
      <c r="K39" s="1">
        <v>43405</v>
      </c>
      <c r="L39">
        <v>10441.700194999999</v>
      </c>
      <c r="M39">
        <v>10922.450194999999</v>
      </c>
      <c r="N39">
        <v>10341.900390999999</v>
      </c>
      <c r="O39">
        <v>10876.75</v>
      </c>
      <c r="P39">
        <v>10876.75</v>
      </c>
      <c r="Q39">
        <v>5318400</v>
      </c>
      <c r="R39">
        <f t="shared" si="1"/>
        <v>4.7190650400664724</v>
      </c>
      <c r="S39">
        <f t="shared" si="2"/>
        <v>6.3579624350150077</v>
      </c>
    </row>
    <row r="40" spans="1:19" x14ac:dyDescent="0.3">
      <c r="A40" s="1">
        <v>43435</v>
      </c>
      <c r="B40">
        <v>687.45001200000002</v>
      </c>
      <c r="C40">
        <v>717.84997599999997</v>
      </c>
      <c r="D40">
        <v>655</v>
      </c>
      <c r="E40">
        <v>691.5</v>
      </c>
      <c r="F40">
        <v>682.65869099999998</v>
      </c>
      <c r="G40">
        <v>19695285</v>
      </c>
      <c r="H40">
        <f t="shared" si="0"/>
        <v>0.99313390986182082</v>
      </c>
      <c r="K40" s="1">
        <v>43435</v>
      </c>
      <c r="L40">
        <v>10930.700194999999</v>
      </c>
      <c r="M40">
        <v>10985.150390999999</v>
      </c>
      <c r="N40">
        <v>10333.849609000001</v>
      </c>
      <c r="O40">
        <v>10862.549805000001</v>
      </c>
      <c r="P40">
        <v>10862.549805000001</v>
      </c>
      <c r="Q40">
        <v>6533100</v>
      </c>
      <c r="R40">
        <f t="shared" si="1"/>
        <v>-0.13055549681659784</v>
      </c>
      <c r="S40">
        <f t="shared" si="2"/>
        <v>3.1512587373588419</v>
      </c>
    </row>
    <row r="41" spans="1:19" x14ac:dyDescent="0.3">
      <c r="A41" s="1">
        <v>43466</v>
      </c>
      <c r="B41">
        <v>694.40002400000003</v>
      </c>
      <c r="C41">
        <v>724.59997599999997</v>
      </c>
      <c r="D41">
        <v>667.04998799999998</v>
      </c>
      <c r="E41">
        <v>713.45001200000002</v>
      </c>
      <c r="F41">
        <v>704.32806400000004</v>
      </c>
      <c r="G41">
        <v>30615280</v>
      </c>
      <c r="H41">
        <f t="shared" si="0"/>
        <v>3.1742605929139467</v>
      </c>
      <c r="K41" s="1">
        <v>43466</v>
      </c>
      <c r="L41">
        <v>10868.849609000001</v>
      </c>
      <c r="M41">
        <v>10987.450194999999</v>
      </c>
      <c r="N41">
        <v>10583.650390999999</v>
      </c>
      <c r="O41">
        <v>10830.950194999999</v>
      </c>
      <c r="P41">
        <v>10830.950194999999</v>
      </c>
      <c r="Q41">
        <v>7273800</v>
      </c>
      <c r="R41">
        <f t="shared" si="1"/>
        <v>-0.29090416676805786</v>
      </c>
      <c r="S41">
        <f t="shared" si="2"/>
        <v>-1.7841435341995115</v>
      </c>
    </row>
    <row r="42" spans="1:19" x14ac:dyDescent="0.3">
      <c r="A42" s="1">
        <v>43497</v>
      </c>
      <c r="B42">
        <v>715</v>
      </c>
      <c r="C42">
        <v>754.25</v>
      </c>
      <c r="D42">
        <v>665.45001200000002</v>
      </c>
      <c r="E42">
        <v>715.34997599999997</v>
      </c>
      <c r="F42">
        <v>706.20373500000005</v>
      </c>
      <c r="G42">
        <v>25817403</v>
      </c>
      <c r="H42">
        <f t="shared" si="0"/>
        <v>0.26630653417103467</v>
      </c>
      <c r="K42" s="1">
        <v>43497</v>
      </c>
      <c r="L42">
        <v>10851.349609000001</v>
      </c>
      <c r="M42">
        <v>11118.099609000001</v>
      </c>
      <c r="N42">
        <v>10585.650390999999</v>
      </c>
      <c r="O42">
        <v>10792.5</v>
      </c>
      <c r="P42">
        <v>10792.5</v>
      </c>
      <c r="Q42">
        <v>7461400</v>
      </c>
      <c r="R42">
        <f t="shared" si="1"/>
        <v>-0.35500297118667978</v>
      </c>
      <c r="S42">
        <f t="shared" si="2"/>
        <v>2.855757989164176</v>
      </c>
    </row>
    <row r="43" spans="1:19" x14ac:dyDescent="0.3">
      <c r="A43" s="1">
        <v>43525</v>
      </c>
      <c r="B43">
        <v>717.5</v>
      </c>
      <c r="C43">
        <v>780</v>
      </c>
      <c r="D43">
        <v>705.09997599999997</v>
      </c>
      <c r="E43">
        <v>772.5</v>
      </c>
      <c r="F43">
        <v>762.62304700000004</v>
      </c>
      <c r="G43">
        <v>25077392</v>
      </c>
      <c r="H43">
        <f t="shared" si="0"/>
        <v>7.9890998696280136</v>
      </c>
      <c r="K43" s="1">
        <v>43525</v>
      </c>
      <c r="L43">
        <v>10842.650390999999</v>
      </c>
      <c r="M43">
        <v>11630.349609000001</v>
      </c>
      <c r="N43">
        <v>10817</v>
      </c>
      <c r="O43">
        <v>11623.900390999999</v>
      </c>
      <c r="P43">
        <v>11623.900390999999</v>
      </c>
      <c r="Q43">
        <v>6857200</v>
      </c>
      <c r="R43">
        <f t="shared" si="1"/>
        <v>7.7035014222839759</v>
      </c>
      <c r="S43">
        <f t="shared" si="2"/>
        <v>14.93222230125637</v>
      </c>
    </row>
    <row r="44" spans="1:19" x14ac:dyDescent="0.3">
      <c r="A44" s="1">
        <v>43556</v>
      </c>
      <c r="B44">
        <v>775</v>
      </c>
      <c r="C44">
        <v>783</v>
      </c>
      <c r="D44">
        <v>738.5</v>
      </c>
      <c r="E44">
        <v>774.65002400000003</v>
      </c>
      <c r="F44">
        <v>764.74560499999995</v>
      </c>
      <c r="G44">
        <v>18346053</v>
      </c>
      <c r="H44">
        <f t="shared" si="0"/>
        <v>0.27832025889968914</v>
      </c>
      <c r="K44" s="1">
        <v>43556</v>
      </c>
      <c r="L44">
        <v>11665.200194999999</v>
      </c>
      <c r="M44">
        <v>11856.150390999999</v>
      </c>
      <c r="N44">
        <v>11549.099609000001</v>
      </c>
      <c r="O44">
        <v>11748.150390999999</v>
      </c>
      <c r="P44">
        <v>11748.150390999999</v>
      </c>
      <c r="Q44">
        <v>6516900</v>
      </c>
      <c r="R44">
        <f t="shared" si="1"/>
        <v>1.0689183133073099</v>
      </c>
      <c r="S44">
        <f t="shared" si="2"/>
        <v>9.3934997809791412</v>
      </c>
    </row>
    <row r="45" spans="1:19" x14ac:dyDescent="0.3">
      <c r="A45" s="1">
        <v>43586</v>
      </c>
      <c r="B45">
        <v>774.65002400000003</v>
      </c>
      <c r="C45">
        <v>778.84997599999997</v>
      </c>
      <c r="D45">
        <v>709.20001200000002</v>
      </c>
      <c r="E45">
        <v>747.95001200000002</v>
      </c>
      <c r="F45">
        <v>738.38696300000004</v>
      </c>
      <c r="G45">
        <v>37698537</v>
      </c>
      <c r="H45">
        <f t="shared" si="0"/>
        <v>-3.4467193148889685</v>
      </c>
      <c r="K45" s="1">
        <v>43586</v>
      </c>
      <c r="L45">
        <v>11725.549805000001</v>
      </c>
      <c r="M45">
        <v>12041.150390999999</v>
      </c>
      <c r="N45">
        <v>11108.299805000001</v>
      </c>
      <c r="O45">
        <v>11922.799805000001</v>
      </c>
      <c r="P45">
        <v>11922.799805000001</v>
      </c>
      <c r="Q45">
        <v>8645600</v>
      </c>
      <c r="R45">
        <f t="shared" si="1"/>
        <v>1.4866120043355524</v>
      </c>
      <c r="S45">
        <f t="shared" si="2"/>
        <v>11.052838967259216</v>
      </c>
    </row>
    <row r="46" spans="1:19" x14ac:dyDescent="0.3">
      <c r="A46" s="1">
        <v>43617</v>
      </c>
      <c r="B46">
        <v>749.79998799999998</v>
      </c>
      <c r="C46">
        <v>806.84997599999997</v>
      </c>
      <c r="D46">
        <v>743.45001200000002</v>
      </c>
      <c r="E46">
        <v>786.15002400000003</v>
      </c>
      <c r="F46">
        <v>776.09857199999999</v>
      </c>
      <c r="G46">
        <v>22240226</v>
      </c>
      <c r="H46">
        <f t="shared" si="0"/>
        <v>5.1072947907112365</v>
      </c>
      <c r="K46" s="1">
        <v>43617</v>
      </c>
      <c r="L46">
        <v>11953.75</v>
      </c>
      <c r="M46">
        <v>12103.049805000001</v>
      </c>
      <c r="N46">
        <v>11625.099609000001</v>
      </c>
      <c r="O46">
        <v>11788.849609000001</v>
      </c>
      <c r="P46">
        <v>11788.849609000001</v>
      </c>
      <c r="Q46">
        <v>6788000</v>
      </c>
      <c r="R46">
        <f t="shared" si="1"/>
        <v>-1.1234793688628897</v>
      </c>
      <c r="S46">
        <f t="shared" si="2"/>
        <v>10.029118314372209</v>
      </c>
    </row>
    <row r="47" spans="1:19" x14ac:dyDescent="0.3">
      <c r="A47" s="1">
        <v>43647</v>
      </c>
      <c r="B47">
        <v>790.90002400000003</v>
      </c>
      <c r="C47">
        <v>797.5</v>
      </c>
      <c r="D47">
        <v>622.65002400000003</v>
      </c>
      <c r="E47">
        <v>645.29998799999998</v>
      </c>
      <c r="F47">
        <v>637.04937700000005</v>
      </c>
      <c r="G47">
        <v>38958077</v>
      </c>
      <c r="H47">
        <f t="shared" si="0"/>
        <v>-17.916432194880915</v>
      </c>
      <c r="K47" s="1">
        <v>43647</v>
      </c>
      <c r="L47">
        <v>11839.900390999999</v>
      </c>
      <c r="M47">
        <v>11981.75</v>
      </c>
      <c r="N47">
        <v>10999.400390999999</v>
      </c>
      <c r="O47">
        <v>11118</v>
      </c>
      <c r="P47">
        <v>11118</v>
      </c>
      <c r="Q47">
        <v>9988500</v>
      </c>
      <c r="R47">
        <f t="shared" si="1"/>
        <v>-5.6905434478343953</v>
      </c>
      <c r="S47">
        <f t="shared" si="2"/>
        <v>-2.1001188746532784</v>
      </c>
    </row>
    <row r="48" spans="1:19" x14ac:dyDescent="0.3">
      <c r="A48" s="1">
        <v>43678</v>
      </c>
      <c r="B48">
        <v>640.59997599999997</v>
      </c>
      <c r="C48">
        <v>687</v>
      </c>
      <c r="D48">
        <v>623.25</v>
      </c>
      <c r="E48">
        <v>679.04998799999998</v>
      </c>
      <c r="F48">
        <v>674.52673300000004</v>
      </c>
      <c r="G48">
        <v>29001726</v>
      </c>
      <c r="H48">
        <f t="shared" si="0"/>
        <v>5.2301256202719859</v>
      </c>
      <c r="K48" s="1">
        <v>43678</v>
      </c>
      <c r="L48">
        <v>11060.200194999999</v>
      </c>
      <c r="M48">
        <v>11181.450194999999</v>
      </c>
      <c r="N48">
        <v>10637.150390999999</v>
      </c>
      <c r="O48">
        <v>11023.25</v>
      </c>
      <c r="P48">
        <v>11023.25</v>
      </c>
      <c r="Q48">
        <v>11153100</v>
      </c>
      <c r="R48">
        <f t="shared" si="1"/>
        <v>-0.85222162259399603</v>
      </c>
      <c r="S48">
        <f t="shared" si="2"/>
        <v>-5.6268995334103895</v>
      </c>
    </row>
    <row r="49" spans="1:19" x14ac:dyDescent="0.3">
      <c r="A49" s="1">
        <v>43709</v>
      </c>
      <c r="B49">
        <v>679.04998799999998</v>
      </c>
      <c r="C49">
        <v>765.75</v>
      </c>
      <c r="D49">
        <v>627.70001200000002</v>
      </c>
      <c r="E49">
        <v>718.29998799999998</v>
      </c>
      <c r="F49">
        <v>713.51531999999997</v>
      </c>
      <c r="G49">
        <v>25300550</v>
      </c>
      <c r="H49">
        <f t="shared" si="0"/>
        <v>5.7801341128953743</v>
      </c>
      <c r="K49" s="1">
        <v>43709</v>
      </c>
      <c r="L49">
        <v>10960.950194999999</v>
      </c>
      <c r="M49">
        <v>11694.849609000001</v>
      </c>
      <c r="N49">
        <v>10670.25</v>
      </c>
      <c r="O49">
        <v>11474.450194999999</v>
      </c>
      <c r="P49">
        <v>11474.450194999999</v>
      </c>
      <c r="Q49">
        <v>12210000</v>
      </c>
      <c r="R49">
        <f t="shared" si="1"/>
        <v>4.0931684847935079</v>
      </c>
      <c r="S49">
        <f t="shared" si="2"/>
        <v>4.9769221788215745</v>
      </c>
    </row>
    <row r="50" spans="1:19" x14ac:dyDescent="0.3">
      <c r="A50" s="1">
        <v>43739</v>
      </c>
      <c r="B50">
        <v>722.79998799999998</v>
      </c>
      <c r="C50">
        <v>731.79998799999998</v>
      </c>
      <c r="D50">
        <v>650</v>
      </c>
      <c r="E50">
        <v>691.84997599999997</v>
      </c>
      <c r="F50">
        <v>687.24145499999997</v>
      </c>
      <c r="G50">
        <v>27658352</v>
      </c>
      <c r="H50">
        <f t="shared" si="0"/>
        <v>-3.682307175536248</v>
      </c>
      <c r="K50" s="1">
        <v>43739</v>
      </c>
      <c r="L50">
        <v>11515.400390999999</v>
      </c>
      <c r="M50">
        <v>11945</v>
      </c>
      <c r="N50">
        <v>11090.150390999999</v>
      </c>
      <c r="O50">
        <v>11877.450194999999</v>
      </c>
      <c r="P50">
        <v>11877.450194999999</v>
      </c>
      <c r="Q50">
        <v>15461000</v>
      </c>
      <c r="R50">
        <f t="shared" si="1"/>
        <v>3.5121508495074449</v>
      </c>
      <c r="S50">
        <f t="shared" si="2"/>
        <v>14.353596384982193</v>
      </c>
    </row>
    <row r="51" spans="1:19" x14ac:dyDescent="0.3">
      <c r="A51" s="1">
        <v>43770</v>
      </c>
      <c r="B51">
        <v>693.90002400000003</v>
      </c>
      <c r="C51">
        <v>717.25</v>
      </c>
      <c r="D51">
        <v>636</v>
      </c>
      <c r="E51">
        <v>667.45001200000002</v>
      </c>
      <c r="F51">
        <v>663.00402799999995</v>
      </c>
      <c r="G51">
        <v>24401137</v>
      </c>
      <c r="H51">
        <f t="shared" si="0"/>
        <v>-3.5267709541699777</v>
      </c>
      <c r="K51" s="1">
        <v>43770</v>
      </c>
      <c r="L51">
        <v>11886.599609000001</v>
      </c>
      <c r="M51">
        <v>12158.799805000001</v>
      </c>
      <c r="N51">
        <v>11802.650390999999</v>
      </c>
      <c r="O51">
        <v>12056.049805000001</v>
      </c>
      <c r="P51">
        <v>12056.049805000001</v>
      </c>
      <c r="Q51">
        <v>13178000</v>
      </c>
      <c r="R51">
        <f t="shared" si="1"/>
        <v>1.5036864568389152</v>
      </c>
      <c r="S51">
        <f t="shared" si="2"/>
        <v>10.842391385294325</v>
      </c>
    </row>
    <row r="52" spans="1:19" x14ac:dyDescent="0.3">
      <c r="A52" s="1">
        <v>43800</v>
      </c>
      <c r="B52">
        <v>667.45001200000002</v>
      </c>
      <c r="C52">
        <v>676.70001200000002</v>
      </c>
      <c r="D52">
        <v>631.09997599999997</v>
      </c>
      <c r="E52">
        <v>647.15002400000003</v>
      </c>
      <c r="F52">
        <v>642.839294</v>
      </c>
      <c r="G52">
        <v>19469928</v>
      </c>
      <c r="H52">
        <f t="shared" si="0"/>
        <v>-3.0414244715003425</v>
      </c>
      <c r="K52" s="1">
        <v>43800</v>
      </c>
      <c r="L52">
        <v>12137.049805000001</v>
      </c>
      <c r="M52">
        <v>12293.900390999999</v>
      </c>
      <c r="N52">
        <v>11832.299805000001</v>
      </c>
      <c r="O52">
        <v>12168.450194999999</v>
      </c>
      <c r="P52">
        <v>12168.450194999999</v>
      </c>
      <c r="Q52">
        <v>12549800</v>
      </c>
      <c r="R52">
        <f t="shared" si="1"/>
        <v>0.93231524270398491</v>
      </c>
      <c r="S52">
        <f t="shared" si="2"/>
        <v>12.022042830117986</v>
      </c>
    </row>
    <row r="53" spans="1:19" x14ac:dyDescent="0.3">
      <c r="A53" s="1">
        <v>43831</v>
      </c>
      <c r="B53">
        <v>649.75</v>
      </c>
      <c r="C53">
        <v>665.65002400000003</v>
      </c>
      <c r="D53">
        <v>588.29998799999998</v>
      </c>
      <c r="E53">
        <v>602.79998799999998</v>
      </c>
      <c r="F53">
        <v>598.78466800000001</v>
      </c>
      <c r="G53">
        <v>49452434</v>
      </c>
      <c r="H53">
        <f t="shared" si="0"/>
        <v>-6.8531305501427386</v>
      </c>
      <c r="K53" s="1">
        <v>43831</v>
      </c>
      <c r="L53">
        <v>12202.150390999999</v>
      </c>
      <c r="M53">
        <v>12430.5</v>
      </c>
      <c r="N53">
        <v>11929.599609000001</v>
      </c>
      <c r="O53">
        <v>12169.849609000001</v>
      </c>
      <c r="P53">
        <v>12169.849609000001</v>
      </c>
      <c r="Q53">
        <v>11415800</v>
      </c>
      <c r="R53">
        <f t="shared" si="1"/>
        <v>1.1500347025106272E-2</v>
      </c>
      <c r="S53">
        <f t="shared" si="2"/>
        <v>12.361790885328695</v>
      </c>
    </row>
    <row r="54" spans="1:19" x14ac:dyDescent="0.3">
      <c r="A54" s="1">
        <v>43862</v>
      </c>
      <c r="B54">
        <v>603</v>
      </c>
      <c r="C54">
        <v>652.70001200000002</v>
      </c>
      <c r="D54">
        <v>585.5</v>
      </c>
      <c r="E54">
        <v>622.75</v>
      </c>
      <c r="F54">
        <v>618.60180700000001</v>
      </c>
      <c r="G54">
        <v>60932063</v>
      </c>
      <c r="H54">
        <f t="shared" si="0"/>
        <v>3.3095574646892612</v>
      </c>
      <c r="K54" s="1">
        <v>43862</v>
      </c>
      <c r="L54">
        <v>11627.450194999999</v>
      </c>
      <c r="M54">
        <v>12246.700194999999</v>
      </c>
      <c r="N54">
        <v>11175.049805000001</v>
      </c>
      <c r="O54">
        <v>11201.75</v>
      </c>
      <c r="P54">
        <v>11201.75</v>
      </c>
      <c r="Q54">
        <v>10198200</v>
      </c>
      <c r="R54">
        <f t="shared" si="1"/>
        <v>-7.9549019922486082</v>
      </c>
      <c r="S54">
        <f t="shared" si="2"/>
        <v>3.7919851748899669</v>
      </c>
    </row>
    <row r="55" spans="1:19" x14ac:dyDescent="0.3">
      <c r="A55" s="1">
        <v>43891</v>
      </c>
      <c r="B55">
        <v>620.04998799999998</v>
      </c>
      <c r="C55">
        <v>647.79998799999998</v>
      </c>
      <c r="D55">
        <v>458.04998799999998</v>
      </c>
      <c r="E55">
        <v>480.45001200000002</v>
      </c>
      <c r="F55">
        <v>477.249664</v>
      </c>
      <c r="G55">
        <v>41167853</v>
      </c>
      <c r="H55">
        <f t="shared" si="0"/>
        <v>-22.850259012444795</v>
      </c>
      <c r="K55" s="1">
        <v>43891</v>
      </c>
      <c r="L55">
        <v>11387.349609000001</v>
      </c>
      <c r="M55">
        <v>11433</v>
      </c>
      <c r="N55">
        <v>7511.1000979999999</v>
      </c>
      <c r="O55">
        <v>8597.75</v>
      </c>
      <c r="P55">
        <v>8597.75</v>
      </c>
      <c r="Q55">
        <v>21303000</v>
      </c>
      <c r="R55">
        <f t="shared" si="1"/>
        <v>-23.246367755038278</v>
      </c>
      <c r="S55">
        <f t="shared" si="2"/>
        <v>-26.033863756635832</v>
      </c>
    </row>
    <row r="56" spans="1:19" x14ac:dyDescent="0.3">
      <c r="A56" s="1">
        <v>43922</v>
      </c>
      <c r="B56">
        <v>480</v>
      </c>
      <c r="C56">
        <v>579.84997599999997</v>
      </c>
      <c r="D56">
        <v>466.5</v>
      </c>
      <c r="E56">
        <v>563.5</v>
      </c>
      <c r="F56">
        <v>563.5</v>
      </c>
      <c r="G56">
        <v>37090425</v>
      </c>
      <c r="H56">
        <f t="shared" si="0"/>
        <v>17.285874893473817</v>
      </c>
      <c r="K56" s="1">
        <v>43922</v>
      </c>
      <c r="L56">
        <v>8584.0996090000008</v>
      </c>
      <c r="M56">
        <v>9889.0498050000006</v>
      </c>
      <c r="N56">
        <v>8055.7998049999997</v>
      </c>
      <c r="O56">
        <v>9859.9003909999992</v>
      </c>
      <c r="P56">
        <v>9859.9003909999992</v>
      </c>
      <c r="Q56">
        <v>12736300</v>
      </c>
      <c r="R56">
        <f t="shared" si="1"/>
        <v>14.680008036986415</v>
      </c>
      <c r="S56">
        <f t="shared" si="2"/>
        <v>-16.072742833174381</v>
      </c>
    </row>
    <row r="57" spans="1:19" x14ac:dyDescent="0.3">
      <c r="A57" s="1">
        <v>43952</v>
      </c>
      <c r="B57">
        <v>547</v>
      </c>
      <c r="C57">
        <v>552.75</v>
      </c>
      <c r="D57">
        <v>447.04998799999998</v>
      </c>
      <c r="E57">
        <v>496.25</v>
      </c>
      <c r="F57">
        <v>496.25</v>
      </c>
      <c r="G57">
        <v>60677183</v>
      </c>
      <c r="H57">
        <f t="shared" si="0"/>
        <v>-11.934338952972489</v>
      </c>
      <c r="K57" s="1">
        <v>43952</v>
      </c>
      <c r="L57">
        <v>9533.5</v>
      </c>
      <c r="M57">
        <v>9598.8496090000008</v>
      </c>
      <c r="N57">
        <v>8806.75</v>
      </c>
      <c r="O57">
        <v>9580.2998050000006</v>
      </c>
      <c r="P57">
        <v>9580.2998050000006</v>
      </c>
      <c r="Q57">
        <v>13675900</v>
      </c>
      <c r="R57">
        <f t="shared" si="1"/>
        <v>-2.8357343878972152</v>
      </c>
      <c r="S57">
        <f t="shared" si="2"/>
        <v>-19.647230837656426</v>
      </c>
    </row>
    <row r="58" spans="1:19" x14ac:dyDescent="0.3">
      <c r="A58" s="1">
        <v>43983</v>
      </c>
      <c r="B58">
        <v>505</v>
      </c>
      <c r="C58">
        <v>593.40002400000003</v>
      </c>
      <c r="D58">
        <v>502.04998799999998</v>
      </c>
      <c r="E58">
        <v>579.5</v>
      </c>
      <c r="F58">
        <v>579.5</v>
      </c>
      <c r="G58">
        <v>62631265</v>
      </c>
      <c r="H58">
        <f t="shared" si="0"/>
        <v>16.775818639798491</v>
      </c>
      <c r="K58" s="1">
        <v>43983</v>
      </c>
      <c r="L58">
        <v>9726.8496090000008</v>
      </c>
      <c r="M58">
        <v>10553.150390999999</v>
      </c>
      <c r="N58">
        <v>9544.3496090000008</v>
      </c>
      <c r="O58">
        <v>10302.099609000001</v>
      </c>
      <c r="P58">
        <v>10302.099609000001</v>
      </c>
      <c r="Q58">
        <v>16778800</v>
      </c>
      <c r="R58">
        <f t="shared" si="1"/>
        <v>7.5342089359592856</v>
      </c>
      <c r="S58">
        <f t="shared" si="2"/>
        <v>-12.611493481645276</v>
      </c>
    </row>
    <row r="59" spans="1:19" x14ac:dyDescent="0.3">
      <c r="A59" s="1">
        <v>44013</v>
      </c>
      <c r="B59">
        <v>582.45001200000002</v>
      </c>
      <c r="C59">
        <v>612.65002400000003</v>
      </c>
      <c r="D59">
        <v>562.20001200000002</v>
      </c>
      <c r="E59">
        <v>583.15002400000003</v>
      </c>
      <c r="F59">
        <v>583.15002400000003</v>
      </c>
      <c r="G59">
        <v>51395095</v>
      </c>
      <c r="H59">
        <f t="shared" si="0"/>
        <v>0.62985746333046322</v>
      </c>
      <c r="K59" s="1">
        <v>44013</v>
      </c>
      <c r="L59">
        <v>10323.799805000001</v>
      </c>
      <c r="M59">
        <v>11341.400390999999</v>
      </c>
      <c r="N59">
        <v>10299.599609000001</v>
      </c>
      <c r="O59">
        <v>11073.450194999999</v>
      </c>
      <c r="P59">
        <v>11073.450194999999</v>
      </c>
      <c r="Q59">
        <v>14640200</v>
      </c>
      <c r="R59">
        <f t="shared" si="1"/>
        <v>7.4873143851777568</v>
      </c>
      <c r="S59">
        <f t="shared" si="2"/>
        <v>-0.40069981111711117</v>
      </c>
    </row>
    <row r="60" spans="1:19" x14ac:dyDescent="0.3">
      <c r="A60" s="1">
        <v>44044</v>
      </c>
      <c r="B60">
        <v>584</v>
      </c>
      <c r="C60">
        <v>667.90002400000003</v>
      </c>
      <c r="D60">
        <v>576.70001200000002</v>
      </c>
      <c r="E60">
        <v>615.54998799999998</v>
      </c>
      <c r="F60">
        <v>615.54998799999998</v>
      </c>
      <c r="G60">
        <v>37805611</v>
      </c>
      <c r="H60">
        <f t="shared" si="0"/>
        <v>5.5560254937072617</v>
      </c>
      <c r="K60" s="1">
        <v>44044</v>
      </c>
      <c r="L60">
        <v>11057.549805000001</v>
      </c>
      <c r="M60">
        <v>11794.25</v>
      </c>
      <c r="N60">
        <v>10882.25</v>
      </c>
      <c r="O60">
        <v>11387.5</v>
      </c>
      <c r="P60">
        <v>11387.5</v>
      </c>
      <c r="Q60">
        <v>14035500</v>
      </c>
      <c r="R60">
        <f t="shared" si="1"/>
        <v>2.8360610240682149</v>
      </c>
      <c r="S60">
        <f t="shared" si="2"/>
        <v>3.3043793799469201</v>
      </c>
    </row>
    <row r="61" spans="1:19" x14ac:dyDescent="0.3">
      <c r="A61" s="1">
        <v>44075</v>
      </c>
      <c r="B61">
        <v>627.40002400000003</v>
      </c>
      <c r="C61">
        <v>693</v>
      </c>
      <c r="D61">
        <v>608.45001200000002</v>
      </c>
      <c r="E61">
        <v>677.84997599999997</v>
      </c>
      <c r="F61">
        <v>677.84997599999997</v>
      </c>
      <c r="G61">
        <v>35972270</v>
      </c>
      <c r="H61">
        <f t="shared" si="0"/>
        <v>10.121028221025652</v>
      </c>
      <c r="K61" s="1">
        <v>44075</v>
      </c>
      <c r="L61">
        <v>11464.299805000001</v>
      </c>
      <c r="M61">
        <v>11618.099609000001</v>
      </c>
      <c r="N61">
        <v>10790.200194999999</v>
      </c>
      <c r="O61">
        <v>11247.549805000001</v>
      </c>
      <c r="P61">
        <v>11247.549805000001</v>
      </c>
      <c r="Q61">
        <v>12928400</v>
      </c>
      <c r="R61">
        <f t="shared" si="1"/>
        <v>-1.2289808562019666</v>
      </c>
      <c r="S61">
        <f t="shared" si="2"/>
        <v>-1.9774401922880047</v>
      </c>
    </row>
    <row r="62" spans="1:19" ht="15" thickBot="1" x14ac:dyDescent="0.35">
      <c r="A62" s="1">
        <v>44105</v>
      </c>
      <c r="B62">
        <v>681.20001200000002</v>
      </c>
      <c r="C62">
        <v>741</v>
      </c>
      <c r="D62">
        <v>663.84997599999997</v>
      </c>
      <c r="E62">
        <v>727.90002400000003</v>
      </c>
      <c r="F62">
        <v>727.90002400000003</v>
      </c>
      <c r="G62">
        <v>37104984</v>
      </c>
      <c r="H62">
        <f t="shared" si="0"/>
        <v>7.3836467908940495</v>
      </c>
      <c r="K62" s="1">
        <v>44105</v>
      </c>
      <c r="L62">
        <v>11364.450194999999</v>
      </c>
      <c r="M62">
        <v>12025.450194999999</v>
      </c>
      <c r="N62">
        <v>11347.049805000001</v>
      </c>
      <c r="O62">
        <v>11642.400390999999</v>
      </c>
      <c r="P62">
        <v>11642.400390999999</v>
      </c>
      <c r="Q62">
        <v>11602500</v>
      </c>
      <c r="R62">
        <f t="shared" si="1"/>
        <v>3.5105475667640107</v>
      </c>
      <c r="S62">
        <f t="shared" si="2"/>
        <v>-1.9789584476552768</v>
      </c>
    </row>
    <row r="63" spans="1:19" x14ac:dyDescent="0.3">
      <c r="A63" s="2"/>
      <c r="B63" s="3"/>
      <c r="C63" s="3"/>
      <c r="D63" s="3"/>
      <c r="E63" s="3"/>
      <c r="F63" s="3"/>
      <c r="G63" s="4"/>
    </row>
    <row r="64" spans="1:19" x14ac:dyDescent="0.3">
      <c r="H64" t="s">
        <v>10</v>
      </c>
      <c r="I64">
        <f>_xlfn.COVARIANCE.S(H4:H62,R4:R62)</f>
        <v>33.557891726430412</v>
      </c>
      <c r="R64" t="s">
        <v>23</v>
      </c>
      <c r="S64">
        <f>AVERAGE(S16:S62)</f>
        <v>8.5019052792897813</v>
      </c>
    </row>
    <row r="65" spans="8:9" x14ac:dyDescent="0.3">
      <c r="H65" t="s">
        <v>11</v>
      </c>
      <c r="I65">
        <f>_xlfn.VAR.S(R4:R62)</f>
        <v>29.106230014992171</v>
      </c>
    </row>
    <row r="66" spans="8:9" ht="30" customHeight="1" x14ac:dyDescent="0.3">
      <c r="H66" s="5" t="s">
        <v>35</v>
      </c>
      <c r="I66">
        <f>I64/I65</f>
        <v>1.1529453216423171</v>
      </c>
    </row>
    <row r="68" spans="8:9" x14ac:dyDescent="0.3">
      <c r="H68" t="s">
        <v>36</v>
      </c>
      <c r="I68">
        <f>'WACC Calculation'!I3/'WACC Calculation'!I17</f>
        <v>9.3933518262531417E-3</v>
      </c>
    </row>
    <row r="69" spans="8:9" x14ac:dyDescent="0.3">
      <c r="H69" t="s">
        <v>34</v>
      </c>
      <c r="I69">
        <f>'WACC Calculation'!I6</f>
        <v>0.25168000000000001</v>
      </c>
    </row>
    <row r="70" spans="8:9" x14ac:dyDescent="0.3">
      <c r="H70" t="s">
        <v>37</v>
      </c>
      <c r="I70">
        <f>I66*(1+(I68*(1-I69)))</f>
        <v>1.1610496429889297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FB385-B015-4657-9896-0937C1D937FD}">
  <sheetPr codeName="Sheet2"/>
  <dimension ref="A1:C5"/>
  <sheetViews>
    <sheetView workbookViewId="0">
      <selection activeCell="E12" sqref="E12"/>
    </sheetView>
  </sheetViews>
  <sheetFormatPr defaultRowHeight="14.4" x14ac:dyDescent="0.3"/>
  <cols>
    <col min="1" max="1" width="13.44140625" customWidth="1"/>
  </cols>
  <sheetData>
    <row r="1" spans="1:3" x14ac:dyDescent="0.3">
      <c r="A1" t="s">
        <v>19</v>
      </c>
    </row>
    <row r="2" spans="1:3" x14ac:dyDescent="0.3">
      <c r="A2" t="s">
        <v>20</v>
      </c>
      <c r="B2">
        <v>5.83</v>
      </c>
      <c r="C2" t="s">
        <v>21</v>
      </c>
    </row>
    <row r="3" spans="1:3" x14ac:dyDescent="0.3">
      <c r="A3" t="s">
        <v>23</v>
      </c>
      <c r="B3">
        <v>8.5019052792897813</v>
      </c>
    </row>
    <row r="4" spans="1:3" x14ac:dyDescent="0.3">
      <c r="A4" t="s">
        <v>24</v>
      </c>
      <c r="B4">
        <f>'Beta Calculation'!I70</f>
        <v>1.1610496429889297</v>
      </c>
    </row>
    <row r="5" spans="1:3" x14ac:dyDescent="0.3">
      <c r="A5" t="s">
        <v>19</v>
      </c>
      <c r="B5">
        <f>B2+(B4*(B3-B2))</f>
        <v>8.9322146706196364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E8B94-27E9-4412-8A19-4CCFB6C1A7EF}">
  <sheetPr codeName="Sheet3"/>
  <dimension ref="A1:K26"/>
  <sheetViews>
    <sheetView workbookViewId="0">
      <selection activeCell="A25" sqref="A25"/>
    </sheetView>
  </sheetViews>
  <sheetFormatPr defaultRowHeight="14.4" x14ac:dyDescent="0.3"/>
  <cols>
    <col min="1" max="1" width="27.77734375" customWidth="1"/>
    <col min="5" max="5" width="10" customWidth="1"/>
    <col min="8" max="8" width="13" customWidth="1"/>
  </cols>
  <sheetData>
    <row r="1" spans="1:11" x14ac:dyDescent="0.3">
      <c r="A1" s="15" t="s">
        <v>12</v>
      </c>
      <c r="B1" s="15"/>
      <c r="C1" s="15"/>
    </row>
    <row r="2" spans="1:11" x14ac:dyDescent="0.3">
      <c r="A2" s="14" t="s">
        <v>13</v>
      </c>
      <c r="B2" s="14"/>
      <c r="C2" s="14"/>
    </row>
    <row r="3" spans="1:11" x14ac:dyDescent="0.3">
      <c r="A3" s="13" t="s">
        <v>14</v>
      </c>
      <c r="B3" s="13"/>
      <c r="C3" s="13"/>
      <c r="D3" s="13"/>
      <c r="E3" s="13"/>
      <c r="H3" t="s">
        <v>28</v>
      </c>
      <c r="I3">
        <v>40.5</v>
      </c>
    </row>
    <row r="4" spans="1:11" x14ac:dyDescent="0.3">
      <c r="A4" t="s">
        <v>15</v>
      </c>
    </row>
    <row r="5" spans="1:11" x14ac:dyDescent="0.3">
      <c r="A5" t="s">
        <v>16</v>
      </c>
      <c r="B5">
        <v>5.83</v>
      </c>
    </row>
    <row r="6" spans="1:11" x14ac:dyDescent="0.3">
      <c r="A6" t="s">
        <v>17</v>
      </c>
      <c r="B6">
        <v>1.0900000000000001</v>
      </c>
      <c r="H6" t="s">
        <v>34</v>
      </c>
      <c r="I6">
        <f>'[1]Return on Equity'!B7</f>
        <v>0.25168000000000001</v>
      </c>
    </row>
    <row r="7" spans="1:11" x14ac:dyDescent="0.3">
      <c r="A7" t="s">
        <v>30</v>
      </c>
      <c r="B7">
        <f>B5+B6</f>
        <v>6.92</v>
      </c>
    </row>
    <row r="8" spans="1:11" x14ac:dyDescent="0.3">
      <c r="A8" t="s">
        <v>33</v>
      </c>
      <c r="B8">
        <f>B7*(1-I6)</f>
        <v>5.1783744</v>
      </c>
    </row>
    <row r="10" spans="1:11" x14ac:dyDescent="0.3">
      <c r="A10" t="s">
        <v>18</v>
      </c>
    </row>
    <row r="15" spans="1:11" x14ac:dyDescent="0.3">
      <c r="K15" t="s">
        <v>38</v>
      </c>
    </row>
    <row r="17" spans="1:9" x14ac:dyDescent="0.3">
      <c r="A17" s="14" t="s">
        <v>25</v>
      </c>
      <c r="B17" s="14"/>
      <c r="C17" s="14"/>
      <c r="D17" s="14"/>
      <c r="E17" s="14"/>
      <c r="H17" t="s">
        <v>27</v>
      </c>
      <c r="I17">
        <f>'[1]Return on Equity'!B31</f>
        <v>4311.5600000000004</v>
      </c>
    </row>
    <row r="18" spans="1:9" x14ac:dyDescent="0.3">
      <c r="A18" t="s">
        <v>20</v>
      </c>
      <c r="B18">
        <v>5.83</v>
      </c>
      <c r="C18" t="s">
        <v>21</v>
      </c>
    </row>
    <row r="19" spans="1:9" x14ac:dyDescent="0.3">
      <c r="A19" t="s">
        <v>23</v>
      </c>
      <c r="B19">
        <v>8.5019052792897813</v>
      </c>
    </row>
    <row r="20" spans="1:9" x14ac:dyDescent="0.3">
      <c r="A20" t="s">
        <v>24</v>
      </c>
      <c r="B20">
        <f>'Beta Calculation'!I70</f>
        <v>1.1610496429889297</v>
      </c>
    </row>
    <row r="21" spans="1:9" x14ac:dyDescent="0.3">
      <c r="A21" t="s">
        <v>19</v>
      </c>
      <c r="B21">
        <f>B18+(B20*(B19-B18))</f>
        <v>8.9322146706196364</v>
      </c>
    </row>
    <row r="23" spans="1:9" x14ac:dyDescent="0.3">
      <c r="A23" t="s">
        <v>26</v>
      </c>
      <c r="B23">
        <f>(I3*B8+I17*B21)/(I3+I17)</f>
        <v>8.8972816662584613</v>
      </c>
    </row>
    <row r="25" spans="1:9" x14ac:dyDescent="0.3">
      <c r="A25" t="s">
        <v>118</v>
      </c>
    </row>
    <row r="26" spans="1:9" x14ac:dyDescent="0.3">
      <c r="A26" t="s">
        <v>39</v>
      </c>
      <c r="B26">
        <f>B21</f>
        <v>8.9322146706196364</v>
      </c>
    </row>
  </sheetData>
  <mergeCells count="4">
    <mergeCell ref="A3:E3"/>
    <mergeCell ref="A2:C2"/>
    <mergeCell ref="A1:C1"/>
    <mergeCell ref="A17:E17"/>
  </mergeCell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dvAspect="DVASPECT_ICON" link="[2]!''''" oleUpdate="OLEUPDATE_ONCALL" shapeId="2049">
          <objectPr defaultSize="0" dde="1" r:id="rId3">
            <anchor moveWithCells="1">
              <from>
                <xdr:col>0</xdr:col>
                <xdr:colOff>83820</xdr:colOff>
                <xdr:row>11</xdr:row>
                <xdr:rowOff>38100</xdr:rowOff>
              </from>
              <to>
                <xdr:col>0</xdr:col>
                <xdr:colOff>998220</xdr:colOff>
                <xdr:row>14</xdr:row>
                <xdr:rowOff>175260</xdr:rowOff>
              </to>
            </anchor>
          </objectPr>
        </oleObject>
      </mc:Choice>
      <mc:Fallback>
        <oleObject dvAspect="DVASPECT_ICON" link="[2]!''''" oleUpdate="OLEUPDATE_ONCALL" shapeId="2049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09871-2EAF-4F78-92AE-472CD3436E95}">
  <sheetPr codeName="Sheet4"/>
  <dimension ref="A1:V22"/>
  <sheetViews>
    <sheetView workbookViewId="0">
      <selection activeCell="I11" sqref="I11"/>
    </sheetView>
  </sheetViews>
  <sheetFormatPr defaultRowHeight="14.4" x14ac:dyDescent="0.3"/>
  <cols>
    <col min="1" max="1" width="15.33203125" customWidth="1"/>
    <col min="13" max="13" width="18" customWidth="1"/>
    <col min="14" max="14" width="13.77734375" customWidth="1"/>
    <col min="15" max="15" width="13.109375" customWidth="1"/>
  </cols>
  <sheetData>
    <row r="1" spans="1:15" x14ac:dyDescent="0.3">
      <c r="A1" t="s">
        <v>40</v>
      </c>
      <c r="M1" t="s">
        <v>47</v>
      </c>
    </row>
    <row r="3" spans="1:15" x14ac:dyDescent="0.3">
      <c r="A3" t="s">
        <v>29</v>
      </c>
      <c r="B3">
        <f>'[1]Return on Equity'!B4</f>
        <v>735.35</v>
      </c>
      <c r="M3" t="s">
        <v>48</v>
      </c>
      <c r="N3">
        <v>371.3</v>
      </c>
    </row>
    <row r="4" spans="1:15" ht="28.2" customHeight="1" x14ac:dyDescent="0.3">
      <c r="A4" s="5" t="s">
        <v>41</v>
      </c>
      <c r="B4">
        <f>'[1]Return on Equity'!B31</f>
        <v>4311.5600000000004</v>
      </c>
      <c r="N4" t="s">
        <v>49</v>
      </c>
      <c r="O4" t="s">
        <v>50</v>
      </c>
    </row>
    <row r="5" spans="1:15" ht="27" customHeight="1" x14ac:dyDescent="0.3">
      <c r="A5" s="5" t="s">
        <v>42</v>
      </c>
      <c r="B5">
        <f>'[1]Return on Equity'!B13</f>
        <v>267.7</v>
      </c>
      <c r="M5" t="s">
        <v>31</v>
      </c>
      <c r="N5" s="7">
        <v>3460.84</v>
      </c>
      <c r="O5" s="7">
        <v>3826.23</v>
      </c>
    </row>
    <row r="6" spans="1:15" x14ac:dyDescent="0.3">
      <c r="M6" t="s">
        <v>32</v>
      </c>
      <c r="N6" s="7">
        <v>2326.9</v>
      </c>
      <c r="O6" s="7">
        <v>2539.58</v>
      </c>
    </row>
    <row r="7" spans="1:15" ht="44.4" customHeight="1" x14ac:dyDescent="0.3">
      <c r="A7" s="5" t="s">
        <v>43</v>
      </c>
      <c r="B7">
        <v>76.599999999999994</v>
      </c>
    </row>
    <row r="8" spans="1:15" x14ac:dyDescent="0.3">
      <c r="A8" s="5" t="s">
        <v>44</v>
      </c>
      <c r="B8">
        <f>'WACC Calculation'!I6</f>
        <v>0.25168000000000001</v>
      </c>
      <c r="M8" t="s">
        <v>51</v>
      </c>
      <c r="N8" s="7">
        <f>N5-N6</f>
        <v>1133.94</v>
      </c>
      <c r="O8" s="7">
        <f>O5-O6</f>
        <v>1286.6500000000001</v>
      </c>
    </row>
    <row r="9" spans="1:15" ht="43.8" customHeight="1" x14ac:dyDescent="0.3">
      <c r="A9" s="5" t="s">
        <v>45</v>
      </c>
      <c r="B9">
        <f>B7*(1-B8)</f>
        <v>57.321311999999992</v>
      </c>
      <c r="M9" s="6" t="s">
        <v>52</v>
      </c>
      <c r="N9" s="7">
        <f>N8-O8</f>
        <v>-152.71000000000004</v>
      </c>
    </row>
    <row r="10" spans="1:15" ht="42.6" customHeight="1" x14ac:dyDescent="0.3">
      <c r="A10" s="6" t="s">
        <v>57</v>
      </c>
      <c r="B10">
        <f>B3-B9</f>
        <v>678.02868799999999</v>
      </c>
      <c r="M10" s="5" t="s">
        <v>54</v>
      </c>
      <c r="N10">
        <v>217.97</v>
      </c>
    </row>
    <row r="11" spans="1:15" x14ac:dyDescent="0.3">
      <c r="A11" s="5" t="s">
        <v>46</v>
      </c>
      <c r="B11">
        <f>(B3-B9)/(B4-B5)</f>
        <v>0.16766868487039607</v>
      </c>
    </row>
    <row r="12" spans="1:15" x14ac:dyDescent="0.3">
      <c r="N12" t="s">
        <v>49</v>
      </c>
      <c r="O12" t="s">
        <v>50</v>
      </c>
    </row>
    <row r="13" spans="1:15" ht="29.4" customHeight="1" x14ac:dyDescent="0.3">
      <c r="A13" s="9" t="s">
        <v>61</v>
      </c>
      <c r="M13" s="5" t="s">
        <v>69</v>
      </c>
      <c r="N13">
        <v>0</v>
      </c>
      <c r="O13">
        <v>40.5</v>
      </c>
    </row>
    <row r="15" spans="1:15" x14ac:dyDescent="0.3">
      <c r="M15" t="s">
        <v>55</v>
      </c>
      <c r="N15">
        <f>N13-O13</f>
        <v>-40.5</v>
      </c>
    </row>
    <row r="16" spans="1:15" x14ac:dyDescent="0.3">
      <c r="A16" t="s">
        <v>53</v>
      </c>
    </row>
    <row r="17" spans="1:22" ht="29.4" customHeight="1" x14ac:dyDescent="0.3">
      <c r="M17" s="5" t="s">
        <v>47</v>
      </c>
      <c r="N17">
        <f>(N3+N9-N10-N15)/(B3-B9)</f>
        <v>6.0646401439580354E-2</v>
      </c>
    </row>
    <row r="18" spans="1:22" x14ac:dyDescent="0.3">
      <c r="A18" t="s">
        <v>72</v>
      </c>
    </row>
    <row r="19" spans="1:22" ht="14.4" customHeight="1" x14ac:dyDescent="0.3">
      <c r="A19" s="16" t="s">
        <v>56</v>
      </c>
      <c r="B19" s="16"/>
      <c r="C19" s="16"/>
      <c r="D19" s="8">
        <f>B11*N17</f>
        <v>1.0168502371496533E-2</v>
      </c>
      <c r="M19" s="17" t="s">
        <v>119</v>
      </c>
      <c r="N19" s="17"/>
      <c r="O19" s="17"/>
      <c r="P19" s="17"/>
      <c r="Q19" s="17"/>
      <c r="R19" s="17"/>
      <c r="S19" s="17"/>
      <c r="T19" s="17"/>
      <c r="U19" s="17"/>
      <c r="V19" s="17"/>
    </row>
    <row r="20" spans="1:22" x14ac:dyDescent="0.3">
      <c r="A20" t="s">
        <v>73</v>
      </c>
      <c r="M20" s="17"/>
      <c r="N20" s="17"/>
      <c r="O20" s="17"/>
      <c r="P20" s="17"/>
      <c r="Q20" s="17"/>
      <c r="R20" s="17"/>
      <c r="S20" s="17"/>
      <c r="T20" s="17"/>
      <c r="U20" s="17"/>
      <c r="V20" s="17"/>
    </row>
    <row r="21" spans="1:22" x14ac:dyDescent="0.3">
      <c r="A21" s="18" t="s">
        <v>71</v>
      </c>
      <c r="B21" s="18"/>
      <c r="C21" s="18"/>
      <c r="D21" s="8">
        <f>B11*'Stable period equity reinvestme'!C15</f>
        <v>0.12601813228761649</v>
      </c>
      <c r="F21" t="s">
        <v>117</v>
      </c>
      <c r="M21" s="17"/>
      <c r="N21" s="17"/>
      <c r="O21" s="17"/>
      <c r="P21" s="17"/>
      <c r="Q21" s="17"/>
      <c r="R21" s="17"/>
      <c r="S21" s="17"/>
      <c r="T21" s="17"/>
      <c r="U21" s="17"/>
      <c r="V21" s="17"/>
    </row>
    <row r="22" spans="1:22" x14ac:dyDescent="0.3">
      <c r="M22" s="17"/>
      <c r="N22" s="17"/>
      <c r="O22" s="17"/>
      <c r="P22" s="17"/>
      <c r="Q22" s="17"/>
      <c r="R22" s="17"/>
      <c r="S22" s="17"/>
      <c r="T22" s="17"/>
      <c r="U22" s="17"/>
      <c r="V22" s="17"/>
    </row>
  </sheetData>
  <mergeCells count="3">
    <mergeCell ref="A19:C19"/>
    <mergeCell ref="M19:V22"/>
    <mergeCell ref="A21:C21"/>
  </mergeCells>
  <hyperlinks>
    <hyperlink ref="M19:V22" r:id="rId1" location="hi01" display="It is worth noting that in 2020, the company has had a dividend payout ratio of 55.79% as sharp contrast from the usual dividend payout ratio in the last 5 years which usually ranged between 26-30%. This might indicate an effect of the coronavirus pandemic and needs to be corrected. I will assume that Non-cash ROE remains relatively constant as can be seen from the trends of the previous years. The equity reinvestment rate will vary across a period of 5 years before settling to a stable value" xr:uid="{2FCC8A65-D50E-401D-ACBC-2222F27B2BD8}"/>
  </hyperlinks>
  <pageMargins left="0.7" right="0.7" top="0.75" bottom="0.75" header="0.3" footer="0.3"/>
  <pageSetup paperSize="9" orientation="portrait" r:id="rId2"/>
  <ignoredErrors>
    <ignoredError sqref="N8:O8 N9 N17" evalError="1"/>
  </ignoredErrors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237F8-D242-489B-BF3C-C4F674EA29F3}">
  <sheetPr codeName="Sheet5"/>
  <dimension ref="A1:G17"/>
  <sheetViews>
    <sheetView workbookViewId="0">
      <selection activeCell="E22" sqref="E22"/>
    </sheetView>
  </sheetViews>
  <sheetFormatPr defaultRowHeight="14.4" x14ac:dyDescent="0.3"/>
  <cols>
    <col min="1" max="1" width="17.21875" customWidth="1"/>
    <col min="2" max="2" width="15.44140625" customWidth="1"/>
    <col min="3" max="3" width="14" customWidth="1"/>
    <col min="4" max="4" width="14.88671875" customWidth="1"/>
    <col min="5" max="5" width="14.6640625" customWidth="1"/>
    <col min="6" max="6" width="13.88671875" customWidth="1"/>
    <col min="7" max="7" width="13.5546875" customWidth="1"/>
  </cols>
  <sheetData>
    <row r="1" spans="1:7" x14ac:dyDescent="0.3">
      <c r="A1" t="s">
        <v>63</v>
      </c>
    </row>
    <row r="4" spans="1:7" x14ac:dyDescent="0.3">
      <c r="B4" t="s">
        <v>50</v>
      </c>
      <c r="C4" t="s">
        <v>58</v>
      </c>
      <c r="D4" t="s">
        <v>59</v>
      </c>
      <c r="E4" t="s">
        <v>60</v>
      </c>
      <c r="F4" t="s">
        <v>64</v>
      </c>
      <c r="G4" t="s">
        <v>65</v>
      </c>
    </row>
    <row r="5" spans="1:7" x14ac:dyDescent="0.3">
      <c r="A5" t="s">
        <v>48</v>
      </c>
      <c r="B5">
        <v>477.48</v>
      </c>
      <c r="C5" s="7">
        <v>1680.78</v>
      </c>
      <c r="D5">
        <v>196.39</v>
      </c>
      <c r="E5">
        <v>213.08</v>
      </c>
      <c r="F5">
        <v>211.71</v>
      </c>
    </row>
    <row r="6" spans="1:7" x14ac:dyDescent="0.3">
      <c r="A6" t="s">
        <v>31</v>
      </c>
      <c r="B6" s="7">
        <v>3826.23</v>
      </c>
      <c r="C6" s="7">
        <v>3706.66</v>
      </c>
      <c r="D6" s="7">
        <v>3234.43</v>
      </c>
      <c r="E6" s="7">
        <v>2634.43</v>
      </c>
      <c r="F6" s="7">
        <v>2948.61</v>
      </c>
      <c r="G6" s="7">
        <v>3606.78</v>
      </c>
    </row>
    <row r="7" spans="1:7" x14ac:dyDescent="0.3">
      <c r="A7" t="s">
        <v>32</v>
      </c>
      <c r="B7" s="7">
        <v>2539.58</v>
      </c>
      <c r="C7" s="7">
        <v>2529.98</v>
      </c>
      <c r="D7" s="7">
        <v>1575.17</v>
      </c>
      <c r="E7" s="7">
        <v>1236.8900000000001</v>
      </c>
      <c r="F7" s="7">
        <v>2088.69</v>
      </c>
      <c r="G7" s="7">
        <v>2484.9</v>
      </c>
    </row>
    <row r="8" spans="1:7" x14ac:dyDescent="0.3">
      <c r="A8" t="s">
        <v>51</v>
      </c>
      <c r="B8" s="7">
        <f t="shared" ref="B8:G8" si="0">B6-B7</f>
        <v>1286.6500000000001</v>
      </c>
      <c r="C8" s="7">
        <f t="shared" si="0"/>
        <v>1176.6799999999998</v>
      </c>
      <c r="D8" s="7">
        <f t="shared" si="0"/>
        <v>1659.2599999999998</v>
      </c>
      <c r="E8" s="7">
        <f t="shared" si="0"/>
        <v>1397.5399999999997</v>
      </c>
      <c r="F8" s="7">
        <f t="shared" si="0"/>
        <v>859.92000000000007</v>
      </c>
      <c r="G8" s="7">
        <f t="shared" si="0"/>
        <v>1121.8800000000001</v>
      </c>
    </row>
    <row r="9" spans="1:7" ht="32.4" customHeight="1" x14ac:dyDescent="0.3">
      <c r="A9" s="6" t="s">
        <v>52</v>
      </c>
      <c r="B9" s="7">
        <f>B8-C8</f>
        <v>109.97000000000025</v>
      </c>
      <c r="C9" s="7">
        <f>C8-D8</f>
        <v>-482.57999999999993</v>
      </c>
      <c r="D9" s="7">
        <f>D8-E8</f>
        <v>261.72000000000003</v>
      </c>
      <c r="E9" s="7">
        <f>E8-F8</f>
        <v>537.61999999999966</v>
      </c>
      <c r="F9" s="7">
        <f>F8-G8</f>
        <v>-261.96000000000004</v>
      </c>
    </row>
    <row r="10" spans="1:7" ht="43.8" customHeight="1" x14ac:dyDescent="0.3">
      <c r="A10" s="5" t="s">
        <v>54</v>
      </c>
      <c r="B10">
        <v>152.61000000000001</v>
      </c>
      <c r="C10">
        <v>140.49</v>
      </c>
      <c r="D10">
        <v>120.51</v>
      </c>
      <c r="E10">
        <v>134.4</v>
      </c>
      <c r="F10" s="7">
        <v>138.66</v>
      </c>
    </row>
    <row r="11" spans="1:7" ht="28.8" x14ac:dyDescent="0.3">
      <c r="A11" s="5" t="s">
        <v>70</v>
      </c>
      <c r="B11">
        <v>40.5</v>
      </c>
      <c r="C11" s="7">
        <v>81</v>
      </c>
      <c r="D11" s="7">
        <v>0</v>
      </c>
      <c r="E11">
        <v>1.67</v>
      </c>
      <c r="F11">
        <v>226.4</v>
      </c>
      <c r="G11">
        <v>705.57</v>
      </c>
    </row>
    <row r="12" spans="1:7" x14ac:dyDescent="0.3">
      <c r="A12" t="s">
        <v>55</v>
      </c>
      <c r="B12" s="7">
        <f>B11-C11</f>
        <v>-40.5</v>
      </c>
      <c r="C12" s="7">
        <f>C11-D11</f>
        <v>81</v>
      </c>
      <c r="D12" s="7">
        <f>D11-E11</f>
        <v>-1.67</v>
      </c>
      <c r="E12" s="7">
        <f>E11-F11</f>
        <v>-224.73000000000002</v>
      </c>
      <c r="F12" s="7">
        <f>F11-G11</f>
        <v>-479.17000000000007</v>
      </c>
    </row>
    <row r="13" spans="1:7" ht="28.8" customHeight="1" x14ac:dyDescent="0.3">
      <c r="A13" s="5" t="s">
        <v>47</v>
      </c>
      <c r="B13" s="7">
        <f>(B5+B9-B10-B12)/'Normalised non-cash net income'!C6</f>
        <v>0.64600704164690637</v>
      </c>
      <c r="C13" s="7">
        <f>(C5+C9-C10-C12)/'Normalised non-cash net income'!D6</f>
        <v>1.5475054562515893</v>
      </c>
      <c r="D13" s="7">
        <f>(D5+D9-D10-D12)/'Normalised non-cash net income'!E6</f>
        <v>0.7903828479488525</v>
      </c>
      <c r="E13" s="7">
        <f>(E5+E9-E10-E12)/'Normalised non-cash net income'!F6</f>
        <v>0.66447435852460912</v>
      </c>
      <c r="F13" s="7">
        <f>(F5+F9-F10-F12)/'Normalised non-cash net income'!G6</f>
        <v>0.80052480404979398</v>
      </c>
    </row>
    <row r="15" spans="1:7" ht="14.4" customHeight="1" x14ac:dyDescent="0.3">
      <c r="A15" s="20" t="s">
        <v>68</v>
      </c>
      <c r="B15" s="20"/>
      <c r="C15" s="7">
        <f>AVERAGE(B13:F13,'Growth Rate Calculation'!N17)</f>
        <v>0.75159015164355536</v>
      </c>
    </row>
    <row r="17" spans="1:3" ht="16.8" customHeight="1" x14ac:dyDescent="0.3">
      <c r="A17" s="19" t="s">
        <v>66</v>
      </c>
      <c r="B17" s="19"/>
      <c r="C17" s="19"/>
    </row>
  </sheetData>
  <mergeCells count="2">
    <mergeCell ref="A17:C17"/>
    <mergeCell ref="A15:B15"/>
  </mergeCells>
  <phoneticPr fontId="19" type="noConversion"/>
  <hyperlinks>
    <hyperlink ref="A17:C17" r:id="rId1" display="Note: Equity reinvestment rate can be over 100%" xr:uid="{A890D90A-61A7-4EBD-8B96-2320E12B0D88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C4FCE-973B-4AEF-A18C-9CE3B9AAE5AD}">
  <sheetPr codeName="Sheet6"/>
  <dimension ref="A1:G8"/>
  <sheetViews>
    <sheetView workbookViewId="0">
      <selection activeCell="B7" sqref="B7"/>
    </sheetView>
  </sheetViews>
  <sheetFormatPr defaultRowHeight="14.4" x14ac:dyDescent="0.3"/>
  <cols>
    <col min="1" max="1" width="16.33203125" customWidth="1"/>
    <col min="2" max="2" width="13.77734375" customWidth="1"/>
    <col min="3" max="3" width="15.77734375" customWidth="1"/>
    <col min="4" max="4" width="14.88671875" customWidth="1"/>
    <col min="5" max="5" width="14.33203125" customWidth="1"/>
    <col min="6" max="6" width="14.44140625" customWidth="1"/>
    <col min="7" max="7" width="13.77734375" customWidth="1"/>
  </cols>
  <sheetData>
    <row r="1" spans="1:7" x14ac:dyDescent="0.3">
      <c r="B1" t="s">
        <v>49</v>
      </c>
      <c r="C1" t="s">
        <v>50</v>
      </c>
      <c r="D1" t="s">
        <v>58</v>
      </c>
      <c r="E1" t="s">
        <v>59</v>
      </c>
      <c r="F1" t="s">
        <v>60</v>
      </c>
      <c r="G1" t="s">
        <v>64</v>
      </c>
    </row>
    <row r="2" spans="1:7" x14ac:dyDescent="0.3">
      <c r="A2" t="s">
        <v>29</v>
      </c>
      <c r="B2">
        <f>'Growth Rate Calculation'!B3</f>
        <v>735.35</v>
      </c>
      <c r="C2">
        <v>787.61</v>
      </c>
      <c r="D2">
        <v>660.97</v>
      </c>
      <c r="E2">
        <v>494.11</v>
      </c>
      <c r="F2">
        <v>1300.45</v>
      </c>
      <c r="G2">
        <v>385.42</v>
      </c>
    </row>
    <row r="3" spans="1:7" ht="43.2" customHeight="1" x14ac:dyDescent="0.3">
      <c r="A3" s="5" t="s">
        <v>43</v>
      </c>
      <c r="B3">
        <v>76.599999999999994</v>
      </c>
      <c r="C3">
        <v>79.62</v>
      </c>
      <c r="D3">
        <v>45.6</v>
      </c>
      <c r="E3">
        <v>99.19</v>
      </c>
      <c r="F3">
        <v>53.13</v>
      </c>
      <c r="G3">
        <v>34.590000000000003</v>
      </c>
    </row>
    <row r="4" spans="1:7" x14ac:dyDescent="0.3">
      <c r="A4" s="5" t="s">
        <v>67</v>
      </c>
      <c r="B4">
        <v>0.25168000000000001</v>
      </c>
      <c r="C4">
        <v>0.34943999999999997</v>
      </c>
      <c r="D4">
        <v>0.34608</v>
      </c>
      <c r="E4">
        <v>0.34608</v>
      </c>
      <c r="F4">
        <v>0.34608</v>
      </c>
      <c r="G4">
        <v>0.33989999999999998</v>
      </c>
    </row>
    <row r="5" spans="1:7" ht="43.2" x14ac:dyDescent="0.3">
      <c r="A5" s="5" t="s">
        <v>45</v>
      </c>
      <c r="B5">
        <f>B3*(1-B4)</f>
        <v>57.321311999999992</v>
      </c>
      <c r="C5">
        <f t="shared" ref="C5:F5" si="0">C3*(1-C4)</f>
        <v>51.797587200000002</v>
      </c>
      <c r="D5">
        <f t="shared" si="0"/>
        <v>29.818752000000003</v>
      </c>
      <c r="E5">
        <f t="shared" si="0"/>
        <v>64.86232480000001</v>
      </c>
      <c r="F5">
        <f t="shared" si="0"/>
        <v>34.742769600000003</v>
      </c>
      <c r="G5">
        <f>G3*(1-G4)</f>
        <v>22.832859000000003</v>
      </c>
    </row>
    <row r="6" spans="1:7" ht="28.8" x14ac:dyDescent="0.3">
      <c r="A6" s="6" t="s">
        <v>57</v>
      </c>
      <c r="B6">
        <f>B2-B5</f>
        <v>678.02868799999999</v>
      </c>
      <c r="C6">
        <f t="shared" ref="C6:F6" si="1">C2-C5</f>
        <v>735.81241280000006</v>
      </c>
      <c r="D6">
        <f t="shared" si="1"/>
        <v>631.15124800000001</v>
      </c>
      <c r="E6">
        <f t="shared" si="1"/>
        <v>429.2476752</v>
      </c>
      <c r="F6">
        <f t="shared" si="1"/>
        <v>1265.7072304000001</v>
      </c>
      <c r="G6">
        <f>G2-G5</f>
        <v>362.58714100000003</v>
      </c>
    </row>
    <row r="8" spans="1:7" ht="28.8" x14ac:dyDescent="0.3">
      <c r="A8" s="5" t="s">
        <v>62</v>
      </c>
      <c r="B8">
        <f>AVERAGE(B6:G6)</f>
        <v>683.75573256666667</v>
      </c>
    </row>
  </sheetData>
  <phoneticPr fontId="19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754DD-0997-498D-B285-4790B774228A}">
  <sheetPr codeName="Sheet7"/>
  <dimension ref="A1:L41"/>
  <sheetViews>
    <sheetView zoomScale="82" zoomScaleNormal="100" workbookViewId="0">
      <selection activeCell="F32" sqref="F32"/>
    </sheetView>
  </sheetViews>
  <sheetFormatPr defaultRowHeight="14.4" x14ac:dyDescent="0.3"/>
  <cols>
    <col min="1" max="1" width="18.109375" customWidth="1"/>
    <col min="2" max="2" width="14.33203125" customWidth="1"/>
    <col min="3" max="3" width="14" customWidth="1"/>
    <col min="4" max="4" width="13.109375" customWidth="1"/>
    <col min="5" max="5" width="13.77734375" customWidth="1"/>
    <col min="6" max="6" width="13.5546875" customWidth="1"/>
    <col min="7" max="7" width="13.77734375" customWidth="1"/>
    <col min="8" max="9" width="13.6640625" customWidth="1"/>
    <col min="10" max="10" width="14.77734375" customWidth="1"/>
    <col min="11" max="11" width="13.5546875" customWidth="1"/>
    <col min="12" max="12" width="14" customWidth="1"/>
  </cols>
  <sheetData>
    <row r="1" spans="1:12" x14ac:dyDescent="0.3">
      <c r="A1" t="s">
        <v>74</v>
      </c>
    </row>
    <row r="3" spans="1:12" x14ac:dyDescent="0.3">
      <c r="A3" t="s">
        <v>75</v>
      </c>
    </row>
    <row r="4" spans="1:12" x14ac:dyDescent="0.3">
      <c r="A4" t="s">
        <v>76</v>
      </c>
    </row>
    <row r="5" spans="1:12" x14ac:dyDescent="0.3">
      <c r="D5" s="13" t="s">
        <v>109</v>
      </c>
      <c r="E5" s="13"/>
      <c r="F5" s="13"/>
      <c r="G5" s="13"/>
      <c r="H5" s="13"/>
      <c r="I5" s="13" t="s">
        <v>110</v>
      </c>
      <c r="J5" s="13"/>
      <c r="K5" s="13"/>
      <c r="L5" s="13"/>
    </row>
    <row r="6" spans="1:12" x14ac:dyDescent="0.3">
      <c r="B6" s="10" t="s">
        <v>84</v>
      </c>
      <c r="C6">
        <v>1</v>
      </c>
      <c r="D6">
        <v>2</v>
      </c>
      <c r="E6">
        <v>3</v>
      </c>
      <c r="F6">
        <v>4</v>
      </c>
      <c r="G6">
        <v>5</v>
      </c>
      <c r="H6">
        <v>6</v>
      </c>
      <c r="I6">
        <v>7</v>
      </c>
      <c r="J6">
        <v>8</v>
      </c>
      <c r="K6">
        <v>9</v>
      </c>
      <c r="L6">
        <v>10</v>
      </c>
    </row>
    <row r="7" spans="1:12" x14ac:dyDescent="0.3">
      <c r="B7" t="s">
        <v>49</v>
      </c>
      <c r="C7" t="s">
        <v>77</v>
      </c>
      <c r="D7" t="s">
        <v>78</v>
      </c>
      <c r="E7" t="s">
        <v>79</v>
      </c>
      <c r="F7" t="s">
        <v>80</v>
      </c>
      <c r="G7" t="s">
        <v>81</v>
      </c>
      <c r="H7" t="s">
        <v>82</v>
      </c>
      <c r="I7" t="s">
        <v>104</v>
      </c>
      <c r="J7" t="s">
        <v>105</v>
      </c>
      <c r="K7" t="s">
        <v>106</v>
      </c>
      <c r="L7" t="s">
        <v>107</v>
      </c>
    </row>
    <row r="8" spans="1:12" x14ac:dyDescent="0.3">
      <c r="A8" t="s">
        <v>83</v>
      </c>
      <c r="B8">
        <f>'Growth Rate Calculation'!D19</f>
        <v>1.0168502371496533E-2</v>
      </c>
      <c r="C8">
        <v>0</v>
      </c>
      <c r="D8">
        <f>((3.176113919*10^(-3))*1)^0.5</f>
        <v>5.6357021913866247E-2</v>
      </c>
      <c r="E8">
        <f>((3.176113919*10^(-3))*2)^0.5</f>
        <v>7.9700864725547368E-2</v>
      </c>
      <c r="F8">
        <f>((3.176113919*10^(-3))*3)^0.5</f>
        <v>9.7613225318088942E-2</v>
      </c>
      <c r="G8">
        <f>((3.176113919*10^(-3))*4)^0.5</f>
        <v>0.11271404382773249</v>
      </c>
      <c r="H8">
        <f>'Growth Rate Calculation'!D21</f>
        <v>0.12601813228761649</v>
      </c>
      <c r="I8">
        <f>H8+(1*(L8-H8)/4)</f>
        <v>0.11129701066272188</v>
      </c>
      <c r="J8">
        <f>H8+(2*(L8-H8)/4)</f>
        <v>9.6575889037827267E-2</v>
      </c>
      <c r="K8">
        <f>H8+(3*(L8-H8)/4)</f>
        <v>8.1854767412932641E-2</v>
      </c>
      <c r="L8">
        <f>E19</f>
        <v>6.7133645788038029E-2</v>
      </c>
    </row>
    <row r="9" spans="1:12" x14ac:dyDescent="0.3">
      <c r="A9" t="s">
        <v>29</v>
      </c>
      <c r="B9">
        <f>'Normalised non-cash net income'!B8</f>
        <v>683.75573256666667</v>
      </c>
      <c r="C9">
        <f>(1+B8)*B9</f>
        <v>690.7085043547952</v>
      </c>
      <c r="D9">
        <f>C9*(1+C8)</f>
        <v>690.7085043547952</v>
      </c>
      <c r="E9">
        <f t="shared" ref="E9:H9" si="0">D9*(1+D8)</f>
        <v>729.63477867081224</v>
      </c>
      <c r="F9">
        <f t="shared" si="0"/>
        <v>787.78730146470923</v>
      </c>
      <c r="G9">
        <f t="shared" si="0"/>
        <v>864.6857608253132</v>
      </c>
      <c r="H9">
        <f t="shared" si="0"/>
        <v>962.14798956819379</v>
      </c>
      <c r="I9">
        <f>(1+H8)*H9</f>
        <v>1083.3960821978628</v>
      </c>
      <c r="J9">
        <f>I9*(1+I8)</f>
        <v>1203.9748275101895</v>
      </c>
      <c r="K9">
        <f t="shared" ref="K9" si="1">J9*(1+J8)</f>
        <v>1320.2497668561507</v>
      </c>
      <c r="L9">
        <f t="shared" ref="L9" si="2">K9*(1+K8)</f>
        <v>1428.3185044491395</v>
      </c>
    </row>
    <row r="10" spans="1:12" ht="27.6" customHeight="1" x14ac:dyDescent="0.3">
      <c r="A10" s="5" t="s">
        <v>85</v>
      </c>
      <c r="B10">
        <f>B8/'Growth Rate Calculation'!B11</f>
        <v>6.0646401439580354E-2</v>
      </c>
      <c r="C10">
        <f>C8/'Growth Rate Calculation'!B11</f>
        <v>0</v>
      </c>
      <c r="D10">
        <f>D8/'Growth Rate Calculation'!B11</f>
        <v>0.33612133331533489</v>
      </c>
      <c r="E10">
        <f>E8/'Growth Rate Calculation'!B11</f>
        <v>0.47534734817747426</v>
      </c>
      <c r="F10">
        <f>F8/'Growth Rate Calculation'!B11</f>
        <v>0.5821792268099536</v>
      </c>
      <c r="G10">
        <f>G8/'Growth Rate Calculation'!B11</f>
        <v>0.67224266663066978</v>
      </c>
      <c r="H10">
        <f>H8/'Growth Rate Calculation'!B11</f>
        <v>0.75159015164355547</v>
      </c>
      <c r="I10">
        <f>H10</f>
        <v>0.75159015164355547</v>
      </c>
      <c r="J10">
        <f>I10</f>
        <v>0.75159015164355547</v>
      </c>
      <c r="K10">
        <f>J10</f>
        <v>0.75159015164355547</v>
      </c>
      <c r="L10">
        <f>K10</f>
        <v>0.75159015164355547</v>
      </c>
    </row>
    <row r="11" spans="1:12" x14ac:dyDescent="0.3">
      <c r="A11" t="s">
        <v>86</v>
      </c>
      <c r="B11">
        <f>B9*(1-B10)</f>
        <v>642.28840792281426</v>
      </c>
      <c r="C11">
        <f t="shared" ref="C11:D11" si="3">C9*(1-C10)</f>
        <v>690.7085043547952</v>
      </c>
      <c r="D11">
        <f t="shared" si="3"/>
        <v>458.54664093882064</v>
      </c>
      <c r="E11">
        <f t="shared" ref="E11:F11" si="4">E9*(1-E10)</f>
        <v>382.80482149158331</v>
      </c>
      <c r="F11">
        <f t="shared" si="4"/>
        <v>329.153899407285</v>
      </c>
      <c r="G11">
        <f t="shared" ref="G11:L11" si="5">G9*(1-G10)</f>
        <v>283.4070991705351</v>
      </c>
      <c r="H11">
        <f t="shared" si="5"/>
        <v>239.007036185093</v>
      </c>
      <c r="I11">
        <f t="shared" si="5"/>
        <v>269.12625648873723</v>
      </c>
      <c r="J11">
        <f t="shared" si="5"/>
        <v>299.07920432678264</v>
      </c>
      <c r="K11">
        <f t="shared" si="5"/>
        <v>327.96304437736762</v>
      </c>
      <c r="L11">
        <f t="shared" si="5"/>
        <v>354.8083830949144</v>
      </c>
    </row>
    <row r="12" spans="1:12" ht="41.4" customHeight="1" x14ac:dyDescent="0.3">
      <c r="A12" s="5" t="s">
        <v>87</v>
      </c>
      <c r="C12">
        <f>'Cost of Equity'!B5/100</f>
        <v>8.932214670619637E-2</v>
      </c>
      <c r="D12">
        <f>C12</f>
        <v>8.932214670619637E-2</v>
      </c>
      <c r="E12">
        <f>D12</f>
        <v>8.932214670619637E-2</v>
      </c>
      <c r="F12">
        <f t="shared" ref="F12:H12" si="6">E12</f>
        <v>8.932214670619637E-2</v>
      </c>
      <c r="G12">
        <f t="shared" si="6"/>
        <v>8.932214670619637E-2</v>
      </c>
      <c r="H12">
        <f t="shared" si="6"/>
        <v>8.932214670619637E-2</v>
      </c>
      <c r="I12">
        <f t="shared" ref="I12" si="7">H12</f>
        <v>8.932214670619637E-2</v>
      </c>
      <c r="J12">
        <f t="shared" ref="J12" si="8">I12</f>
        <v>8.932214670619637E-2</v>
      </c>
      <c r="K12">
        <f t="shared" ref="K12" si="9">J12</f>
        <v>8.932214670619637E-2</v>
      </c>
      <c r="L12">
        <f t="shared" ref="L12" si="10">K12</f>
        <v>8.932214670619637E-2</v>
      </c>
    </row>
    <row r="13" spans="1:12" ht="27" customHeight="1" x14ac:dyDescent="0.3">
      <c r="A13" s="5" t="s">
        <v>88</v>
      </c>
      <c r="C13">
        <f>(1+C12)^1</f>
        <v>1.0893221467061964</v>
      </c>
      <c r="D13">
        <f>(1+D12)^2</f>
        <v>1.1866227393045961</v>
      </c>
      <c r="E13">
        <f>(1+E12)^3</f>
        <v>1.2926144297096698</v>
      </c>
      <c r="F13">
        <f>(1+F12)^4</f>
        <v>1.4080735254347434</v>
      </c>
      <c r="G13">
        <f>(1+G12)^5</f>
        <v>1.5338456754467367</v>
      </c>
      <c r="H13">
        <f>(1+H12)^6</f>
        <v>1.670852063893655</v>
      </c>
      <c r="I13">
        <f>(1+I12)^7</f>
        <v>1.820096157069115</v>
      </c>
      <c r="J13">
        <f>(1+J12)^8</f>
        <v>1.9826710530302269</v>
      </c>
      <c r="K13">
        <f>(1+K12)^9</f>
        <v>2.159767487699122</v>
      </c>
      <c r="L13">
        <f>(1+L12)^10</f>
        <v>2.352682556086656</v>
      </c>
    </row>
    <row r="14" spans="1:12" x14ac:dyDescent="0.3">
      <c r="A14" s="5" t="s">
        <v>89</v>
      </c>
      <c r="C14">
        <f>C11/C13</f>
        <v>634.07184591197688</v>
      </c>
      <c r="D14">
        <f t="shared" ref="D14:L14" si="11">D11/D13</f>
        <v>386.43001330612088</v>
      </c>
      <c r="E14">
        <f t="shared" si="11"/>
        <v>296.14772409554791</v>
      </c>
      <c r="F14">
        <f t="shared" si="11"/>
        <v>233.76186929276903</v>
      </c>
      <c r="G14">
        <f t="shared" si="11"/>
        <v>184.76897885309879</v>
      </c>
      <c r="H14">
        <f t="shared" si="11"/>
        <v>143.04500161918889</v>
      </c>
      <c r="I14">
        <f t="shared" si="11"/>
        <v>147.86375733143072</v>
      </c>
      <c r="J14">
        <f t="shared" si="11"/>
        <v>150.84660860392509</v>
      </c>
      <c r="K14">
        <f t="shared" si="11"/>
        <v>151.85108871453494</v>
      </c>
      <c r="L14">
        <f t="shared" si="11"/>
        <v>150.81013891014959</v>
      </c>
    </row>
    <row r="15" spans="1:12" x14ac:dyDescent="0.3">
      <c r="A15" s="5" t="s">
        <v>90</v>
      </c>
      <c r="L15">
        <f>SUM(C14:L14)</f>
        <v>2479.5970266387421</v>
      </c>
    </row>
    <row r="17" spans="1:11" ht="16.2" customHeight="1" x14ac:dyDescent="0.3">
      <c r="A17" s="20" t="s">
        <v>114</v>
      </c>
      <c r="B17" s="20"/>
      <c r="C17" s="20"/>
      <c r="D17" s="20"/>
      <c r="E17" s="20"/>
      <c r="F17" s="20"/>
      <c r="G17" s="20"/>
      <c r="H17" s="20"/>
      <c r="I17" s="20"/>
      <c r="J17" s="20"/>
      <c r="K17" s="20"/>
    </row>
    <row r="18" spans="1:11" ht="28.8" x14ac:dyDescent="0.3">
      <c r="A18" s="5" t="s">
        <v>111</v>
      </c>
      <c r="B18">
        <f>L9*(1+L8)</f>
        <v>1524.2067329993283</v>
      </c>
    </row>
    <row r="19" spans="1:11" ht="28.8" x14ac:dyDescent="0.3">
      <c r="A19" s="5" t="s">
        <v>116</v>
      </c>
      <c r="B19">
        <f>H10</f>
        <v>0.75159015164355547</v>
      </c>
      <c r="D19" s="5" t="s">
        <v>108</v>
      </c>
      <c r="E19">
        <f>E27*B19</f>
        <v>6.7133645788038029E-2</v>
      </c>
      <c r="F19" t="s">
        <v>121</v>
      </c>
    </row>
    <row r="20" spans="1:11" x14ac:dyDescent="0.3">
      <c r="A20" s="5" t="s">
        <v>115</v>
      </c>
      <c r="B20">
        <f>B18*(1-B19)</f>
        <v>378.6279634082349</v>
      </c>
    </row>
    <row r="21" spans="1:11" x14ac:dyDescent="0.3">
      <c r="A21" s="5" t="s">
        <v>91</v>
      </c>
      <c r="B21">
        <f>B20/(E27-E19)</f>
        <v>17064.152499747219</v>
      </c>
    </row>
    <row r="22" spans="1:11" ht="28.8" x14ac:dyDescent="0.3">
      <c r="A22" s="5" t="s">
        <v>92</v>
      </c>
      <c r="B22">
        <f>B21/(1+C12)^10</f>
        <v>7253.0620230087252</v>
      </c>
      <c r="D22" t="s">
        <v>98</v>
      </c>
    </row>
    <row r="24" spans="1:11" ht="28.8" x14ac:dyDescent="0.3">
      <c r="A24" s="5" t="s">
        <v>93</v>
      </c>
      <c r="B24">
        <f>B22+L15</f>
        <v>9732.6590496474673</v>
      </c>
      <c r="D24" t="s">
        <v>20</v>
      </c>
      <c r="E24">
        <f>5.83/100</f>
        <v>5.8299999999999998E-2</v>
      </c>
    </row>
    <row r="25" spans="1:11" ht="29.4" customHeight="1" x14ac:dyDescent="0.3">
      <c r="A25" s="5" t="s">
        <v>94</v>
      </c>
      <c r="B25">
        <f>'Growth Rate Calculation'!B5</f>
        <v>267.7</v>
      </c>
      <c r="D25" t="s">
        <v>23</v>
      </c>
      <c r="E25">
        <f>8.50190527928978/100</f>
        <v>8.5019052792897801E-2</v>
      </c>
    </row>
    <row r="26" spans="1:11" x14ac:dyDescent="0.3">
      <c r="A26" s="5" t="s">
        <v>95</v>
      </c>
      <c r="B26">
        <f>B24+B25</f>
        <v>10000.359049647468</v>
      </c>
      <c r="D26" t="s">
        <v>24</v>
      </c>
      <c r="E26">
        <f>'Beta Calculation'!I70</f>
        <v>1.1610496429889297</v>
      </c>
    </row>
    <row r="27" spans="1:11" x14ac:dyDescent="0.3">
      <c r="A27" s="5" t="s">
        <v>96</v>
      </c>
      <c r="B27" s="11">
        <v>625802834</v>
      </c>
      <c r="D27" t="s">
        <v>19</v>
      </c>
      <c r="E27">
        <f>E24+(E26*(E25-E24))</f>
        <v>8.9322146706196356E-2</v>
      </c>
    </row>
    <row r="29" spans="1:11" ht="28.8" x14ac:dyDescent="0.3">
      <c r="A29" s="5" t="s">
        <v>97</v>
      </c>
      <c r="B29">
        <f>(B26*10^7)/B27</f>
        <v>159.80047558633248</v>
      </c>
    </row>
    <row r="31" spans="1:11" ht="15" customHeight="1" x14ac:dyDescent="0.3">
      <c r="A31" s="20" t="s">
        <v>99</v>
      </c>
      <c r="B31" s="20"/>
      <c r="C31" s="20"/>
      <c r="D31" s="20"/>
      <c r="E31" s="5"/>
    </row>
    <row r="33" spans="1:8" x14ac:dyDescent="0.3">
      <c r="A33" t="s">
        <v>100</v>
      </c>
    </row>
    <row r="35" spans="1:8" ht="14.4" customHeight="1" x14ac:dyDescent="0.3">
      <c r="A35" s="21" t="s">
        <v>113</v>
      </c>
      <c r="B35" s="21"/>
      <c r="C35" s="21"/>
      <c r="D35" s="21"/>
      <c r="E35" s="21"/>
      <c r="F35" s="21"/>
      <c r="G35" s="21"/>
      <c r="H35" s="21"/>
    </row>
    <row r="36" spans="1:8" x14ac:dyDescent="0.3">
      <c r="A36" s="21"/>
      <c r="B36" s="21"/>
      <c r="C36" s="21"/>
      <c r="D36" s="21"/>
      <c r="E36" s="21"/>
      <c r="F36" s="21"/>
      <c r="G36" s="21"/>
      <c r="H36" s="21"/>
    </row>
    <row r="37" spans="1:8" x14ac:dyDescent="0.3">
      <c r="A37" t="s">
        <v>101</v>
      </c>
    </row>
    <row r="38" spans="1:8" x14ac:dyDescent="0.3">
      <c r="A38" s="12" t="s">
        <v>102</v>
      </c>
    </row>
    <row r="39" spans="1:8" x14ac:dyDescent="0.3">
      <c r="A39" s="12" t="s">
        <v>103</v>
      </c>
    </row>
    <row r="40" spans="1:8" x14ac:dyDescent="0.3">
      <c r="A40" s="12" t="s">
        <v>112</v>
      </c>
    </row>
    <row r="41" spans="1:8" x14ac:dyDescent="0.3">
      <c r="A41" t="s">
        <v>120</v>
      </c>
    </row>
  </sheetData>
  <mergeCells count="5">
    <mergeCell ref="D5:H5"/>
    <mergeCell ref="I5:L5"/>
    <mergeCell ref="A31:D31"/>
    <mergeCell ref="A35:H36"/>
    <mergeCell ref="A17:K17"/>
  </mergeCells>
  <phoneticPr fontId="19" type="noConversion"/>
  <hyperlinks>
    <hyperlink ref="A38" r:id="rId1" xr:uid="{6CD7EC69-3A94-471A-B7DA-169C16119362}"/>
    <hyperlink ref="A39" r:id="rId2" xr:uid="{E8DB9718-B211-418F-861B-EC2657CD7D19}"/>
    <hyperlink ref="A40" r:id="rId3" xr:uid="{5BA5CFE4-5B71-4A51-B5DF-47A5D9294CF0}"/>
  </hyperlinks>
  <pageMargins left="0.7" right="0.7" top="0.75" bottom="0.75" header="0.3" footer="0.3"/>
  <pageSetup paperSize="9" orientation="portrait" r:id="rId4"/>
  <ignoredErrors>
    <ignoredError sqref="I9 I11:L11" formula="1"/>
  </ignoredErrors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Beta Calculation</vt:lpstr>
      <vt:lpstr>Cost of Equity</vt:lpstr>
      <vt:lpstr>WACC Calculation</vt:lpstr>
      <vt:lpstr>Growth Rate Calculation</vt:lpstr>
      <vt:lpstr>Stable period equity reinvestme</vt:lpstr>
      <vt:lpstr>Normalised non-cash net income</vt:lpstr>
      <vt:lpstr>FCFE Projections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Pratik Sanghavi</dc:creator>
  <cp:lastModifiedBy>Pratik Sanghavi</cp:lastModifiedBy>
  <dcterms:created xsi:type="dcterms:W3CDTF">2020-11-04T09:49:36Z</dcterms:created>
  <dcterms:modified xsi:type="dcterms:W3CDTF">2020-11-21T18:17:28Z</dcterms:modified>
</cp:coreProperties>
</file>