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pratik_a_jadhav_capgemini_com1/Documents/Desktop/Pratik/Data Science/Assignment 2/"/>
    </mc:Choice>
  </mc:AlternateContent>
  <xr:revisionPtr revIDLastSave="1532" documentId="8_{95A5B135-EC33-43D6-9DFF-D55CAE9B9D66}" xr6:coauthVersionLast="47" xr6:coauthVersionMax="47" xr10:uidLastSave="{E4659469-05FD-49CD-A16A-59C93060A9AF}"/>
  <bookViews>
    <workbookView xWindow="-110" yWindow="-110" windowWidth="19420" windowHeight="10300" tabRatio="780" xr2:uid="{3BE4EA96-BC24-44AA-9D88-0AC6F1E4D47A}"/>
  </bookViews>
  <sheets>
    <sheet name="Basic Data" sheetId="3" r:id="rId1"/>
    <sheet name="Menu Card" sheetId="2" r:id="rId2"/>
    <sheet name="First 3 Months" sheetId="1" r:id="rId3"/>
    <sheet name="Profit Analysis" sheetId="7" r:id="rId4"/>
    <sheet name="Next 4 Months" sheetId="4" r:id="rId5"/>
    <sheet name="Loss Analysis" sheetId="8" r:id="rId6"/>
    <sheet name="After Solution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8" i="4" l="1"/>
  <c r="T44" i="4"/>
  <c r="S44" i="4"/>
  <c r="S46" i="4"/>
  <c r="S43" i="4"/>
  <c r="G6" i="1"/>
  <c r="AF10" i="4"/>
  <c r="AF9" i="4"/>
  <c r="T47" i="4" s="1"/>
  <c r="AF8" i="4"/>
  <c r="T46" i="4" s="1"/>
  <c r="AF6" i="4"/>
  <c r="AF7" i="4"/>
  <c r="T45" i="4" s="1"/>
  <c r="AF5" i="4"/>
  <c r="T43" i="4" s="1"/>
  <c r="AE10" i="4"/>
  <c r="S48" i="4" s="1"/>
  <c r="AE9" i="4"/>
  <c r="S47" i="4" s="1"/>
  <c r="AE8" i="4"/>
  <c r="AE6" i="4"/>
  <c r="AC10" i="4"/>
  <c r="AB10" i="4"/>
  <c r="AD10" i="4" s="1"/>
  <c r="AC9" i="4"/>
  <c r="AB9" i="4"/>
  <c r="AD9" i="4" s="1"/>
  <c r="AC8" i="4"/>
  <c r="AB8" i="4"/>
  <c r="AD8" i="4" s="1"/>
  <c r="AC7" i="4"/>
  <c r="AB7" i="4"/>
  <c r="AD7" i="4" s="1"/>
  <c r="AC6" i="4"/>
  <c r="AB6" i="4"/>
  <c r="AC5" i="4"/>
  <c r="AB5" i="4"/>
  <c r="AD5" i="4" s="1"/>
  <c r="V10" i="4"/>
  <c r="U10" i="4"/>
  <c r="W10" i="4" s="1"/>
  <c r="V9" i="4"/>
  <c r="U9" i="4"/>
  <c r="W9" i="4" s="1"/>
  <c r="W8" i="4"/>
  <c r="V8" i="4"/>
  <c r="U8" i="4"/>
  <c r="V7" i="4"/>
  <c r="U7" i="4"/>
  <c r="W7" i="4" s="1"/>
  <c r="V6" i="4"/>
  <c r="U6" i="4"/>
  <c r="W6" i="4" s="1"/>
  <c r="V5" i="4"/>
  <c r="U5" i="4"/>
  <c r="W5" i="4" s="1"/>
  <c r="O10" i="4"/>
  <c r="N10" i="4"/>
  <c r="P10" i="4" s="1"/>
  <c r="O9" i="4"/>
  <c r="N9" i="4"/>
  <c r="P9" i="4" s="1"/>
  <c r="O8" i="4"/>
  <c r="N8" i="4"/>
  <c r="P8" i="4" s="1"/>
  <c r="O7" i="4"/>
  <c r="N7" i="4"/>
  <c r="P7" i="4" s="1"/>
  <c r="O6" i="4"/>
  <c r="N6" i="4"/>
  <c r="P6" i="4" s="1"/>
  <c r="O5" i="4"/>
  <c r="N5" i="4"/>
  <c r="AE7" i="4"/>
  <c r="S45" i="4" s="1"/>
  <c r="AE5" i="4"/>
  <c r="H10" i="4"/>
  <c r="H9" i="4"/>
  <c r="H8" i="4"/>
  <c r="H6" i="4"/>
  <c r="H7" i="4"/>
  <c r="H5" i="4"/>
  <c r="G10" i="4"/>
  <c r="G9" i="4"/>
  <c r="G8" i="4"/>
  <c r="G6" i="4"/>
  <c r="G7" i="4"/>
  <c r="G5" i="4"/>
  <c r="R13" i="1"/>
  <c r="W16" i="1"/>
  <c r="L13" i="5"/>
  <c r="L14" i="5"/>
  <c r="L15" i="5"/>
  <c r="L12" i="5"/>
  <c r="M9" i="5"/>
  <c r="L10" i="5"/>
  <c r="L9" i="5"/>
  <c r="L8" i="5"/>
  <c r="L6" i="5"/>
  <c r="M6" i="5" s="1"/>
  <c r="L7" i="5"/>
  <c r="M7" i="5" s="1"/>
  <c r="L5" i="5"/>
  <c r="K10" i="5"/>
  <c r="M10" i="5" s="1"/>
  <c r="K9" i="5"/>
  <c r="K8" i="5"/>
  <c r="K7" i="5"/>
  <c r="K6" i="5"/>
  <c r="K5" i="5"/>
  <c r="M5" i="5" s="1"/>
  <c r="S21" i="1"/>
  <c r="S22" i="1"/>
  <c r="S23" i="1"/>
  <c r="N20" i="1"/>
  <c r="S20" i="1" s="1"/>
  <c r="AF15" i="4"/>
  <c r="T53" i="4" s="1"/>
  <c r="AF14" i="4"/>
  <c r="T52" i="4" s="1"/>
  <c r="AF13" i="4"/>
  <c r="T51" i="4" s="1"/>
  <c r="AF12" i="4"/>
  <c r="T50" i="4" s="1"/>
  <c r="F11" i="1"/>
  <c r="E11" i="1"/>
  <c r="D11" i="1"/>
  <c r="C11" i="1"/>
  <c r="R7" i="1"/>
  <c r="S7" i="1"/>
  <c r="R8" i="1"/>
  <c r="S8" i="1"/>
  <c r="R9" i="1"/>
  <c r="S9" i="1"/>
  <c r="R10" i="1"/>
  <c r="S10" i="1"/>
  <c r="R11" i="1"/>
  <c r="S11" i="1"/>
  <c r="S6" i="1"/>
  <c r="R6" i="1"/>
  <c r="H16" i="1"/>
  <c r="H14" i="1"/>
  <c r="H15" i="1"/>
  <c r="H13" i="1"/>
  <c r="R18" i="1"/>
  <c r="S18" i="1"/>
  <c r="G10" i="1"/>
  <c r="G9" i="1"/>
  <c r="G8" i="1"/>
  <c r="G7" i="1"/>
  <c r="S14" i="1"/>
  <c r="S13" i="1"/>
  <c r="S17" i="1"/>
  <c r="S15" i="1"/>
  <c r="R17" i="1"/>
  <c r="R14" i="1"/>
  <c r="R15" i="1"/>
  <c r="H10" i="1"/>
  <c r="H9" i="1"/>
  <c r="H8" i="1"/>
  <c r="H7" i="1"/>
  <c r="H6" i="1"/>
  <c r="G16" i="1"/>
  <c r="G15" i="1"/>
  <c r="G14" i="1"/>
  <c r="G13" i="1"/>
  <c r="L16" i="5" l="1"/>
  <c r="M8" i="5"/>
  <c r="T49" i="4"/>
  <c r="S54" i="4"/>
  <c r="T54" i="4"/>
  <c r="AD6" i="4"/>
  <c r="P5" i="4"/>
  <c r="S49" i="4"/>
  <c r="I9" i="4"/>
  <c r="I6" i="4"/>
  <c r="I7" i="4"/>
  <c r="I10" i="4"/>
  <c r="I5" i="4"/>
  <c r="I8" i="4"/>
  <c r="X16" i="1"/>
  <c r="Y16" i="1" s="1"/>
  <c r="K11" i="5"/>
  <c r="K16" i="5"/>
  <c r="M11" i="5"/>
  <c r="L11" i="5"/>
  <c r="T6" i="1"/>
  <c r="T8" i="1"/>
  <c r="T10" i="1"/>
  <c r="T11" i="1"/>
  <c r="T7" i="1"/>
  <c r="T9" i="1"/>
  <c r="T18" i="1"/>
  <c r="I14" i="1"/>
  <c r="I6" i="1"/>
  <c r="H19" i="1"/>
  <c r="G19" i="1"/>
  <c r="R16" i="1"/>
  <c r="R19" i="1" s="1"/>
  <c r="S16" i="1"/>
  <c r="S19" i="1" s="1"/>
  <c r="T15" i="1"/>
  <c r="T14" i="1"/>
  <c r="T13" i="1"/>
  <c r="T17" i="1"/>
  <c r="H11" i="1"/>
  <c r="I9" i="1"/>
  <c r="G11" i="1"/>
  <c r="I10" i="1"/>
  <c r="I16" i="1"/>
  <c r="I8" i="1"/>
  <c r="I7" i="1"/>
  <c r="I13" i="1"/>
  <c r="I15" i="1"/>
  <c r="M16" i="5" l="1"/>
  <c r="U54" i="4"/>
  <c r="S24" i="1"/>
  <c r="AG9" i="4"/>
  <c r="U47" i="4" s="1"/>
  <c r="H24" i="1"/>
  <c r="AG7" i="4"/>
  <c r="U45" i="4" s="1"/>
  <c r="AG8" i="4"/>
  <c r="U46" i="4" s="1"/>
  <c r="R24" i="1"/>
  <c r="I11" i="1"/>
  <c r="G24" i="1"/>
  <c r="I24" i="1" s="1"/>
  <c r="T16" i="1"/>
  <c r="T19" i="1" s="1"/>
  <c r="I19" i="1"/>
  <c r="AF16" i="4" l="1"/>
  <c r="AG10" i="4"/>
  <c r="U48" i="4" s="1"/>
  <c r="AG6" i="4"/>
  <c r="U44" i="4" s="1"/>
  <c r="AF11" i="4"/>
  <c r="AE16" i="4"/>
  <c r="AG5" i="4"/>
  <c r="U43" i="4" s="1"/>
  <c r="AE11" i="4"/>
  <c r="T24" i="1"/>
  <c r="U49" i="4" l="1"/>
  <c r="AG11" i="4"/>
  <c r="AG16" i="4"/>
</calcChain>
</file>

<file path=xl/sharedStrings.xml><?xml version="1.0" encoding="utf-8"?>
<sst xmlns="http://schemas.openxmlformats.org/spreadsheetml/2006/main" count="327" uniqueCount="110">
  <si>
    <t>Rent</t>
  </si>
  <si>
    <t>Veg</t>
  </si>
  <si>
    <t>Non-Veg</t>
  </si>
  <si>
    <t>Biryani</t>
  </si>
  <si>
    <t>Maggie</t>
  </si>
  <si>
    <t>Pakode</t>
  </si>
  <si>
    <t>Cutlets</t>
  </si>
  <si>
    <t>Manchurian</t>
  </si>
  <si>
    <t>Egg Bhujia</t>
  </si>
  <si>
    <t>Omlets</t>
  </si>
  <si>
    <t>Chicken Kabab</t>
  </si>
  <si>
    <t>Momos</t>
  </si>
  <si>
    <t>Bhurji Pav</t>
  </si>
  <si>
    <t>Idli Sambhar</t>
  </si>
  <si>
    <t>1st Month</t>
  </si>
  <si>
    <t>2nd Month</t>
  </si>
  <si>
    <t>3rd Month</t>
  </si>
  <si>
    <t>W1</t>
  </si>
  <si>
    <t>W2</t>
  </si>
  <si>
    <t>W3</t>
  </si>
  <si>
    <t>W4</t>
  </si>
  <si>
    <t xml:space="preserve">Item </t>
  </si>
  <si>
    <t>Total Value</t>
  </si>
  <si>
    <t>Investment</t>
  </si>
  <si>
    <t>Expenses</t>
  </si>
  <si>
    <t>Plates</t>
  </si>
  <si>
    <t>Total In KG</t>
  </si>
  <si>
    <t>Expense /KG</t>
  </si>
  <si>
    <t>Total in KG</t>
  </si>
  <si>
    <t>1 KG = 3 plates</t>
  </si>
  <si>
    <t>Expense/Plate</t>
  </si>
  <si>
    <t>Value</t>
  </si>
  <si>
    <t>Profit</t>
  </si>
  <si>
    <t>Shop Timing</t>
  </si>
  <si>
    <t>Total in Rs.</t>
  </si>
  <si>
    <t>Non-Veg Total</t>
  </si>
  <si>
    <t>Veg Total</t>
  </si>
  <si>
    <t>Price/Plate</t>
  </si>
  <si>
    <t>Egg Maggie</t>
  </si>
  <si>
    <t>(Interior, Utensils, Electricity &amp; Water Connections, Benches &amp; Chairs)</t>
  </si>
  <si>
    <t>Morning 8 AM - Evening 8 PM</t>
  </si>
  <si>
    <t xml:space="preserve">Working Days </t>
  </si>
  <si>
    <t>Mon-Sat</t>
  </si>
  <si>
    <t>Electricity Bill</t>
  </si>
  <si>
    <t>Water Bill</t>
  </si>
  <si>
    <t>-</t>
  </si>
  <si>
    <t>Helper</t>
  </si>
  <si>
    <t>Started taking orders over phones from 2nd month for local area</t>
  </si>
  <si>
    <t>Offered Reasonable rates as its new</t>
  </si>
  <si>
    <t>No competitiors as of now</t>
  </si>
  <si>
    <t>4th Month</t>
  </si>
  <si>
    <t>5th Month</t>
  </si>
  <si>
    <t>6th Month</t>
  </si>
  <si>
    <t>7th Month</t>
  </si>
  <si>
    <t>Rent Overdue</t>
  </si>
  <si>
    <t>Rent Balance</t>
  </si>
  <si>
    <t>Total Loss</t>
  </si>
  <si>
    <t>9th Month</t>
  </si>
  <si>
    <t>8th Month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</si>
  <si>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</si>
  <si>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</si>
  <si>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</si>
  <si>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</si>
  <si>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</si>
  <si>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</si>
  <si>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</si>
  <si>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</si>
  <si>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</si>
  <si>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</si>
  <si>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</si>
  <si>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</si>
  <si>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</si>
  <si>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</si>
  <si>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</si>
  <si>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</si>
  <si>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</si>
  <si>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</si>
  <si>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</si>
  <si>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</si>
  <si>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</si>
  <si>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</si>
  <si>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</si>
  <si>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</si>
  <si>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Items</t>
  </si>
  <si>
    <t>Summary</t>
  </si>
  <si>
    <t>Possible reasons for a Loss :</t>
  </si>
  <si>
    <t>Stoppage of Veg food Selling</t>
  </si>
  <si>
    <t>Not Expansion on Business (Exp. Online orders, Deliveries Etc)</t>
  </si>
  <si>
    <t>Solutions</t>
  </si>
  <si>
    <t>Try to Start making prime Veg foods available</t>
  </si>
  <si>
    <t>Expand the business with accepting on call food deliveries</t>
  </si>
  <si>
    <t>Accepting Online deliveries from Food Apps like zomato, swiggy</t>
  </si>
  <si>
    <t>Try to amaze customers with price discounts and variety of food</t>
  </si>
  <si>
    <t>Lazyness Of Owner</t>
  </si>
  <si>
    <t>Being more Enthusiastic and energetic during work hours</t>
  </si>
  <si>
    <t>Ensure proper lighting, Cleanliness and Interior within shop</t>
  </si>
  <si>
    <t>Revised Rates</t>
  </si>
  <si>
    <t>Try to serve the foods along the locally popular drinks. (Ex. Chai, Lassi etc.)</t>
  </si>
  <si>
    <t>W29</t>
  </si>
  <si>
    <t>W30</t>
  </si>
  <si>
    <t>W31</t>
  </si>
  <si>
    <t>W32</t>
  </si>
  <si>
    <t>W33</t>
  </si>
  <si>
    <t>W34</t>
  </si>
  <si>
    <t>W35</t>
  </si>
  <si>
    <t>W36</t>
  </si>
  <si>
    <t>Only One helper salary (INR 5000) was additional expense from 3rd month</t>
  </si>
  <si>
    <t>Non accepting Orders throught Food order and delivery apps</t>
  </si>
  <si>
    <t>Various shops opening nearby</t>
  </si>
  <si>
    <t>After 2nd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</si>
</sst>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sz val="14"/>
      <color theme="1"/>
      <name val="Avenir Next LT Pro"/>
      <family val="2"/>
    </font>
    <font>
      <b/>
      <sz val="14"/>
      <color theme="1"/>
      <name val="Avenir Next LT Pro"/>
      <family val="2"/>
    </font>
    <font>
      <b/>
      <sz val="11"/>
      <color rgb="FFFF0000"/>
      <name val="Avenir Next LT Pro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0" xfId="0" applyFont="1" applyFill="1"/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9" borderId="3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3" fillId="0" borderId="50" xfId="0" applyFont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37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left" vertical="center"/>
    </xf>
    <xf numFmtId="0" fontId="9" fillId="4" borderId="2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6" fillId="5" borderId="51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5" fillId="0" borderId="37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9" fillId="0" borderId="37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5" borderId="51" xfId="0" applyFont="1" applyFill="1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4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latin typeface="Candara" panose="020E0502030303020204" pitchFamily="34" charset="0"/>
              </a:rPr>
              <a:t>Non Veg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Analysis'!$C$26</c:f>
              <c:strCache>
                <c:ptCount val="1"/>
                <c:pt idx="0">
                  <c:v>Egg Bhujia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Analysis'!$D$25:$O$25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Analysis'!$D$26:$O$26</c:f>
              <c:numCache>
                <c:formatCode>General</c:formatCode>
                <c:ptCount val="12"/>
                <c:pt idx="0">
                  <c:v>23</c:v>
                </c:pt>
                <c:pt idx="1">
                  <c:v>49</c:v>
                </c:pt>
                <c:pt idx="2">
                  <c:v>50</c:v>
                </c:pt>
                <c:pt idx="3">
                  <c:v>45</c:v>
                </c:pt>
                <c:pt idx="4">
                  <c:v>50</c:v>
                </c:pt>
                <c:pt idx="5">
                  <c:v>54</c:v>
                </c:pt>
                <c:pt idx="6">
                  <c:v>53</c:v>
                </c:pt>
                <c:pt idx="7">
                  <c:v>58</c:v>
                </c:pt>
                <c:pt idx="8">
                  <c:v>60</c:v>
                </c:pt>
                <c:pt idx="9">
                  <c:v>59</c:v>
                </c:pt>
                <c:pt idx="10">
                  <c:v>56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3-4965-A7E3-6C9D38E2DCA4}"/>
            </c:ext>
          </c:extLst>
        </c:ser>
        <c:ser>
          <c:idx val="1"/>
          <c:order val="1"/>
          <c:tx>
            <c:strRef>
              <c:f>'Profit Analysis'!$C$27</c:f>
              <c:strCache>
                <c:ptCount val="1"/>
                <c:pt idx="0">
                  <c:v>Chicken Kabab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Analysis'!$D$25:$O$25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Analysis'!$D$27:$O$27</c:f>
              <c:numCache>
                <c:formatCode>General</c:formatCode>
                <c:ptCount val="12"/>
                <c:pt idx="0">
                  <c:v>45</c:v>
                </c:pt>
                <c:pt idx="1">
                  <c:v>60</c:v>
                </c:pt>
                <c:pt idx="2">
                  <c:v>69</c:v>
                </c:pt>
                <c:pt idx="3">
                  <c:v>72</c:v>
                </c:pt>
                <c:pt idx="4">
                  <c:v>70</c:v>
                </c:pt>
                <c:pt idx="5">
                  <c:v>67</c:v>
                </c:pt>
                <c:pt idx="6">
                  <c:v>52</c:v>
                </c:pt>
                <c:pt idx="7">
                  <c:v>67</c:v>
                </c:pt>
                <c:pt idx="8">
                  <c:v>59</c:v>
                </c:pt>
                <c:pt idx="9">
                  <c:v>70</c:v>
                </c:pt>
                <c:pt idx="10">
                  <c:v>54</c:v>
                </c:pt>
                <c:pt idx="1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3-4965-A7E3-6C9D38E2DCA4}"/>
            </c:ext>
          </c:extLst>
        </c:ser>
        <c:ser>
          <c:idx val="2"/>
          <c:order val="2"/>
          <c:tx>
            <c:strRef>
              <c:f>'Profit Analysis'!$C$28</c:f>
              <c:strCache>
                <c:ptCount val="1"/>
                <c:pt idx="0">
                  <c:v>Momos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Analysis'!$D$25:$O$25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Analysis'!$D$28:$O$28</c:f>
              <c:numCache>
                <c:formatCode>General</c:formatCode>
                <c:ptCount val="12"/>
                <c:pt idx="0">
                  <c:v>20</c:v>
                </c:pt>
                <c:pt idx="1">
                  <c:v>39</c:v>
                </c:pt>
                <c:pt idx="2">
                  <c:v>43</c:v>
                </c:pt>
                <c:pt idx="3">
                  <c:v>40</c:v>
                </c:pt>
                <c:pt idx="4">
                  <c:v>35</c:v>
                </c:pt>
                <c:pt idx="5">
                  <c:v>35</c:v>
                </c:pt>
                <c:pt idx="6">
                  <c:v>33</c:v>
                </c:pt>
                <c:pt idx="7">
                  <c:v>46</c:v>
                </c:pt>
                <c:pt idx="8">
                  <c:v>34</c:v>
                </c:pt>
                <c:pt idx="9">
                  <c:v>44</c:v>
                </c:pt>
                <c:pt idx="10">
                  <c:v>37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3-4965-A7E3-6C9D38E2DCA4}"/>
            </c:ext>
          </c:extLst>
        </c:ser>
        <c:ser>
          <c:idx val="3"/>
          <c:order val="3"/>
          <c:tx>
            <c:strRef>
              <c:f>'Profit Analysis'!$C$29</c:f>
              <c:strCache>
                <c:ptCount val="1"/>
                <c:pt idx="0">
                  <c:v>Biryani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Analysis'!$D$25:$O$25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Analysis'!$D$29:$O$29</c:f>
              <c:numCache>
                <c:formatCode>General</c:formatCode>
                <c:ptCount val="12"/>
                <c:pt idx="0">
                  <c:v>39</c:v>
                </c:pt>
                <c:pt idx="1">
                  <c:v>55</c:v>
                </c:pt>
                <c:pt idx="2">
                  <c:v>69</c:v>
                </c:pt>
                <c:pt idx="3">
                  <c:v>70</c:v>
                </c:pt>
                <c:pt idx="4">
                  <c:v>79</c:v>
                </c:pt>
                <c:pt idx="5">
                  <c:v>85</c:v>
                </c:pt>
                <c:pt idx="6">
                  <c:v>71</c:v>
                </c:pt>
                <c:pt idx="7">
                  <c:v>90</c:v>
                </c:pt>
                <c:pt idx="8">
                  <c:v>82</c:v>
                </c:pt>
                <c:pt idx="9">
                  <c:v>76</c:v>
                </c:pt>
                <c:pt idx="10">
                  <c:v>89</c:v>
                </c:pt>
                <c:pt idx="11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3-4965-A7E3-6C9D38E2DCA4}"/>
            </c:ext>
          </c:extLst>
        </c:ser>
        <c:ser>
          <c:idx val="4"/>
          <c:order val="4"/>
          <c:tx>
            <c:strRef>
              <c:f>'Profit Analysis'!$C$30</c:f>
              <c:strCache>
                <c:ptCount val="1"/>
                <c:pt idx="0">
                  <c:v>Bhurji Pav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Analysis'!$D$25:$O$25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Analysis'!$D$30:$O$30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</c:v>
                </c:pt>
                <c:pt idx="5">
                  <c:v>44</c:v>
                </c:pt>
                <c:pt idx="6">
                  <c:v>42</c:v>
                </c:pt>
                <c:pt idx="7">
                  <c:v>23</c:v>
                </c:pt>
                <c:pt idx="8">
                  <c:v>40</c:v>
                </c:pt>
                <c:pt idx="9">
                  <c:v>37</c:v>
                </c:pt>
                <c:pt idx="10">
                  <c:v>31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3-4965-A7E3-6C9D38E2DCA4}"/>
            </c:ext>
          </c:extLst>
        </c:ser>
        <c:ser>
          <c:idx val="5"/>
          <c:order val="5"/>
          <c:tx>
            <c:strRef>
              <c:f>'Profit Analysis'!$C$31</c:f>
              <c:strCache>
                <c:ptCount val="1"/>
                <c:pt idx="0">
                  <c:v>Egg Maggie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'Profit Analysis'!$D$25:$O$25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Analysis'!$D$31:$O$31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20</c:v>
                </c:pt>
                <c:pt idx="6">
                  <c:v>21</c:v>
                </c:pt>
                <c:pt idx="7">
                  <c:v>39</c:v>
                </c:pt>
                <c:pt idx="8">
                  <c:v>33</c:v>
                </c:pt>
                <c:pt idx="9">
                  <c:v>23</c:v>
                </c:pt>
                <c:pt idx="10">
                  <c:v>32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83-4965-A7E3-6C9D38E2D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95880"/>
        <c:axId val="999394240"/>
      </c:lineChart>
      <c:catAx>
        <c:axId val="99939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Candara" panose="020E0502030303020204" pitchFamily="34" charset="0"/>
                  </a:rPr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94240"/>
        <c:crosses val="autoZero"/>
        <c:auto val="1"/>
        <c:lblAlgn val="ctr"/>
        <c:lblOffset val="100"/>
        <c:noMultiLvlLbl val="0"/>
      </c:catAx>
      <c:valAx>
        <c:axId val="9993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Candara" panose="020E0502030303020204" pitchFamily="34" charset="0"/>
                  </a:rPr>
                  <a:t>Order Qty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ndara" panose="020E0502030303020204" pitchFamily="34" charset="0"/>
                <a:ea typeface="+mn-ea"/>
                <a:cs typeface="+mn-cs"/>
              </a:rPr>
              <a:t>Veg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Analysis'!$C$20</c:f>
              <c:strCache>
                <c:ptCount val="1"/>
                <c:pt idx="0">
                  <c:v>Idli Sambhar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Analysis'!$D$19:$O$19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Analysis'!$D$20:$O$20</c:f>
              <c:numCache>
                <c:formatCode>General</c:formatCode>
                <c:ptCount val="12"/>
                <c:pt idx="0">
                  <c:v>49</c:v>
                </c:pt>
                <c:pt idx="1">
                  <c:v>64</c:v>
                </c:pt>
                <c:pt idx="2">
                  <c:v>49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7-4439-9516-B84D0EDE4846}"/>
            </c:ext>
          </c:extLst>
        </c:ser>
        <c:ser>
          <c:idx val="1"/>
          <c:order val="1"/>
          <c:tx>
            <c:strRef>
              <c:f>'Profit Analysis'!$C$21</c:f>
              <c:strCache>
                <c:ptCount val="1"/>
                <c:pt idx="0">
                  <c:v>Pakode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Analysis'!$D$19:$O$19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Analysis'!$D$21:$O$21</c:f>
              <c:numCache>
                <c:formatCode>General</c:formatCode>
                <c:ptCount val="12"/>
                <c:pt idx="0">
                  <c:v>30</c:v>
                </c:pt>
                <c:pt idx="1">
                  <c:v>69</c:v>
                </c:pt>
                <c:pt idx="2">
                  <c:v>55</c:v>
                </c:pt>
                <c:pt idx="3">
                  <c:v>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7-4439-9516-B84D0EDE4846}"/>
            </c:ext>
          </c:extLst>
        </c:ser>
        <c:ser>
          <c:idx val="2"/>
          <c:order val="2"/>
          <c:tx>
            <c:strRef>
              <c:f>'Profit Analysis'!$C$22</c:f>
              <c:strCache>
                <c:ptCount val="1"/>
                <c:pt idx="0">
                  <c:v>Biryani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Analysis'!$D$19:$O$19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Analysis'!$D$22:$O$22</c:f>
              <c:numCache>
                <c:formatCode>General</c:formatCode>
                <c:ptCount val="12"/>
                <c:pt idx="0">
                  <c:v>35</c:v>
                </c:pt>
                <c:pt idx="1">
                  <c:v>56</c:v>
                </c:pt>
                <c:pt idx="2">
                  <c:v>54</c:v>
                </c:pt>
                <c:pt idx="3">
                  <c:v>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7-4439-9516-B84D0EDE4846}"/>
            </c:ext>
          </c:extLst>
        </c:ser>
        <c:ser>
          <c:idx val="3"/>
          <c:order val="3"/>
          <c:tx>
            <c:strRef>
              <c:f>'Profit Analysis'!$C$23</c:f>
              <c:strCache>
                <c:ptCount val="1"/>
                <c:pt idx="0">
                  <c:v>Manchurian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Analysis'!$D$19:$O$19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Analysis'!$D$23:$O$23</c:f>
              <c:numCache>
                <c:formatCode>General</c:formatCode>
                <c:ptCount val="12"/>
                <c:pt idx="0">
                  <c:v>40</c:v>
                </c:pt>
                <c:pt idx="1">
                  <c:v>74</c:v>
                </c:pt>
                <c:pt idx="2">
                  <c:v>60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7-4439-9516-B84D0EDE4846}"/>
            </c:ext>
          </c:extLst>
        </c:ser>
        <c:ser>
          <c:idx val="4"/>
          <c:order val="4"/>
          <c:tx>
            <c:strRef>
              <c:f>'Profit Analysis'!$C$24</c:f>
              <c:strCache>
                <c:ptCount val="1"/>
                <c:pt idx="0">
                  <c:v>Cutlets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Analysis'!$D$19:$O$19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Analysis'!$D$24:$O$24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20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27-4439-9516-B84D0EDE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65456"/>
        <c:axId val="999564144"/>
      </c:lineChart>
      <c:catAx>
        <c:axId val="99956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>
                    <a:latin typeface="Candara" panose="020E0502030303020204" pitchFamily="34" charset="0"/>
                  </a:rPr>
                  <a:t>Weeks</a:t>
                </a:r>
                <a:endParaRPr lang="en-IN" b="1">
                  <a:latin typeface="Candara" panose="020E0502030303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8291291515704382"/>
              <c:y val="0.78872925957713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64144"/>
        <c:crosses val="autoZero"/>
        <c:auto val="1"/>
        <c:lblAlgn val="ctr"/>
        <c:lblOffset val="100"/>
        <c:noMultiLvlLbl val="0"/>
      </c:catAx>
      <c:valAx>
        <c:axId val="9995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>
                    <a:latin typeface="Candara" panose="020E0502030303020204" pitchFamily="34" charset="0"/>
                  </a:rPr>
                  <a:t>Order Qty</a:t>
                </a:r>
              </a:p>
            </c:rich>
          </c:tx>
          <c:layout>
            <c:manualLayout>
              <c:xMode val="edge"/>
              <c:yMode val="edge"/>
              <c:x val="2.4544793926806266E-2"/>
              <c:y val="0.33140953240133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latin typeface="Candara" panose="020E0502030303020204" pitchFamily="34" charset="0"/>
              </a:rPr>
              <a:t>Profit (Monthly)</a:t>
            </a:r>
            <a:endParaRPr lang="en-IN" b="1">
              <a:latin typeface="Candara" panose="020E05020303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4 Months'!$B$22</c:f>
              <c:strCache>
                <c:ptCount val="1"/>
                <c:pt idx="0">
                  <c:v>Egg Bhujia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'Next 4 Months'!$C$21:$F$21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'Next 4 Months'!$C$22:$F$22</c:f>
              <c:numCache>
                <c:formatCode>General</c:formatCode>
                <c:ptCount val="4"/>
                <c:pt idx="0">
                  <c:v>1.1299999999999999</c:v>
                </c:pt>
                <c:pt idx="1">
                  <c:v>0.77</c:v>
                </c:pt>
                <c:pt idx="2">
                  <c:v>0.82</c:v>
                </c:pt>
                <c:pt idx="3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E-4DD2-888B-434A1868A6AF}"/>
            </c:ext>
          </c:extLst>
        </c:ser>
        <c:ser>
          <c:idx val="1"/>
          <c:order val="1"/>
          <c:tx>
            <c:strRef>
              <c:f>'Next 4 Months'!$B$23</c:f>
              <c:strCache>
                <c:ptCount val="1"/>
                <c:pt idx="0">
                  <c:v>Chicken Kabab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'Next 4 Months'!$C$21:$F$21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'Next 4 Months'!$C$23:$F$23</c:f>
              <c:numCache>
                <c:formatCode>General</c:formatCode>
                <c:ptCount val="4"/>
                <c:pt idx="0">
                  <c:v>2.1</c:v>
                </c:pt>
                <c:pt idx="1">
                  <c:v>1.6</c:v>
                </c:pt>
                <c:pt idx="2">
                  <c:v>1.62</c:v>
                </c:pt>
                <c:pt idx="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E-4DD2-888B-434A1868A6AF}"/>
            </c:ext>
          </c:extLst>
        </c:ser>
        <c:ser>
          <c:idx val="2"/>
          <c:order val="2"/>
          <c:tx>
            <c:strRef>
              <c:f>'Next 4 Months'!$B$24</c:f>
              <c:strCache>
                <c:ptCount val="1"/>
                <c:pt idx="0">
                  <c:v>Momos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'Next 4 Months'!$C$21:$F$21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'Next 4 Months'!$C$24:$F$24</c:f>
              <c:numCache>
                <c:formatCode>General</c:formatCode>
                <c:ptCount val="4"/>
                <c:pt idx="0">
                  <c:v>1.07</c:v>
                </c:pt>
                <c:pt idx="1">
                  <c:v>0.89</c:v>
                </c:pt>
                <c:pt idx="2">
                  <c:v>0.75</c:v>
                </c:pt>
                <c:pt idx="3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E-4DD2-888B-434A1868A6AF}"/>
            </c:ext>
          </c:extLst>
        </c:ser>
        <c:ser>
          <c:idx val="3"/>
          <c:order val="3"/>
          <c:tx>
            <c:strRef>
              <c:f>'Next 4 Months'!$B$25</c:f>
              <c:strCache>
                <c:ptCount val="1"/>
                <c:pt idx="0">
                  <c:v>Biryani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'Next 4 Months'!$C$21:$F$21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'Next 4 Months'!$C$25:$F$25</c:f>
              <c:numCache>
                <c:formatCode>General</c:formatCode>
                <c:ptCount val="4"/>
                <c:pt idx="0">
                  <c:v>16.079999999999998</c:v>
                </c:pt>
                <c:pt idx="1">
                  <c:v>10.199999999999999</c:v>
                </c:pt>
                <c:pt idx="2">
                  <c:v>7.8</c:v>
                </c:pt>
                <c:pt idx="3">
                  <c:v>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2E-4DD2-888B-434A1868A6AF}"/>
            </c:ext>
          </c:extLst>
        </c:ser>
        <c:ser>
          <c:idx val="4"/>
          <c:order val="4"/>
          <c:tx>
            <c:strRef>
              <c:f>'Next 4 Months'!$B$26</c:f>
              <c:strCache>
                <c:ptCount val="1"/>
                <c:pt idx="0">
                  <c:v>Bhurji Pav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'Next 4 Months'!$C$21:$F$21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'Next 4 Months'!$C$26:$F$26</c:f>
              <c:numCache>
                <c:formatCode>General</c:formatCode>
                <c:ptCount val="4"/>
                <c:pt idx="0">
                  <c:v>1.1399999999999999</c:v>
                </c:pt>
                <c:pt idx="1">
                  <c:v>0.87</c:v>
                </c:pt>
                <c:pt idx="2">
                  <c:v>0.72</c:v>
                </c:pt>
                <c:pt idx="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2E-4DD2-888B-434A1868A6AF}"/>
            </c:ext>
          </c:extLst>
        </c:ser>
        <c:ser>
          <c:idx val="5"/>
          <c:order val="5"/>
          <c:tx>
            <c:strRef>
              <c:f>'Next 4 Months'!$B$27</c:f>
              <c:strCache>
                <c:ptCount val="1"/>
                <c:pt idx="0">
                  <c:v>Egg Maggie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'Next 4 Months'!$C$21:$F$21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'Next 4 Months'!$C$27:$F$27</c:f>
              <c:numCache>
                <c:formatCode>General</c:formatCode>
                <c:ptCount val="4"/>
                <c:pt idx="0">
                  <c:v>0.625</c:v>
                </c:pt>
                <c:pt idx="1">
                  <c:v>0.39</c:v>
                </c:pt>
                <c:pt idx="2">
                  <c:v>0.40500000000000003</c:v>
                </c:pt>
                <c:pt idx="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2E-4DD2-888B-434A1868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842072"/>
        <c:axId val="934842400"/>
      </c:lineChart>
      <c:catAx>
        <c:axId val="93484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latin typeface="Candara" panose="020E0502030303020204" pitchFamily="34" charset="0"/>
                  </a:rPr>
                  <a:t>Months</a:t>
                </a:r>
                <a:endParaRPr lang="en-IN" b="1">
                  <a:latin typeface="Candara" panose="020E0502030303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42400"/>
        <c:crosses val="autoZero"/>
        <c:auto val="1"/>
        <c:lblAlgn val="ctr"/>
        <c:lblOffset val="100"/>
        <c:noMultiLvlLbl val="0"/>
      </c:catAx>
      <c:valAx>
        <c:axId val="93484240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latin typeface="Candara" panose="020E0502030303020204" pitchFamily="34" charset="0"/>
                  </a:rPr>
                  <a:t>Profit in Thousand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4207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latin typeface="Candara" panose="020E0502030303020204" pitchFamily="34" charset="0"/>
              </a:rPr>
              <a:t>Order</a:t>
            </a:r>
            <a:r>
              <a:rPr lang="en-IN" sz="1200" b="1" baseline="0">
                <a:latin typeface="Candara" panose="020E0502030303020204" pitchFamily="34" charset="0"/>
              </a:rPr>
              <a:t> Qty (Weekly)</a:t>
            </a:r>
            <a:endParaRPr lang="en-IN" b="1">
              <a:latin typeface="Candara" panose="020E05020303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'After Solution'!$B$5</c:f>
              <c:strCache>
                <c:ptCount val="1"/>
                <c:pt idx="0">
                  <c:v>Egg Bhujia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'After Solution'!$C$4:$J$4</c:f>
              <c:strCache>
                <c:ptCount val="8"/>
                <c:pt idx="0">
                  <c:v>W29</c:v>
                </c:pt>
                <c:pt idx="1">
                  <c:v>W30</c:v>
                </c:pt>
                <c:pt idx="2">
                  <c:v>W31</c:v>
                </c:pt>
                <c:pt idx="3">
                  <c:v>W32</c:v>
                </c:pt>
                <c:pt idx="4">
                  <c:v>W33</c:v>
                </c:pt>
                <c:pt idx="5">
                  <c:v>W34</c:v>
                </c:pt>
                <c:pt idx="6">
                  <c:v>W35</c:v>
                </c:pt>
                <c:pt idx="7">
                  <c:v>W36</c:v>
                </c:pt>
              </c:strCache>
            </c:strRef>
          </c:cat>
          <c:val>
            <c:numRef>
              <c:f>'After Solution'!$C$5:$J$5</c:f>
              <c:numCache>
                <c:formatCode>General</c:formatCode>
                <c:ptCount val="8"/>
                <c:pt idx="0">
                  <c:v>36</c:v>
                </c:pt>
                <c:pt idx="1">
                  <c:v>39</c:v>
                </c:pt>
                <c:pt idx="2">
                  <c:v>35</c:v>
                </c:pt>
                <c:pt idx="3">
                  <c:v>32</c:v>
                </c:pt>
                <c:pt idx="4">
                  <c:v>42</c:v>
                </c:pt>
                <c:pt idx="5">
                  <c:v>40</c:v>
                </c:pt>
                <c:pt idx="6">
                  <c:v>42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9-418C-902E-5AE53C39C5C3}"/>
            </c:ext>
          </c:extLst>
        </c:ser>
        <c:ser>
          <c:idx val="1"/>
          <c:order val="1"/>
          <c:tx>
            <c:strRef>
              <c:f>'After Solution'!$B$6</c:f>
              <c:strCache>
                <c:ptCount val="1"/>
                <c:pt idx="0">
                  <c:v>Chicken Kabab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'After Solution'!$C$4:$J$4</c:f>
              <c:strCache>
                <c:ptCount val="8"/>
                <c:pt idx="0">
                  <c:v>W29</c:v>
                </c:pt>
                <c:pt idx="1">
                  <c:v>W30</c:v>
                </c:pt>
                <c:pt idx="2">
                  <c:v>W31</c:v>
                </c:pt>
                <c:pt idx="3">
                  <c:v>W32</c:v>
                </c:pt>
                <c:pt idx="4">
                  <c:v>W33</c:v>
                </c:pt>
                <c:pt idx="5">
                  <c:v>W34</c:v>
                </c:pt>
                <c:pt idx="6">
                  <c:v>W35</c:v>
                </c:pt>
                <c:pt idx="7">
                  <c:v>W36</c:v>
                </c:pt>
              </c:strCache>
            </c:strRef>
          </c:cat>
          <c:val>
            <c:numRef>
              <c:f>'After Solution'!$C$6:$J$6</c:f>
              <c:numCache>
                <c:formatCode>General</c:formatCode>
                <c:ptCount val="8"/>
                <c:pt idx="0">
                  <c:v>46</c:v>
                </c:pt>
                <c:pt idx="1">
                  <c:v>42</c:v>
                </c:pt>
                <c:pt idx="2">
                  <c:v>43</c:v>
                </c:pt>
                <c:pt idx="3">
                  <c:v>45</c:v>
                </c:pt>
                <c:pt idx="4">
                  <c:v>59</c:v>
                </c:pt>
                <c:pt idx="5">
                  <c:v>62</c:v>
                </c:pt>
                <c:pt idx="6">
                  <c:v>61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9-418C-902E-5AE53C39C5C3}"/>
            </c:ext>
          </c:extLst>
        </c:ser>
        <c:ser>
          <c:idx val="2"/>
          <c:order val="2"/>
          <c:tx>
            <c:strRef>
              <c:f>'After Solution'!$B$7</c:f>
              <c:strCache>
                <c:ptCount val="1"/>
                <c:pt idx="0">
                  <c:v>Momos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'After Solution'!$C$4:$J$4</c:f>
              <c:strCache>
                <c:ptCount val="8"/>
                <c:pt idx="0">
                  <c:v>W29</c:v>
                </c:pt>
                <c:pt idx="1">
                  <c:v>W30</c:v>
                </c:pt>
                <c:pt idx="2">
                  <c:v>W31</c:v>
                </c:pt>
                <c:pt idx="3">
                  <c:v>W32</c:v>
                </c:pt>
                <c:pt idx="4">
                  <c:v>W33</c:v>
                </c:pt>
                <c:pt idx="5">
                  <c:v>W34</c:v>
                </c:pt>
                <c:pt idx="6">
                  <c:v>W35</c:v>
                </c:pt>
                <c:pt idx="7">
                  <c:v>W36</c:v>
                </c:pt>
              </c:strCache>
            </c:strRef>
          </c:cat>
          <c:val>
            <c:numRef>
              <c:f>'After Solution'!$C$7:$J$7</c:f>
              <c:numCache>
                <c:formatCode>General</c:formatCode>
                <c:ptCount val="8"/>
                <c:pt idx="0">
                  <c:v>46</c:v>
                </c:pt>
                <c:pt idx="1">
                  <c:v>50</c:v>
                </c:pt>
                <c:pt idx="2">
                  <c:v>42</c:v>
                </c:pt>
                <c:pt idx="3">
                  <c:v>42</c:v>
                </c:pt>
                <c:pt idx="4">
                  <c:v>65</c:v>
                </c:pt>
                <c:pt idx="5">
                  <c:v>58</c:v>
                </c:pt>
                <c:pt idx="6">
                  <c:v>59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9-418C-902E-5AE53C39C5C3}"/>
            </c:ext>
          </c:extLst>
        </c:ser>
        <c:ser>
          <c:idx val="3"/>
          <c:order val="3"/>
          <c:tx>
            <c:strRef>
              <c:f>'After Solution'!$B$8</c:f>
              <c:strCache>
                <c:ptCount val="1"/>
                <c:pt idx="0">
                  <c:v>Biryani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'After Solution'!$C$4:$J$4</c:f>
              <c:strCache>
                <c:ptCount val="8"/>
                <c:pt idx="0">
                  <c:v>W29</c:v>
                </c:pt>
                <c:pt idx="1">
                  <c:v>W30</c:v>
                </c:pt>
                <c:pt idx="2">
                  <c:v>W31</c:v>
                </c:pt>
                <c:pt idx="3">
                  <c:v>W32</c:v>
                </c:pt>
                <c:pt idx="4">
                  <c:v>W33</c:v>
                </c:pt>
                <c:pt idx="5">
                  <c:v>W34</c:v>
                </c:pt>
                <c:pt idx="6">
                  <c:v>W35</c:v>
                </c:pt>
                <c:pt idx="7">
                  <c:v>W36</c:v>
                </c:pt>
              </c:strCache>
            </c:strRef>
          </c:cat>
          <c:val>
            <c:numRef>
              <c:f>'After Solution'!$C$8:$J$8</c:f>
              <c:numCache>
                <c:formatCode>General</c:formatCode>
                <c:ptCount val="8"/>
                <c:pt idx="0">
                  <c:v>41</c:v>
                </c:pt>
                <c:pt idx="1">
                  <c:v>49</c:v>
                </c:pt>
                <c:pt idx="2">
                  <c:v>39</c:v>
                </c:pt>
                <c:pt idx="3">
                  <c:v>52</c:v>
                </c:pt>
                <c:pt idx="4">
                  <c:v>55</c:v>
                </c:pt>
                <c:pt idx="5">
                  <c:v>51</c:v>
                </c:pt>
                <c:pt idx="6">
                  <c:v>55</c:v>
                </c:pt>
                <c:pt idx="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E9-418C-902E-5AE53C39C5C3}"/>
            </c:ext>
          </c:extLst>
        </c:ser>
        <c:ser>
          <c:idx val="4"/>
          <c:order val="4"/>
          <c:tx>
            <c:strRef>
              <c:f>'After Solution'!$B$9</c:f>
              <c:strCache>
                <c:ptCount val="1"/>
                <c:pt idx="0">
                  <c:v>Bhurji Pav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'After Solution'!$C$4:$J$4</c:f>
              <c:strCache>
                <c:ptCount val="8"/>
                <c:pt idx="0">
                  <c:v>W29</c:v>
                </c:pt>
                <c:pt idx="1">
                  <c:v>W30</c:v>
                </c:pt>
                <c:pt idx="2">
                  <c:v>W31</c:v>
                </c:pt>
                <c:pt idx="3">
                  <c:v>W32</c:v>
                </c:pt>
                <c:pt idx="4">
                  <c:v>W33</c:v>
                </c:pt>
                <c:pt idx="5">
                  <c:v>W34</c:v>
                </c:pt>
                <c:pt idx="6">
                  <c:v>W35</c:v>
                </c:pt>
                <c:pt idx="7">
                  <c:v>W36</c:v>
                </c:pt>
              </c:strCache>
            </c:strRef>
          </c:cat>
          <c:val>
            <c:numRef>
              <c:f>'After Solution'!$C$9:$J$9</c:f>
              <c:numCache>
                <c:formatCode>General</c:formatCode>
                <c:ptCount val="8"/>
                <c:pt idx="0">
                  <c:v>39</c:v>
                </c:pt>
                <c:pt idx="1">
                  <c:v>32</c:v>
                </c:pt>
                <c:pt idx="2">
                  <c:v>40</c:v>
                </c:pt>
                <c:pt idx="3">
                  <c:v>31</c:v>
                </c:pt>
                <c:pt idx="4">
                  <c:v>55</c:v>
                </c:pt>
                <c:pt idx="5">
                  <c:v>47</c:v>
                </c:pt>
                <c:pt idx="6">
                  <c:v>42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E9-418C-902E-5AE53C39C5C3}"/>
            </c:ext>
          </c:extLst>
        </c:ser>
        <c:ser>
          <c:idx val="5"/>
          <c:order val="5"/>
          <c:tx>
            <c:strRef>
              <c:f>'After Solution'!$B$10</c:f>
              <c:strCache>
                <c:ptCount val="1"/>
                <c:pt idx="0">
                  <c:v>Egg Maggie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'After Solution'!$C$4:$J$4</c:f>
              <c:strCache>
                <c:ptCount val="8"/>
                <c:pt idx="0">
                  <c:v>W29</c:v>
                </c:pt>
                <c:pt idx="1">
                  <c:v>W30</c:v>
                </c:pt>
                <c:pt idx="2">
                  <c:v>W31</c:v>
                </c:pt>
                <c:pt idx="3">
                  <c:v>W32</c:v>
                </c:pt>
                <c:pt idx="4">
                  <c:v>W33</c:v>
                </c:pt>
                <c:pt idx="5">
                  <c:v>W34</c:v>
                </c:pt>
                <c:pt idx="6">
                  <c:v>W35</c:v>
                </c:pt>
                <c:pt idx="7">
                  <c:v>W36</c:v>
                </c:pt>
              </c:strCache>
            </c:strRef>
          </c:cat>
          <c:val>
            <c:numRef>
              <c:f>'After Solution'!$C$10:$J$10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42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E9-418C-902E-5AE53C39C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1016"/>
        <c:axId val="779645440"/>
      </c:barChart>
      <c:catAx>
        <c:axId val="77965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IN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ndara" panose="020E0502030303020204" pitchFamily="34" charset="0"/>
                    <a:ea typeface="+mn-ea"/>
                    <a:cs typeface="+mn-cs"/>
                  </a:rPr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1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45440"/>
        <c:crosses val="autoZero"/>
        <c:auto val="1"/>
        <c:lblAlgn val="ctr"/>
        <c:lblOffset val="100"/>
        <c:noMultiLvlLbl val="0"/>
      </c:catAx>
      <c:valAx>
        <c:axId val="7796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latin typeface="Candara" panose="020E0502030303020204" pitchFamily="34" charset="0"/>
                  </a:rPr>
                  <a:t>Order Qty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5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269873</xdr:colOff>
      <xdr:row>5</xdr:row>
      <xdr:rowOff>79376</xdr:rowOff>
    </xdr:from>
    <xdr:to>
      <xdr:col>9</xdr:col>
      <xdr:colOff>543895</xdr:colOff>
      <xdr:row>32</xdr:row>
      <xdr:rowOff>150813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D1D23C-C837-4014-B6A8-CE3FC86E1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48" y="1000126"/>
          <a:ext cx="7465397" cy="500856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736600" dist="38100" dir="5400000" sx="101000" sy="101000" algn="tl" rotWithShape="0">
            <a:prstClr val="black">
              <a:alpha val="40000"/>
            </a:prst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552822</xdr:colOff>
      <xdr:row>0</xdr:row>
      <xdr:rowOff>156883</xdr:rowOff>
    </xdr:from>
    <xdr:to>
      <xdr:col>17</xdr:col>
      <xdr:colOff>567763</xdr:colOff>
      <xdr:row>17</xdr:row>
      <xdr:rowOff>7471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A3DB93-BA07-4F84-9498-1D329F7C3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128495</xdr:colOff>
      <xdr:row>2</xdr:row>
      <xdr:rowOff>0</xdr:rowOff>
    </xdr:from>
    <xdr:to>
      <xdr:col>9</xdr:col>
      <xdr:colOff>198345</xdr:colOff>
      <xdr:row>15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A6D87A-3147-42C7-AA80-756D0A74C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433916</xdr:colOff>
      <xdr:row>17</xdr:row>
      <xdr:rowOff>0</xdr:rowOff>
    </xdr:from>
    <xdr:to>
      <xdr:col>16</xdr:col>
      <xdr:colOff>506131</xdr:colOff>
      <xdr:row>37</xdr:row>
      <xdr:rowOff>70762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D59DEF-6CBE-4471-9F6E-99AB7668F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480785</xdr:colOff>
      <xdr:row>1</xdr:row>
      <xdr:rowOff>0</xdr:rowOff>
    </xdr:from>
    <xdr:to>
      <xdr:col>16</xdr:col>
      <xdr:colOff>299356</xdr:colOff>
      <xdr:row>30</xdr:row>
      <xdr:rowOff>128153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A09DB9-7F68-4838-A6F9-34623B8C8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7999" y="181429"/>
          <a:ext cx="8935357" cy="53895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244937</xdr:colOff>
      <xdr:row>4</xdr:row>
      <xdr:rowOff>18150</xdr:rowOff>
    </xdr:from>
    <xdr:to>
      <xdr:col>23</xdr:col>
      <xdr:colOff>526142</xdr:colOff>
      <xdr:row>26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E1279-3149-451C-92E7-47DAF88B7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89CC-2F9D-4FC8-A390-9B513314BA42}">
  <dimension ref="B2:D6"/>
  <sheetViews>
    <sheetView tabSelected="1" zoomScale="80" zoomScaleNormal="80" workbookViewId="0">
      <selection activeCell="C6" sqref="C6"/>
    </sheetView>
  </sheetViews>
  <sheetFormatPr defaultRowHeight="14.5" x14ac:dyDescent="0.35"/>
  <cols>
    <col min="2" max="2" width="13.36328125" bestFit="1" customWidth="1"/>
    <col min="3" max="3" width="27.1796875" bestFit="1" customWidth="1"/>
    <col min="4" max="4" width="59.1796875" bestFit="1" customWidth="1"/>
  </cols>
  <sheetData>
    <row r="2" spans="2:4" ht="15" thickBot="1" x14ac:dyDescent="0.4"/>
    <row r="3" spans="2:4" x14ac:dyDescent="0.35">
      <c r="B3" s="15" t="s">
        <v>0</v>
      </c>
      <c r="C3" s="12">
        <v>14000</v>
      </c>
      <c r="D3" s="1"/>
    </row>
    <row r="4" spans="2:4" x14ac:dyDescent="0.35">
      <c r="B4" s="16" t="s">
        <v>23</v>
      </c>
      <c r="C4" s="13">
        <v>400000</v>
      </c>
      <c r="D4" s="11" t="s">
        <v>39</v>
      </c>
    </row>
    <row r="5" spans="2:4" x14ac:dyDescent="0.35">
      <c r="B5" s="16" t="s">
        <v>33</v>
      </c>
      <c r="C5" s="13" t="s">
        <v>40</v>
      </c>
      <c r="D5" s="1"/>
    </row>
    <row r="6" spans="2:4" ht="15" thickBot="1" x14ac:dyDescent="0.4">
      <c r="B6" s="17" t="s">
        <v>41</v>
      </c>
      <c r="C6" s="14" t="s">
        <v>42</v>
      </c>
      <c r="D6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6281-5185-44BC-9BB0-D7432D2BFB8C}">
  <dimension ref="B1:N23"/>
  <sheetViews>
    <sheetView topLeftCell="E1" zoomScale="80" zoomScaleNormal="80" workbookViewId="0">
      <selection activeCell="N4" sqref="N4"/>
    </sheetView>
  </sheetViews>
  <sheetFormatPr defaultRowHeight="18" x14ac:dyDescent="0.35"/>
  <cols>
    <col min="1" max="1" width="13" style="37" bestFit="1" customWidth="1"/>
    <col min="2" max="2" width="19.453125" style="37" bestFit="1" customWidth="1"/>
    <col min="3" max="3" width="14.81640625" style="37" bestFit="1" customWidth="1"/>
    <col min="4" max="4" width="19.26953125" style="37" bestFit="1" customWidth="1"/>
    <col min="5" max="5" width="15" style="37" bestFit="1" customWidth="1"/>
    <col min="6" max="6" width="17.453125" style="37" bestFit="1" customWidth="1"/>
    <col min="7" max="7" width="19.26953125" style="37" bestFit="1" customWidth="1"/>
    <col min="8" max="8" width="8.7265625" style="37"/>
    <col min="9" max="9" width="19.08984375" style="37" bestFit="1" customWidth="1"/>
    <col min="10" max="10" width="18.6328125" style="37" bestFit="1" customWidth="1"/>
    <col min="11" max="11" width="21.81640625" style="37" bestFit="1" customWidth="1"/>
    <col min="12" max="12" width="15" style="37" bestFit="1" customWidth="1"/>
    <col min="13" max="13" width="17.453125" style="37" bestFit="1" customWidth="1"/>
    <col min="14" max="15" width="19.26953125" style="37" bestFit="1" customWidth="1"/>
    <col min="16" max="16384" width="8.7265625" style="37"/>
  </cols>
  <sheetData>
    <row r="1" spans="2:14" ht="18.5" thickBot="1" x14ac:dyDescent="0.4"/>
    <row r="2" spans="2:14" ht="18.5" thickBot="1" x14ac:dyDescent="0.4">
      <c r="B2" s="38" t="s">
        <v>1</v>
      </c>
      <c r="I2" s="38" t="s">
        <v>2</v>
      </c>
    </row>
    <row r="3" spans="2:14" ht="18.5" thickBot="1" x14ac:dyDescent="0.4"/>
    <row r="4" spans="2:14" ht="18.5" thickBot="1" x14ac:dyDescent="0.4">
      <c r="B4" s="39"/>
      <c r="C4" s="40" t="s">
        <v>31</v>
      </c>
      <c r="D4" s="41" t="s">
        <v>30</v>
      </c>
      <c r="I4" s="39"/>
      <c r="J4" s="40" t="s">
        <v>31</v>
      </c>
      <c r="K4" s="41" t="s">
        <v>30</v>
      </c>
    </row>
    <row r="5" spans="2:14" x14ac:dyDescent="0.35">
      <c r="B5" s="42" t="s">
        <v>4</v>
      </c>
      <c r="C5" s="43">
        <v>20</v>
      </c>
      <c r="D5" s="44">
        <v>12</v>
      </c>
      <c r="I5" s="42" t="s">
        <v>8</v>
      </c>
      <c r="J5" s="43">
        <v>35</v>
      </c>
      <c r="K5" s="44">
        <v>20</v>
      </c>
    </row>
    <row r="6" spans="2:14" x14ac:dyDescent="0.35">
      <c r="B6" s="45" t="s">
        <v>5</v>
      </c>
      <c r="C6" s="46">
        <v>30</v>
      </c>
      <c r="D6" s="47">
        <v>10</v>
      </c>
      <c r="I6" s="45" t="s">
        <v>9</v>
      </c>
      <c r="J6" s="46">
        <v>20</v>
      </c>
      <c r="K6" s="47">
        <v>10</v>
      </c>
    </row>
    <row r="7" spans="2:14" x14ac:dyDescent="0.35">
      <c r="B7" s="45" t="s">
        <v>6</v>
      </c>
      <c r="C7" s="46">
        <v>30</v>
      </c>
      <c r="D7" s="47">
        <v>15</v>
      </c>
      <c r="I7" s="45" t="s">
        <v>10</v>
      </c>
      <c r="J7" s="46">
        <v>75</v>
      </c>
      <c r="K7" s="47">
        <v>40</v>
      </c>
    </row>
    <row r="8" spans="2:14" x14ac:dyDescent="0.35">
      <c r="B8" s="45" t="s">
        <v>7</v>
      </c>
      <c r="C8" s="46">
        <v>25</v>
      </c>
      <c r="D8" s="47">
        <v>10</v>
      </c>
      <c r="I8" s="45" t="s">
        <v>11</v>
      </c>
      <c r="J8" s="46">
        <v>40</v>
      </c>
      <c r="K8" s="47">
        <v>25</v>
      </c>
    </row>
    <row r="9" spans="2:14" ht="18.5" thickBot="1" x14ac:dyDescent="0.4">
      <c r="B9" s="48" t="s">
        <v>13</v>
      </c>
      <c r="C9" s="49">
        <v>40</v>
      </c>
      <c r="D9" s="50">
        <v>20</v>
      </c>
      <c r="I9" s="51" t="s">
        <v>12</v>
      </c>
      <c r="J9" s="49">
        <v>20</v>
      </c>
      <c r="K9" s="50">
        <v>12</v>
      </c>
    </row>
    <row r="10" spans="2:14" ht="18.5" thickBot="1" x14ac:dyDescent="0.4">
      <c r="B10" s="52"/>
      <c r="C10" s="40" t="s">
        <v>37</v>
      </c>
      <c r="D10" s="40" t="s">
        <v>25</v>
      </c>
      <c r="E10" s="40" t="s">
        <v>28</v>
      </c>
      <c r="F10" s="40" t="s">
        <v>27</v>
      </c>
      <c r="G10" s="40" t="s">
        <v>30</v>
      </c>
      <c r="I10" s="52"/>
      <c r="J10" s="40" t="s">
        <v>37</v>
      </c>
      <c r="K10" s="40" t="s">
        <v>25</v>
      </c>
      <c r="L10" s="40" t="s">
        <v>26</v>
      </c>
      <c r="M10" s="40" t="s">
        <v>27</v>
      </c>
      <c r="N10" s="41" t="s">
        <v>30</v>
      </c>
    </row>
    <row r="11" spans="2:14" ht="18.5" thickBot="1" x14ac:dyDescent="0.4">
      <c r="B11" s="53" t="s">
        <v>3</v>
      </c>
      <c r="C11" s="54">
        <v>100</v>
      </c>
      <c r="D11" s="54">
        <v>100</v>
      </c>
      <c r="E11" s="54">
        <v>33</v>
      </c>
      <c r="F11" s="54">
        <v>90</v>
      </c>
      <c r="G11" s="55">
        <v>30</v>
      </c>
      <c r="I11" s="53" t="s">
        <v>3</v>
      </c>
      <c r="J11" s="54">
        <v>150</v>
      </c>
      <c r="K11" s="54">
        <v>150</v>
      </c>
      <c r="L11" s="54">
        <v>50</v>
      </c>
      <c r="M11" s="54">
        <v>150</v>
      </c>
      <c r="N11" s="55">
        <v>50</v>
      </c>
    </row>
    <row r="13" spans="2:14" ht="18.5" thickBot="1" x14ac:dyDescent="0.4">
      <c r="B13" s="37" t="s">
        <v>29</v>
      </c>
    </row>
    <row r="14" spans="2:14" ht="18.5" thickBot="1" x14ac:dyDescent="0.4">
      <c r="I14" s="38" t="s">
        <v>2</v>
      </c>
      <c r="J14" s="38" t="s">
        <v>96</v>
      </c>
      <c r="K14" s="56" t="s">
        <v>109</v>
      </c>
    </row>
    <row r="15" spans="2:14" ht="18.5" thickBot="1" x14ac:dyDescent="0.4"/>
    <row r="16" spans="2:14" ht="18.5" thickBot="1" x14ac:dyDescent="0.4">
      <c r="I16" s="39"/>
      <c r="J16" s="40" t="s">
        <v>31</v>
      </c>
      <c r="K16" s="41" t="s">
        <v>30</v>
      </c>
    </row>
    <row r="17" spans="9:14" x14ac:dyDescent="0.35">
      <c r="I17" s="42" t="s">
        <v>8</v>
      </c>
      <c r="J17" s="43">
        <v>35</v>
      </c>
      <c r="K17" s="44">
        <v>20</v>
      </c>
    </row>
    <row r="18" spans="9:14" x14ac:dyDescent="0.35">
      <c r="I18" s="45" t="s">
        <v>9</v>
      </c>
      <c r="J18" s="46">
        <v>25</v>
      </c>
      <c r="K18" s="47">
        <v>10</v>
      </c>
    </row>
    <row r="19" spans="9:14" x14ac:dyDescent="0.35">
      <c r="I19" s="45" t="s">
        <v>10</v>
      </c>
      <c r="J19" s="46">
        <v>75</v>
      </c>
      <c r="K19" s="47">
        <v>40</v>
      </c>
    </row>
    <row r="20" spans="9:14" x14ac:dyDescent="0.35">
      <c r="I20" s="45" t="s">
        <v>11</v>
      </c>
      <c r="J20" s="46">
        <v>40</v>
      </c>
      <c r="K20" s="47">
        <v>25</v>
      </c>
    </row>
    <row r="21" spans="9:14" ht="18.5" thickBot="1" x14ac:dyDescent="0.4">
      <c r="I21" s="48" t="s">
        <v>12</v>
      </c>
      <c r="J21" s="49">
        <v>20</v>
      </c>
      <c r="K21" s="50">
        <v>12</v>
      </c>
    </row>
    <row r="22" spans="9:14" ht="18.5" thickBot="1" x14ac:dyDescent="0.4">
      <c r="I22" s="57"/>
      <c r="J22" s="39" t="s">
        <v>37</v>
      </c>
      <c r="K22" s="40" t="s">
        <v>25</v>
      </c>
      <c r="L22" s="40" t="s">
        <v>26</v>
      </c>
      <c r="M22" s="40" t="s">
        <v>27</v>
      </c>
      <c r="N22" s="41" t="s">
        <v>30</v>
      </c>
    </row>
    <row r="23" spans="9:14" ht="18.5" thickBot="1" x14ac:dyDescent="0.4">
      <c r="I23" s="51" t="s">
        <v>3</v>
      </c>
      <c r="J23" s="54">
        <v>180</v>
      </c>
      <c r="K23" s="54">
        <v>150</v>
      </c>
      <c r="L23" s="54">
        <v>50</v>
      </c>
      <c r="M23" s="54">
        <v>180</v>
      </c>
      <c r="N23" s="55">
        <v>60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F96C-5F31-4F1F-B62C-5C7706A536F9}">
  <dimension ref="B1:Y29"/>
  <sheetViews>
    <sheetView topLeftCell="A11" zoomScale="80" zoomScaleNormal="80" workbookViewId="0">
      <selection activeCell="G24" activeCellId="1" sqref="R24 G24"/>
    </sheetView>
  </sheetViews>
  <sheetFormatPr defaultRowHeight="15.5" x14ac:dyDescent="0.35"/>
  <cols>
    <col min="1" max="1" width="8.7265625" style="101"/>
    <col min="2" max="2" width="16.36328125" style="101" bestFit="1" customWidth="1"/>
    <col min="3" max="6" width="7.6328125" style="101" customWidth="1"/>
    <col min="7" max="7" width="12.90625" style="101" bestFit="1" customWidth="1"/>
    <col min="8" max="8" width="11" style="101" bestFit="1" customWidth="1"/>
    <col min="9" max="9" width="8.26953125" style="101" bestFit="1" customWidth="1"/>
    <col min="10" max="17" width="7.6328125" style="101" customWidth="1"/>
    <col min="18" max="18" width="12.90625" style="101" bestFit="1" customWidth="1"/>
    <col min="19" max="19" width="11" style="101" bestFit="1" customWidth="1"/>
    <col min="20" max="20" width="9.7265625" style="101" bestFit="1" customWidth="1"/>
    <col min="21" max="21" width="8.7265625" style="101"/>
    <col min="22" max="22" width="13.08984375" style="101" bestFit="1" customWidth="1"/>
    <col min="23" max="25" width="8.6328125" style="101" bestFit="1" customWidth="1"/>
    <col min="26" max="16384" width="8.7265625" style="101"/>
  </cols>
  <sheetData>
    <row r="1" spans="2:25" s="26" customFormat="1" x14ac:dyDescent="0.35"/>
    <row r="2" spans="2:25" s="26" customFormat="1" ht="16" thickBot="1" x14ac:dyDescent="0.4"/>
    <row r="3" spans="2:25" s="26" customFormat="1" ht="16" thickBot="1" x14ac:dyDescent="0.4">
      <c r="C3" s="173" t="s">
        <v>14</v>
      </c>
      <c r="D3" s="174"/>
      <c r="E3" s="174"/>
      <c r="F3" s="175"/>
      <c r="J3" s="173" t="s">
        <v>15</v>
      </c>
      <c r="K3" s="174"/>
      <c r="L3" s="174"/>
      <c r="M3" s="175"/>
      <c r="N3" s="174" t="s">
        <v>16</v>
      </c>
      <c r="O3" s="174"/>
      <c r="P3" s="174"/>
      <c r="Q3" s="175"/>
    </row>
    <row r="4" spans="2:25" s="26" customFormat="1" ht="16" thickBot="1" x14ac:dyDescent="0.4">
      <c r="B4" s="71" t="s">
        <v>21</v>
      </c>
      <c r="C4" s="72" t="s">
        <v>17</v>
      </c>
      <c r="D4" s="72" t="s">
        <v>18</v>
      </c>
      <c r="E4" s="72" t="s">
        <v>19</v>
      </c>
      <c r="F4" s="72" t="s">
        <v>20</v>
      </c>
      <c r="G4" s="72" t="s">
        <v>22</v>
      </c>
      <c r="H4" s="72" t="s">
        <v>24</v>
      </c>
      <c r="I4" s="73" t="s">
        <v>32</v>
      </c>
      <c r="J4" s="71" t="s">
        <v>59</v>
      </c>
      <c r="K4" s="71" t="s">
        <v>60</v>
      </c>
      <c r="L4" s="71" t="s">
        <v>61</v>
      </c>
      <c r="M4" s="71" t="s">
        <v>62</v>
      </c>
      <c r="N4" s="71" t="s">
        <v>63</v>
      </c>
      <c r="O4" s="71" t="s">
        <v>64</v>
      </c>
      <c r="P4" s="71" t="s">
        <v>65</v>
      </c>
      <c r="Q4" s="71" t="s">
        <v>66</v>
      </c>
      <c r="R4" s="72" t="s">
        <v>22</v>
      </c>
      <c r="S4" s="72" t="s">
        <v>24</v>
      </c>
      <c r="T4" s="73" t="s">
        <v>32</v>
      </c>
    </row>
    <row r="5" spans="2:25" s="26" customFormat="1" x14ac:dyDescent="0.35">
      <c r="B5" s="74"/>
      <c r="C5" s="75"/>
      <c r="D5" s="75"/>
      <c r="E5" s="75"/>
      <c r="F5" s="75"/>
      <c r="G5" s="75"/>
      <c r="H5" s="75"/>
      <c r="I5" s="76"/>
      <c r="J5" s="74"/>
      <c r="K5" s="75"/>
      <c r="L5" s="75"/>
      <c r="M5" s="76"/>
      <c r="N5" s="77"/>
      <c r="O5" s="75"/>
      <c r="P5" s="75"/>
      <c r="Q5" s="75"/>
      <c r="R5" s="75"/>
      <c r="S5" s="75"/>
      <c r="T5" s="76"/>
    </row>
    <row r="6" spans="2:25" s="26" customFormat="1" x14ac:dyDescent="0.35">
      <c r="B6" s="30" t="s">
        <v>13</v>
      </c>
      <c r="C6" s="31">
        <v>49</v>
      </c>
      <c r="D6" s="31">
        <v>64</v>
      </c>
      <c r="E6" s="31">
        <v>49</v>
      </c>
      <c r="F6" s="31">
        <v>35</v>
      </c>
      <c r="G6" s="31">
        <f>SUM(C6:F6)*40</f>
        <v>7880</v>
      </c>
      <c r="H6" s="31">
        <f>(C6*20)+(D6*20)+(E6*20)+(F6*20)</f>
        <v>3940</v>
      </c>
      <c r="I6" s="32">
        <f>G6-H6</f>
        <v>3940</v>
      </c>
      <c r="J6" s="30" t="s">
        <v>45</v>
      </c>
      <c r="K6" s="31" t="s">
        <v>45</v>
      </c>
      <c r="L6" s="31" t="s">
        <v>45</v>
      </c>
      <c r="M6" s="32" t="s">
        <v>45</v>
      </c>
      <c r="N6" s="78" t="s">
        <v>45</v>
      </c>
      <c r="O6" s="31" t="s">
        <v>45</v>
      </c>
      <c r="P6" s="31" t="s">
        <v>45</v>
      </c>
      <c r="Q6" s="31" t="s">
        <v>45</v>
      </c>
      <c r="R6" s="31">
        <f t="shared" ref="R6:R11" si="0">SUM(J6:Q6)*40</f>
        <v>0</v>
      </c>
      <c r="S6" s="31">
        <f t="shared" ref="S6:S11" si="1">SUM(J6:Q6)*30</f>
        <v>0</v>
      </c>
      <c r="T6" s="32">
        <f>R6-S6</f>
        <v>0</v>
      </c>
    </row>
    <row r="7" spans="2:25" s="26" customFormat="1" x14ac:dyDescent="0.35">
      <c r="B7" s="30" t="s">
        <v>5</v>
      </c>
      <c r="C7" s="31">
        <v>30</v>
      </c>
      <c r="D7" s="31">
        <v>69</v>
      </c>
      <c r="E7" s="31">
        <v>55</v>
      </c>
      <c r="F7" s="31">
        <v>45</v>
      </c>
      <c r="G7" s="31">
        <f>SUM(C7:F7)*30</f>
        <v>5970</v>
      </c>
      <c r="H7" s="31">
        <f>(C7*10)+(D7*10)+(E7*10)+(F7*10)</f>
        <v>1990</v>
      </c>
      <c r="I7" s="32">
        <f t="shared" ref="I7:I16" si="2">G7-H7</f>
        <v>3980</v>
      </c>
      <c r="J7" s="30" t="s">
        <v>45</v>
      </c>
      <c r="K7" s="31" t="s">
        <v>45</v>
      </c>
      <c r="L7" s="31" t="s">
        <v>45</v>
      </c>
      <c r="M7" s="32" t="s">
        <v>45</v>
      </c>
      <c r="N7" s="78" t="s">
        <v>45</v>
      </c>
      <c r="O7" s="31" t="s">
        <v>45</v>
      </c>
      <c r="P7" s="31" t="s">
        <v>45</v>
      </c>
      <c r="Q7" s="31" t="s">
        <v>45</v>
      </c>
      <c r="R7" s="31">
        <f t="shared" si="0"/>
        <v>0</v>
      </c>
      <c r="S7" s="31">
        <f t="shared" si="1"/>
        <v>0</v>
      </c>
      <c r="T7" s="32">
        <f t="shared" ref="T7:T11" si="3">R7-S7</f>
        <v>0</v>
      </c>
    </row>
    <row r="8" spans="2:25" s="26" customFormat="1" x14ac:dyDescent="0.35">
      <c r="B8" s="30" t="s">
        <v>3</v>
      </c>
      <c r="C8" s="31">
        <v>35</v>
      </c>
      <c r="D8" s="31">
        <v>56</v>
      </c>
      <c r="E8" s="31">
        <v>54</v>
      </c>
      <c r="F8" s="31">
        <v>37</v>
      </c>
      <c r="G8" s="31">
        <f>SUM(C8:F8)*110</f>
        <v>20020</v>
      </c>
      <c r="H8" s="31">
        <f>(C8*30)+(D8*30)+(E8*30)+(F8*30)</f>
        <v>5460</v>
      </c>
      <c r="I8" s="32">
        <f t="shared" si="2"/>
        <v>14560</v>
      </c>
      <c r="J8" s="30" t="s">
        <v>45</v>
      </c>
      <c r="K8" s="31" t="s">
        <v>45</v>
      </c>
      <c r="L8" s="31" t="s">
        <v>45</v>
      </c>
      <c r="M8" s="32" t="s">
        <v>45</v>
      </c>
      <c r="N8" s="78" t="s">
        <v>45</v>
      </c>
      <c r="O8" s="31" t="s">
        <v>45</v>
      </c>
      <c r="P8" s="31" t="s">
        <v>45</v>
      </c>
      <c r="Q8" s="31" t="s">
        <v>45</v>
      </c>
      <c r="R8" s="31">
        <f t="shared" si="0"/>
        <v>0</v>
      </c>
      <c r="S8" s="31">
        <f t="shared" si="1"/>
        <v>0</v>
      </c>
      <c r="T8" s="32">
        <f t="shared" si="3"/>
        <v>0</v>
      </c>
    </row>
    <row r="9" spans="2:25" s="26" customFormat="1" x14ac:dyDescent="0.35">
      <c r="B9" s="30" t="s">
        <v>7</v>
      </c>
      <c r="C9" s="31">
        <v>40</v>
      </c>
      <c r="D9" s="31">
        <v>74</v>
      </c>
      <c r="E9" s="31">
        <v>60</v>
      </c>
      <c r="F9" s="31">
        <v>44</v>
      </c>
      <c r="G9" s="31">
        <f>SUM(C9:F9)*25</f>
        <v>5450</v>
      </c>
      <c r="H9" s="31">
        <f>(C9*10)+(D9*10)+(E9*10)+(F9*10)</f>
        <v>2180</v>
      </c>
      <c r="I9" s="32">
        <f t="shared" si="2"/>
        <v>3270</v>
      </c>
      <c r="J9" s="30" t="s">
        <v>45</v>
      </c>
      <c r="K9" s="31" t="s">
        <v>45</v>
      </c>
      <c r="L9" s="31" t="s">
        <v>45</v>
      </c>
      <c r="M9" s="32" t="s">
        <v>45</v>
      </c>
      <c r="N9" s="78" t="s">
        <v>45</v>
      </c>
      <c r="O9" s="31" t="s">
        <v>45</v>
      </c>
      <c r="P9" s="31" t="s">
        <v>45</v>
      </c>
      <c r="Q9" s="31" t="s">
        <v>45</v>
      </c>
      <c r="R9" s="31">
        <f t="shared" si="0"/>
        <v>0</v>
      </c>
      <c r="S9" s="31">
        <f t="shared" si="1"/>
        <v>0</v>
      </c>
      <c r="T9" s="32">
        <f t="shared" si="3"/>
        <v>0</v>
      </c>
    </row>
    <row r="10" spans="2:25" s="26" customFormat="1" ht="16" thickBot="1" x14ac:dyDescent="0.4">
      <c r="B10" s="33" t="s">
        <v>6</v>
      </c>
      <c r="C10" s="34">
        <v>25</v>
      </c>
      <c r="D10" s="34">
        <v>30</v>
      </c>
      <c r="E10" s="34">
        <v>20</v>
      </c>
      <c r="F10" s="34">
        <v>25</v>
      </c>
      <c r="G10" s="34">
        <f>SUM(C10:F10)*30</f>
        <v>3000</v>
      </c>
      <c r="H10" s="34">
        <f>(C10*15)+(D10*15)+(E10*15)+(F10*15)</f>
        <v>1500</v>
      </c>
      <c r="I10" s="35">
        <f t="shared" ref="I10" si="4">G10-H10</f>
        <v>1500</v>
      </c>
      <c r="J10" s="33" t="s">
        <v>45</v>
      </c>
      <c r="K10" s="34" t="s">
        <v>45</v>
      </c>
      <c r="L10" s="34" t="s">
        <v>45</v>
      </c>
      <c r="M10" s="35" t="s">
        <v>45</v>
      </c>
      <c r="N10" s="79" t="s">
        <v>45</v>
      </c>
      <c r="O10" s="34" t="s">
        <v>45</v>
      </c>
      <c r="P10" s="34" t="s">
        <v>45</v>
      </c>
      <c r="Q10" s="34" t="s">
        <v>45</v>
      </c>
      <c r="R10" s="34">
        <f t="shared" si="0"/>
        <v>0</v>
      </c>
      <c r="S10" s="34">
        <f t="shared" si="1"/>
        <v>0</v>
      </c>
      <c r="T10" s="35">
        <f t="shared" si="3"/>
        <v>0</v>
      </c>
    </row>
    <row r="11" spans="2:25" s="26" customFormat="1" ht="16" thickBot="1" x14ac:dyDescent="0.4">
      <c r="B11" s="80" t="s">
        <v>36</v>
      </c>
      <c r="C11" s="81">
        <f>SUM(C6:C10)</f>
        <v>179</v>
      </c>
      <c r="D11" s="81">
        <f t="shared" ref="D11:F11" si="5">SUM(D6:D10)</f>
        <v>293</v>
      </c>
      <c r="E11" s="81">
        <f t="shared" si="5"/>
        <v>238</v>
      </c>
      <c r="F11" s="81">
        <f t="shared" si="5"/>
        <v>186</v>
      </c>
      <c r="G11" s="81">
        <f t="shared" ref="G11:I11" si="6">SUM(G6:G10)</f>
        <v>42320</v>
      </c>
      <c r="H11" s="81">
        <f t="shared" si="6"/>
        <v>15070</v>
      </c>
      <c r="I11" s="82">
        <f t="shared" si="6"/>
        <v>27250</v>
      </c>
      <c r="J11" s="80" t="s">
        <v>45</v>
      </c>
      <c r="K11" s="81" t="s">
        <v>45</v>
      </c>
      <c r="L11" s="81" t="s">
        <v>45</v>
      </c>
      <c r="M11" s="82" t="s">
        <v>45</v>
      </c>
      <c r="N11" s="83" t="s">
        <v>45</v>
      </c>
      <c r="O11" s="81" t="s">
        <v>45</v>
      </c>
      <c r="P11" s="81" t="s">
        <v>45</v>
      </c>
      <c r="Q11" s="81" t="s">
        <v>45</v>
      </c>
      <c r="R11" s="81">
        <f t="shared" si="0"/>
        <v>0</v>
      </c>
      <c r="S11" s="81">
        <f t="shared" si="1"/>
        <v>0</v>
      </c>
      <c r="T11" s="82">
        <f t="shared" si="3"/>
        <v>0</v>
      </c>
    </row>
    <row r="12" spans="2:25" s="26" customFormat="1" ht="16" thickBot="1" x14ac:dyDescent="0.4">
      <c r="B12" s="84"/>
      <c r="C12" s="85"/>
      <c r="D12" s="85"/>
      <c r="E12" s="85"/>
      <c r="F12" s="85"/>
      <c r="G12" s="85"/>
      <c r="H12" s="85"/>
      <c r="I12" s="86"/>
      <c r="J12" s="84"/>
      <c r="K12" s="85"/>
      <c r="L12" s="85"/>
      <c r="M12" s="86"/>
      <c r="N12" s="87"/>
      <c r="O12" s="85"/>
      <c r="P12" s="85"/>
      <c r="Q12" s="85"/>
      <c r="R12" s="85"/>
      <c r="S12" s="85"/>
      <c r="T12" s="86"/>
    </row>
    <row r="13" spans="2:25" s="26" customFormat="1" x14ac:dyDescent="0.35">
      <c r="B13" s="74" t="s">
        <v>8</v>
      </c>
      <c r="C13" s="75">
        <v>23</v>
      </c>
      <c r="D13" s="75">
        <v>49</v>
      </c>
      <c r="E13" s="75">
        <v>50</v>
      </c>
      <c r="F13" s="75">
        <v>45</v>
      </c>
      <c r="G13" s="75">
        <f>(C13*35)+(D13*35)+(E13*35)+(F13*35)</f>
        <v>5845</v>
      </c>
      <c r="H13" s="75">
        <f>SUM(C13:F13)*30</f>
        <v>5010</v>
      </c>
      <c r="I13" s="76">
        <f t="shared" si="2"/>
        <v>835</v>
      </c>
      <c r="J13" s="74">
        <v>50</v>
      </c>
      <c r="K13" s="75">
        <v>54</v>
      </c>
      <c r="L13" s="75">
        <v>53</v>
      </c>
      <c r="M13" s="76">
        <v>58</v>
      </c>
      <c r="N13" s="77">
        <v>60</v>
      </c>
      <c r="O13" s="75">
        <v>59</v>
      </c>
      <c r="P13" s="75">
        <v>56</v>
      </c>
      <c r="Q13" s="75">
        <v>57</v>
      </c>
      <c r="R13" s="75">
        <f>SUM(J13:Q13)*40</f>
        <v>17880</v>
      </c>
      <c r="S13" s="75">
        <f>SUM(J13:Q13)*30</f>
        <v>13410</v>
      </c>
      <c r="T13" s="76">
        <f>R13-S13</f>
        <v>4470</v>
      </c>
    </row>
    <row r="14" spans="2:25" s="26" customFormat="1" x14ac:dyDescent="0.35">
      <c r="B14" s="30" t="s">
        <v>10</v>
      </c>
      <c r="C14" s="31">
        <v>45</v>
      </c>
      <c r="D14" s="31">
        <v>60</v>
      </c>
      <c r="E14" s="31">
        <v>69</v>
      </c>
      <c r="F14" s="31">
        <v>72</v>
      </c>
      <c r="G14" s="31">
        <f>(C14*75)+(D14*75)+(E14*75)+(F14*75)</f>
        <v>18450</v>
      </c>
      <c r="H14" s="31">
        <f>SUM(C14:F14)*50</f>
        <v>12300</v>
      </c>
      <c r="I14" s="32">
        <f t="shared" si="2"/>
        <v>6150</v>
      </c>
      <c r="J14" s="30">
        <v>70</v>
      </c>
      <c r="K14" s="31">
        <v>67</v>
      </c>
      <c r="L14" s="31">
        <v>52</v>
      </c>
      <c r="M14" s="32">
        <v>67</v>
      </c>
      <c r="N14" s="78">
        <v>59</v>
      </c>
      <c r="O14" s="31">
        <v>70</v>
      </c>
      <c r="P14" s="31">
        <v>54</v>
      </c>
      <c r="Q14" s="31">
        <v>62</v>
      </c>
      <c r="R14" s="31">
        <f>SUM(J14:Q14)*80</f>
        <v>40080</v>
      </c>
      <c r="S14" s="31">
        <f>SUM(J14:Q14)*60</f>
        <v>30060</v>
      </c>
      <c r="T14" s="32">
        <f t="shared" ref="T14:T17" si="7">R14-S14</f>
        <v>10020</v>
      </c>
    </row>
    <row r="15" spans="2:25" s="26" customFormat="1" x14ac:dyDescent="0.35">
      <c r="B15" s="30" t="s">
        <v>11</v>
      </c>
      <c r="C15" s="31">
        <v>20</v>
      </c>
      <c r="D15" s="31">
        <v>39</v>
      </c>
      <c r="E15" s="31">
        <v>43</v>
      </c>
      <c r="F15" s="31">
        <v>40</v>
      </c>
      <c r="G15" s="31">
        <f>(C15*40)+(D15*40)+(E15*40)+(F15*40)</f>
        <v>5680</v>
      </c>
      <c r="H15" s="31">
        <f t="shared" ref="H15" si="8">SUM(C15:F15)*30</f>
        <v>4260</v>
      </c>
      <c r="I15" s="32">
        <f t="shared" si="2"/>
        <v>1420</v>
      </c>
      <c r="J15" s="30">
        <v>35</v>
      </c>
      <c r="K15" s="31">
        <v>35</v>
      </c>
      <c r="L15" s="31">
        <v>33</v>
      </c>
      <c r="M15" s="32">
        <v>46</v>
      </c>
      <c r="N15" s="78">
        <v>34</v>
      </c>
      <c r="O15" s="31">
        <v>44</v>
      </c>
      <c r="P15" s="31">
        <v>37</v>
      </c>
      <c r="Q15" s="31">
        <v>41</v>
      </c>
      <c r="R15" s="31">
        <f>SUM(J15:Q15)*40</f>
        <v>12200</v>
      </c>
      <c r="S15" s="31">
        <f>SUM(J15:Q15)*30</f>
        <v>9150</v>
      </c>
      <c r="T15" s="32">
        <f t="shared" si="7"/>
        <v>3050</v>
      </c>
    </row>
    <row r="16" spans="2:25" s="26" customFormat="1" x14ac:dyDescent="0.35">
      <c r="B16" s="30" t="s">
        <v>3</v>
      </c>
      <c r="C16" s="31">
        <v>39</v>
      </c>
      <c r="D16" s="31">
        <v>55</v>
      </c>
      <c r="E16" s="31">
        <v>69</v>
      </c>
      <c r="F16" s="31">
        <v>70</v>
      </c>
      <c r="G16" s="31">
        <f>(C16*150)+(D16*150)+(E16*150)+(F16*150)</f>
        <v>34950</v>
      </c>
      <c r="H16" s="31">
        <f>SUM(C16:F16)*50</f>
        <v>11650</v>
      </c>
      <c r="I16" s="32">
        <f t="shared" si="2"/>
        <v>23300</v>
      </c>
      <c r="J16" s="30">
        <v>79</v>
      </c>
      <c r="K16" s="31">
        <v>85</v>
      </c>
      <c r="L16" s="31">
        <v>71</v>
      </c>
      <c r="M16" s="32">
        <v>90</v>
      </c>
      <c r="N16" s="78">
        <v>82</v>
      </c>
      <c r="O16" s="31">
        <v>76</v>
      </c>
      <c r="P16" s="31">
        <v>89</v>
      </c>
      <c r="Q16" s="31">
        <v>87</v>
      </c>
      <c r="R16" s="31">
        <f>SUM(J16:Q16)*180</f>
        <v>118620</v>
      </c>
      <c r="S16" s="31">
        <f>SUM(J16:Q16)*60</f>
        <v>39540</v>
      </c>
      <c r="T16" s="32">
        <f t="shared" si="7"/>
        <v>79080</v>
      </c>
      <c r="W16" s="26">
        <f>SUM('Profit Analysis'!P20:P31)</f>
        <v>307935</v>
      </c>
      <c r="X16" s="26">
        <f>SUM('Profit Analysis'!Q20:Q31,H20:H23,S20:S23)</f>
        <v>203950</v>
      </c>
      <c r="Y16" s="26">
        <f>W16-X16</f>
        <v>103985</v>
      </c>
    </row>
    <row r="17" spans="2:20" s="26" customFormat="1" x14ac:dyDescent="0.35">
      <c r="B17" s="30" t="s">
        <v>12</v>
      </c>
      <c r="C17" s="31"/>
      <c r="D17" s="31"/>
      <c r="E17" s="31"/>
      <c r="F17" s="31"/>
      <c r="G17" s="31"/>
      <c r="H17" s="31"/>
      <c r="I17" s="32"/>
      <c r="J17" s="30">
        <v>35</v>
      </c>
      <c r="K17" s="31">
        <v>44</v>
      </c>
      <c r="L17" s="31">
        <v>42</v>
      </c>
      <c r="M17" s="32">
        <v>23</v>
      </c>
      <c r="N17" s="78">
        <v>40</v>
      </c>
      <c r="O17" s="31">
        <v>37</v>
      </c>
      <c r="P17" s="31">
        <v>31</v>
      </c>
      <c r="Q17" s="31">
        <v>50</v>
      </c>
      <c r="R17" s="31">
        <f>SUM(J17:Q17)*25</f>
        <v>7550</v>
      </c>
      <c r="S17" s="31">
        <f>SUM(J17:Q17)*15</f>
        <v>4530</v>
      </c>
      <c r="T17" s="32">
        <f t="shared" si="7"/>
        <v>3020</v>
      </c>
    </row>
    <row r="18" spans="2:20" s="26" customFormat="1" ht="16" thickBot="1" x14ac:dyDescent="0.4">
      <c r="B18" s="33" t="s">
        <v>38</v>
      </c>
      <c r="C18" s="34"/>
      <c r="D18" s="34"/>
      <c r="E18" s="34"/>
      <c r="F18" s="34"/>
      <c r="G18" s="34"/>
      <c r="H18" s="34"/>
      <c r="I18" s="35"/>
      <c r="J18" s="33">
        <v>23</v>
      </c>
      <c r="K18" s="34">
        <v>20</v>
      </c>
      <c r="L18" s="34">
        <v>21</v>
      </c>
      <c r="M18" s="35">
        <v>39</v>
      </c>
      <c r="N18" s="79">
        <v>33</v>
      </c>
      <c r="O18" s="34">
        <v>23</v>
      </c>
      <c r="P18" s="34">
        <v>32</v>
      </c>
      <c r="Q18" s="34">
        <v>27</v>
      </c>
      <c r="R18" s="34">
        <f>SUM(J18:Q18)*20</f>
        <v>4360</v>
      </c>
      <c r="S18" s="34">
        <f>SUM(J18:Q18)*15</f>
        <v>3270</v>
      </c>
      <c r="T18" s="35">
        <f t="shared" ref="T18" si="9">R18-S18</f>
        <v>1090</v>
      </c>
    </row>
    <row r="19" spans="2:20" s="26" customFormat="1" ht="16" thickBot="1" x14ac:dyDescent="0.4">
      <c r="B19" s="88" t="s">
        <v>35</v>
      </c>
      <c r="C19" s="89"/>
      <c r="D19" s="89"/>
      <c r="E19" s="89"/>
      <c r="F19" s="89"/>
      <c r="G19" s="89">
        <f t="shared" ref="G19:I19" si="10">SUM(G13:G16)</f>
        <v>64925</v>
      </c>
      <c r="H19" s="89">
        <f t="shared" si="10"/>
        <v>33220</v>
      </c>
      <c r="I19" s="90">
        <f t="shared" si="10"/>
        <v>31705</v>
      </c>
      <c r="J19" s="88"/>
      <c r="K19" s="89"/>
      <c r="L19" s="89"/>
      <c r="M19" s="90"/>
      <c r="N19" s="91"/>
      <c r="O19" s="89"/>
      <c r="P19" s="89"/>
      <c r="Q19" s="89"/>
      <c r="R19" s="89">
        <f>SUM(R13:R18)</f>
        <v>200690</v>
      </c>
      <c r="S19" s="89">
        <f>SUM(S13:S18)</f>
        <v>99960</v>
      </c>
      <c r="T19" s="90">
        <f>SUM(T13:T18)</f>
        <v>100730</v>
      </c>
    </row>
    <row r="20" spans="2:20" s="26" customFormat="1" x14ac:dyDescent="0.35">
      <c r="B20" s="92" t="s">
        <v>43</v>
      </c>
      <c r="C20" s="169">
        <v>2000</v>
      </c>
      <c r="D20" s="170"/>
      <c r="E20" s="170"/>
      <c r="F20" s="171"/>
      <c r="G20" s="93"/>
      <c r="H20" s="93">
        <v>2000</v>
      </c>
      <c r="I20" s="93"/>
      <c r="J20" s="169">
        <v>1800</v>
      </c>
      <c r="K20" s="170"/>
      <c r="L20" s="170"/>
      <c r="M20" s="171"/>
      <c r="N20" s="169">
        <f>4500-1800</f>
        <v>2700</v>
      </c>
      <c r="O20" s="170"/>
      <c r="P20" s="170"/>
      <c r="Q20" s="171"/>
      <c r="R20" s="93"/>
      <c r="S20" s="94">
        <f>SUM(J20:Q20)</f>
        <v>4500</v>
      </c>
      <c r="T20" s="95"/>
    </row>
    <row r="21" spans="2:20" s="26" customFormat="1" x14ac:dyDescent="0.35">
      <c r="B21" s="96" t="s">
        <v>44</v>
      </c>
      <c r="C21" s="169">
        <v>700</v>
      </c>
      <c r="D21" s="170"/>
      <c r="E21" s="170"/>
      <c r="F21" s="171"/>
      <c r="G21" s="94"/>
      <c r="H21" s="94">
        <v>700</v>
      </c>
      <c r="I21" s="94"/>
      <c r="J21" s="169">
        <v>800</v>
      </c>
      <c r="K21" s="170"/>
      <c r="L21" s="170"/>
      <c r="M21" s="171"/>
      <c r="N21" s="169">
        <v>700</v>
      </c>
      <c r="O21" s="170"/>
      <c r="P21" s="170"/>
      <c r="Q21" s="171"/>
      <c r="R21" s="94"/>
      <c r="S21" s="94">
        <f>SUM(J21:Q21)</f>
        <v>1500</v>
      </c>
      <c r="T21" s="97"/>
    </row>
    <row r="22" spans="2:20" s="26" customFormat="1" x14ac:dyDescent="0.35">
      <c r="B22" s="96" t="s">
        <v>46</v>
      </c>
      <c r="C22" s="169">
        <v>0</v>
      </c>
      <c r="D22" s="170"/>
      <c r="E22" s="170"/>
      <c r="F22" s="171"/>
      <c r="G22" s="94"/>
      <c r="H22" s="94">
        <v>0</v>
      </c>
      <c r="I22" s="94"/>
      <c r="J22" s="169">
        <v>0</v>
      </c>
      <c r="K22" s="170"/>
      <c r="L22" s="170"/>
      <c r="M22" s="171"/>
      <c r="N22" s="169">
        <v>5000</v>
      </c>
      <c r="O22" s="170"/>
      <c r="P22" s="170"/>
      <c r="Q22" s="171"/>
      <c r="R22" s="94"/>
      <c r="S22" s="94">
        <f>SUM(J22:Q22)</f>
        <v>5000</v>
      </c>
      <c r="T22" s="97"/>
    </row>
    <row r="23" spans="2:20" s="26" customFormat="1" x14ac:dyDescent="0.35">
      <c r="B23" s="96" t="s">
        <v>0</v>
      </c>
      <c r="C23" s="169">
        <v>14000</v>
      </c>
      <c r="D23" s="170"/>
      <c r="E23" s="170"/>
      <c r="F23" s="171"/>
      <c r="G23" s="94"/>
      <c r="H23" s="94">
        <v>14000</v>
      </c>
      <c r="I23" s="94"/>
      <c r="J23" s="169">
        <v>14000</v>
      </c>
      <c r="K23" s="170"/>
      <c r="L23" s="170"/>
      <c r="M23" s="171"/>
      <c r="N23" s="169">
        <v>14000</v>
      </c>
      <c r="O23" s="170"/>
      <c r="P23" s="170"/>
      <c r="Q23" s="171"/>
      <c r="R23" s="94"/>
      <c r="S23" s="94">
        <f>SUM(J23:Q23)</f>
        <v>28000</v>
      </c>
      <c r="T23" s="97"/>
    </row>
    <row r="24" spans="2:20" s="26" customFormat="1" ht="16" thickBot="1" x14ac:dyDescent="0.4">
      <c r="B24" s="98" t="s">
        <v>34</v>
      </c>
      <c r="C24" s="99"/>
      <c r="D24" s="99"/>
      <c r="E24" s="99"/>
      <c r="F24" s="99"/>
      <c r="G24" s="99">
        <f>SUM(G19,G11)</f>
        <v>107245</v>
      </c>
      <c r="H24" s="99">
        <f>SUM(H19,H11,H20,H21,H23)</f>
        <v>64990</v>
      </c>
      <c r="I24" s="99">
        <f>G24-H24</f>
        <v>42255</v>
      </c>
      <c r="J24" s="99"/>
      <c r="K24" s="99"/>
      <c r="L24" s="99"/>
      <c r="M24" s="99"/>
      <c r="N24" s="99"/>
      <c r="O24" s="99"/>
      <c r="P24" s="99"/>
      <c r="Q24" s="99"/>
      <c r="R24" s="99">
        <f>SUM(R13:R18)</f>
        <v>200690</v>
      </c>
      <c r="S24" s="99">
        <f>SUM(S20:S23,S13:S18)</f>
        <v>138960</v>
      </c>
      <c r="T24" s="100">
        <f>R24-S24</f>
        <v>61730</v>
      </c>
    </row>
    <row r="26" spans="2:20" x14ac:dyDescent="0.35">
      <c r="G26" s="172" t="s">
        <v>48</v>
      </c>
      <c r="H26" s="172"/>
      <c r="I26" s="172"/>
      <c r="J26" s="172"/>
      <c r="K26" s="172"/>
      <c r="L26" s="172"/>
      <c r="M26" s="172"/>
      <c r="N26" s="172"/>
    </row>
    <row r="27" spans="2:20" x14ac:dyDescent="0.35">
      <c r="G27" s="172" t="s">
        <v>49</v>
      </c>
      <c r="H27" s="172"/>
      <c r="I27" s="172"/>
      <c r="J27" s="172"/>
      <c r="K27" s="172"/>
      <c r="L27" s="172"/>
      <c r="M27" s="172"/>
      <c r="N27" s="172"/>
    </row>
    <row r="28" spans="2:20" x14ac:dyDescent="0.35">
      <c r="G28" s="172" t="s">
        <v>106</v>
      </c>
      <c r="H28" s="172"/>
      <c r="I28" s="172"/>
      <c r="J28" s="172"/>
      <c r="K28" s="172"/>
      <c r="L28" s="172"/>
      <c r="M28" s="172"/>
      <c r="N28" s="172"/>
    </row>
    <row r="29" spans="2:20" x14ac:dyDescent="0.35">
      <c r="G29" s="172" t="s">
        <v>47</v>
      </c>
      <c r="H29" s="172"/>
      <c r="I29" s="172"/>
      <c r="J29" s="172"/>
      <c r="K29" s="172"/>
      <c r="L29" s="172"/>
      <c r="M29" s="172"/>
      <c r="N29" s="172"/>
    </row>
  </sheetData>
  <mergeCells count="19">
    <mergeCell ref="G29:N29"/>
    <mergeCell ref="C3:F3"/>
    <mergeCell ref="J3:M3"/>
    <mergeCell ref="N3:Q3"/>
    <mergeCell ref="N20:Q20"/>
    <mergeCell ref="N21:Q21"/>
    <mergeCell ref="N22:Q22"/>
    <mergeCell ref="N23:Q23"/>
    <mergeCell ref="C20:F20"/>
    <mergeCell ref="C21:F21"/>
    <mergeCell ref="C22:F22"/>
    <mergeCell ref="C23:F23"/>
    <mergeCell ref="J20:M20"/>
    <mergeCell ref="J21:M21"/>
    <mergeCell ref="J22:M22"/>
    <mergeCell ref="J23:M23"/>
    <mergeCell ref="G28:N28"/>
    <mergeCell ref="G26:N26"/>
    <mergeCell ref="G27:N2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A9B7-2AB9-44D4-AF73-D8DFBCD00270}">
  <dimension ref="C18:R31"/>
  <sheetViews>
    <sheetView zoomScale="85" zoomScaleNormal="50" workbookViewId="0">
      <selection activeCell="I1" sqref="I1"/>
    </sheetView>
  </sheetViews>
  <sheetFormatPr defaultRowHeight="14.5" x14ac:dyDescent="0.35"/>
  <cols>
    <col min="3" max="3" width="13" bestFit="1" customWidth="1"/>
  </cols>
  <sheetData>
    <row r="18" spans="3:18" ht="15" thickBot="1" x14ac:dyDescent="0.4"/>
    <row r="19" spans="3:18" x14ac:dyDescent="0.35">
      <c r="C19" s="8" t="s">
        <v>83</v>
      </c>
      <c r="D19" s="8" t="s">
        <v>17</v>
      </c>
      <c r="E19" s="8" t="s">
        <v>18</v>
      </c>
      <c r="F19" s="8" t="s">
        <v>19</v>
      </c>
      <c r="G19" s="8" t="s">
        <v>20</v>
      </c>
      <c r="H19" s="8" t="s">
        <v>59</v>
      </c>
      <c r="I19" s="8" t="s">
        <v>60</v>
      </c>
      <c r="J19" s="8" t="s">
        <v>61</v>
      </c>
      <c r="K19" s="8" t="s">
        <v>62</v>
      </c>
      <c r="L19" s="8" t="s">
        <v>63</v>
      </c>
      <c r="M19" s="8" t="s">
        <v>64</v>
      </c>
      <c r="N19" s="8" t="s">
        <v>65</v>
      </c>
      <c r="O19" s="8" t="s">
        <v>66</v>
      </c>
      <c r="P19" s="8" t="s">
        <v>22</v>
      </c>
      <c r="Q19" s="8" t="s">
        <v>24</v>
      </c>
      <c r="R19" s="9" t="s">
        <v>32</v>
      </c>
    </row>
    <row r="20" spans="3:18" x14ac:dyDescent="0.35">
      <c r="C20" s="2" t="s">
        <v>13</v>
      </c>
      <c r="D20" s="3">
        <v>49</v>
      </c>
      <c r="E20" s="3">
        <v>64</v>
      </c>
      <c r="F20" s="3">
        <v>49</v>
      </c>
      <c r="G20" s="3">
        <v>35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7880</v>
      </c>
      <c r="Q20" s="3">
        <v>3940</v>
      </c>
      <c r="R20" s="4">
        <v>3940</v>
      </c>
    </row>
    <row r="21" spans="3:18" x14ac:dyDescent="0.35">
      <c r="C21" s="2" t="s">
        <v>5</v>
      </c>
      <c r="D21" s="3">
        <v>30</v>
      </c>
      <c r="E21" s="3">
        <v>69</v>
      </c>
      <c r="F21" s="3">
        <v>55</v>
      </c>
      <c r="G21" s="3">
        <v>45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5970</v>
      </c>
      <c r="Q21" s="3">
        <v>1990</v>
      </c>
      <c r="R21" s="4">
        <v>3980</v>
      </c>
    </row>
    <row r="22" spans="3:18" x14ac:dyDescent="0.35">
      <c r="C22" s="2" t="s">
        <v>3</v>
      </c>
      <c r="D22" s="3">
        <v>35</v>
      </c>
      <c r="E22" s="3">
        <v>56</v>
      </c>
      <c r="F22" s="3">
        <v>54</v>
      </c>
      <c r="G22" s="3">
        <v>37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20020</v>
      </c>
      <c r="Q22" s="3">
        <v>5460</v>
      </c>
      <c r="R22" s="4">
        <v>14560</v>
      </c>
    </row>
    <row r="23" spans="3:18" x14ac:dyDescent="0.35">
      <c r="C23" s="2" t="s">
        <v>7</v>
      </c>
      <c r="D23" s="3">
        <v>40</v>
      </c>
      <c r="E23" s="3">
        <v>74</v>
      </c>
      <c r="F23" s="3">
        <v>60</v>
      </c>
      <c r="G23" s="3">
        <v>44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5450</v>
      </c>
      <c r="Q23" s="3">
        <v>2180</v>
      </c>
      <c r="R23" s="4">
        <v>3270</v>
      </c>
    </row>
    <row r="24" spans="3:18" ht="15" thickBot="1" x14ac:dyDescent="0.4">
      <c r="C24" s="2" t="s">
        <v>6</v>
      </c>
      <c r="D24" s="3">
        <v>25</v>
      </c>
      <c r="E24" s="3">
        <v>30</v>
      </c>
      <c r="F24" s="3">
        <v>20</v>
      </c>
      <c r="G24" s="3">
        <v>25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3000</v>
      </c>
      <c r="Q24" s="3">
        <v>1500</v>
      </c>
      <c r="R24" s="4">
        <v>1500</v>
      </c>
    </row>
    <row r="25" spans="3:18" x14ac:dyDescent="0.35">
      <c r="C25" s="8" t="s">
        <v>83</v>
      </c>
      <c r="D25" s="8" t="s">
        <v>17</v>
      </c>
      <c r="E25" s="8" t="s">
        <v>18</v>
      </c>
      <c r="F25" s="8" t="s">
        <v>19</v>
      </c>
      <c r="G25" s="8" t="s">
        <v>20</v>
      </c>
      <c r="H25" s="8" t="s">
        <v>59</v>
      </c>
      <c r="I25" s="8" t="s">
        <v>60</v>
      </c>
      <c r="J25" s="8" t="s">
        <v>61</v>
      </c>
      <c r="K25" s="8" t="s">
        <v>62</v>
      </c>
      <c r="L25" s="8" t="s">
        <v>63</v>
      </c>
      <c r="M25" s="8" t="s">
        <v>64</v>
      </c>
      <c r="N25" s="8" t="s">
        <v>65</v>
      </c>
      <c r="O25" s="8" t="s">
        <v>66</v>
      </c>
      <c r="P25" s="8" t="s">
        <v>22</v>
      </c>
      <c r="Q25" s="8" t="s">
        <v>24</v>
      </c>
      <c r="R25" s="9" t="s">
        <v>32</v>
      </c>
    </row>
    <row r="26" spans="3:18" x14ac:dyDescent="0.35">
      <c r="C26" s="2" t="s">
        <v>8</v>
      </c>
      <c r="D26" s="3">
        <v>23</v>
      </c>
      <c r="E26" s="3">
        <v>49</v>
      </c>
      <c r="F26" s="3">
        <v>50</v>
      </c>
      <c r="G26" s="3">
        <v>45</v>
      </c>
      <c r="H26" s="3">
        <v>50</v>
      </c>
      <c r="I26" s="3">
        <v>54</v>
      </c>
      <c r="J26" s="3">
        <v>53</v>
      </c>
      <c r="K26" s="3">
        <v>58</v>
      </c>
      <c r="L26" s="3">
        <v>60</v>
      </c>
      <c r="M26" s="3">
        <v>59</v>
      </c>
      <c r="N26" s="3">
        <v>56</v>
      </c>
      <c r="O26" s="3">
        <v>57</v>
      </c>
      <c r="P26" s="3">
        <v>23725</v>
      </c>
      <c r="Q26" s="3">
        <v>18420</v>
      </c>
      <c r="R26" s="4">
        <v>5305</v>
      </c>
    </row>
    <row r="27" spans="3:18" x14ac:dyDescent="0.35">
      <c r="C27" s="2" t="s">
        <v>10</v>
      </c>
      <c r="D27" s="3">
        <v>45</v>
      </c>
      <c r="E27" s="3">
        <v>60</v>
      </c>
      <c r="F27" s="3">
        <v>69</v>
      </c>
      <c r="G27" s="3">
        <v>72</v>
      </c>
      <c r="H27" s="3">
        <v>70</v>
      </c>
      <c r="I27" s="3">
        <v>67</v>
      </c>
      <c r="J27" s="3">
        <v>52</v>
      </c>
      <c r="K27" s="3">
        <v>67</v>
      </c>
      <c r="L27" s="3">
        <v>59</v>
      </c>
      <c r="M27" s="3">
        <v>70</v>
      </c>
      <c r="N27" s="3">
        <v>54</v>
      </c>
      <c r="O27" s="3">
        <v>62</v>
      </c>
      <c r="P27" s="3">
        <v>58530</v>
      </c>
      <c r="Q27" s="3">
        <v>42360</v>
      </c>
      <c r="R27" s="4">
        <v>16170</v>
      </c>
    </row>
    <row r="28" spans="3:18" x14ac:dyDescent="0.35">
      <c r="C28" s="2" t="s">
        <v>11</v>
      </c>
      <c r="D28" s="3">
        <v>20</v>
      </c>
      <c r="E28" s="3">
        <v>39</v>
      </c>
      <c r="F28" s="3">
        <v>43</v>
      </c>
      <c r="G28" s="3">
        <v>40</v>
      </c>
      <c r="H28" s="3">
        <v>35</v>
      </c>
      <c r="I28" s="3">
        <v>35</v>
      </c>
      <c r="J28" s="3">
        <v>33</v>
      </c>
      <c r="K28" s="3">
        <v>46</v>
      </c>
      <c r="L28" s="3">
        <v>34</v>
      </c>
      <c r="M28" s="3">
        <v>44</v>
      </c>
      <c r="N28" s="3">
        <v>37</v>
      </c>
      <c r="O28" s="3">
        <v>41</v>
      </c>
      <c r="P28" s="3">
        <v>17880</v>
      </c>
      <c r="Q28" s="3">
        <v>13410</v>
      </c>
      <c r="R28" s="4">
        <v>4470</v>
      </c>
    </row>
    <row r="29" spans="3:18" x14ac:dyDescent="0.35">
      <c r="C29" s="2" t="s">
        <v>3</v>
      </c>
      <c r="D29" s="3">
        <v>39</v>
      </c>
      <c r="E29" s="3">
        <v>55</v>
      </c>
      <c r="F29" s="3">
        <v>69</v>
      </c>
      <c r="G29" s="3">
        <v>70</v>
      </c>
      <c r="H29" s="3">
        <v>79</v>
      </c>
      <c r="I29" s="3">
        <v>85</v>
      </c>
      <c r="J29" s="3">
        <v>71</v>
      </c>
      <c r="K29" s="3">
        <v>90</v>
      </c>
      <c r="L29" s="3">
        <v>82</v>
      </c>
      <c r="M29" s="3">
        <v>76</v>
      </c>
      <c r="N29" s="3">
        <v>89</v>
      </c>
      <c r="O29" s="3">
        <v>87</v>
      </c>
      <c r="P29" s="3">
        <v>153570</v>
      </c>
      <c r="Q29" s="3">
        <v>51190</v>
      </c>
      <c r="R29" s="4">
        <v>102380</v>
      </c>
    </row>
    <row r="30" spans="3:18" x14ac:dyDescent="0.35">
      <c r="C30" s="2" t="s">
        <v>12</v>
      </c>
      <c r="D30" s="3">
        <v>0</v>
      </c>
      <c r="E30" s="3">
        <v>0</v>
      </c>
      <c r="F30" s="3">
        <v>0</v>
      </c>
      <c r="G30" s="3">
        <v>0</v>
      </c>
      <c r="H30" s="3">
        <v>35</v>
      </c>
      <c r="I30" s="3">
        <v>44</v>
      </c>
      <c r="J30" s="3">
        <v>42</v>
      </c>
      <c r="K30" s="3">
        <v>23</v>
      </c>
      <c r="L30" s="3">
        <v>40</v>
      </c>
      <c r="M30" s="3">
        <v>37</v>
      </c>
      <c r="N30" s="3">
        <v>31</v>
      </c>
      <c r="O30" s="3">
        <v>50</v>
      </c>
      <c r="P30" s="3">
        <v>7550</v>
      </c>
      <c r="Q30" s="3">
        <v>4530</v>
      </c>
      <c r="R30" s="4">
        <v>3020</v>
      </c>
    </row>
    <row r="31" spans="3:18" ht="15" thickBot="1" x14ac:dyDescent="0.4">
      <c r="C31" s="5" t="s">
        <v>38</v>
      </c>
      <c r="D31" s="6">
        <v>0</v>
      </c>
      <c r="E31" s="6">
        <v>0</v>
      </c>
      <c r="F31" s="6">
        <v>0</v>
      </c>
      <c r="G31" s="6">
        <v>0</v>
      </c>
      <c r="H31" s="6">
        <v>23</v>
      </c>
      <c r="I31" s="6">
        <v>20</v>
      </c>
      <c r="J31" s="6">
        <v>21</v>
      </c>
      <c r="K31" s="6">
        <v>39</v>
      </c>
      <c r="L31" s="6">
        <v>33</v>
      </c>
      <c r="M31" s="6">
        <v>23</v>
      </c>
      <c r="N31" s="6">
        <v>32</v>
      </c>
      <c r="O31" s="6">
        <v>27</v>
      </c>
      <c r="P31" s="6">
        <v>4360</v>
      </c>
      <c r="Q31" s="6">
        <v>3270</v>
      </c>
      <c r="R31" s="7">
        <v>1090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5650-99B9-4D03-A1AC-21553D5288EC}">
  <dimension ref="B1:AG56"/>
  <sheetViews>
    <sheetView topLeftCell="A23" zoomScale="80" zoomScaleNormal="80" workbookViewId="0">
      <selection activeCell="A36" sqref="A36"/>
    </sheetView>
  </sheetViews>
  <sheetFormatPr defaultRowHeight="14.5" x14ac:dyDescent="0.35"/>
  <cols>
    <col min="1" max="1" width="8.7265625" style="70"/>
    <col min="2" max="2" width="15.36328125" style="70" bestFit="1" customWidth="1"/>
    <col min="3" max="18" width="7.54296875" style="70" customWidth="1"/>
    <col min="19" max="19" width="12" style="70" bestFit="1" customWidth="1"/>
    <col min="20" max="20" width="10.453125" style="70" bestFit="1" customWidth="1"/>
    <col min="21" max="21" width="12" style="70" bestFit="1" customWidth="1"/>
    <col min="22" max="22" width="10.453125" style="70" bestFit="1" customWidth="1"/>
    <col min="23" max="23" width="6.54296875" style="70" bestFit="1" customWidth="1"/>
    <col min="24" max="27" width="5.81640625" style="70" bestFit="1" customWidth="1"/>
    <col min="28" max="28" width="12" style="70" bestFit="1" customWidth="1"/>
    <col min="29" max="29" width="10.453125" style="70" bestFit="1" customWidth="1"/>
    <col min="30" max="30" width="6.54296875" style="70" bestFit="1" customWidth="1"/>
    <col min="31" max="31" width="14.08984375" style="70" bestFit="1" customWidth="1"/>
    <col min="32" max="32" width="10.453125" style="70" bestFit="1" customWidth="1"/>
    <col min="33" max="33" width="8.54296875" style="70" bestFit="1" customWidth="1"/>
    <col min="34" max="34" width="8.7265625" style="70"/>
    <col min="35" max="35" width="11.90625" style="70" bestFit="1" customWidth="1"/>
    <col min="36" max="16384" width="8.7265625" style="70"/>
  </cols>
  <sheetData>
    <row r="1" spans="2:33" s="18" customFormat="1" x14ac:dyDescent="0.35"/>
    <row r="2" spans="2:33" s="18" customFormat="1" ht="15" thickBot="1" x14ac:dyDescent="0.4"/>
    <row r="3" spans="2:33" s="18" customFormat="1" ht="15" thickBot="1" x14ac:dyDescent="0.4">
      <c r="B3" s="102"/>
      <c r="C3" s="176" t="s">
        <v>50</v>
      </c>
      <c r="D3" s="177"/>
      <c r="E3" s="177"/>
      <c r="F3" s="178"/>
      <c r="G3" s="103"/>
      <c r="H3" s="104"/>
      <c r="I3" s="105"/>
      <c r="J3" s="176" t="s">
        <v>51</v>
      </c>
      <c r="K3" s="177"/>
      <c r="L3" s="177"/>
      <c r="M3" s="178"/>
      <c r="N3" s="103"/>
      <c r="O3" s="104"/>
      <c r="P3" s="105"/>
      <c r="Q3" s="176" t="s">
        <v>52</v>
      </c>
      <c r="R3" s="177"/>
      <c r="S3" s="177"/>
      <c r="T3" s="178"/>
      <c r="U3" s="103"/>
      <c r="V3" s="104"/>
      <c r="W3" s="105"/>
      <c r="X3" s="176" t="s">
        <v>53</v>
      </c>
      <c r="Y3" s="177"/>
      <c r="Z3" s="177"/>
      <c r="AA3" s="178"/>
      <c r="AB3" s="103"/>
      <c r="AC3" s="104"/>
      <c r="AD3" s="105"/>
      <c r="AE3" s="176" t="s">
        <v>84</v>
      </c>
      <c r="AF3" s="177"/>
      <c r="AG3" s="178"/>
    </row>
    <row r="4" spans="2:33" s="18" customFormat="1" ht="15" thickBot="1" x14ac:dyDescent="0.4">
      <c r="B4" s="106" t="s">
        <v>21</v>
      </c>
      <c r="C4" s="107" t="s">
        <v>67</v>
      </c>
      <c r="D4" s="108" t="s">
        <v>68</v>
      </c>
      <c r="E4" s="108" t="s">
        <v>69</v>
      </c>
      <c r="F4" s="109" t="s">
        <v>70</v>
      </c>
      <c r="G4" s="110" t="s">
        <v>22</v>
      </c>
      <c r="H4" s="108" t="s">
        <v>24</v>
      </c>
      <c r="I4" s="111" t="s">
        <v>32</v>
      </c>
      <c r="J4" s="107" t="s">
        <v>71</v>
      </c>
      <c r="K4" s="108" t="s">
        <v>72</v>
      </c>
      <c r="L4" s="108" t="s">
        <v>73</v>
      </c>
      <c r="M4" s="109" t="s">
        <v>74</v>
      </c>
      <c r="N4" s="110" t="s">
        <v>22</v>
      </c>
      <c r="O4" s="108" t="s">
        <v>24</v>
      </c>
      <c r="P4" s="111" t="s">
        <v>32</v>
      </c>
      <c r="Q4" s="107" t="s">
        <v>75</v>
      </c>
      <c r="R4" s="108" t="s">
        <v>76</v>
      </c>
      <c r="S4" s="108" t="s">
        <v>77</v>
      </c>
      <c r="T4" s="109" t="s">
        <v>78</v>
      </c>
      <c r="U4" s="110" t="s">
        <v>22</v>
      </c>
      <c r="V4" s="108" t="s">
        <v>24</v>
      </c>
      <c r="W4" s="111" t="s">
        <v>32</v>
      </c>
      <c r="X4" s="107" t="s">
        <v>79</v>
      </c>
      <c r="Y4" s="108" t="s">
        <v>80</v>
      </c>
      <c r="Z4" s="108" t="s">
        <v>81</v>
      </c>
      <c r="AA4" s="109" t="s">
        <v>82</v>
      </c>
      <c r="AB4" s="110" t="s">
        <v>22</v>
      </c>
      <c r="AC4" s="108" t="s">
        <v>24</v>
      </c>
      <c r="AD4" s="111" t="s">
        <v>32</v>
      </c>
      <c r="AE4" s="107" t="s">
        <v>22</v>
      </c>
      <c r="AF4" s="108" t="s">
        <v>24</v>
      </c>
      <c r="AG4" s="109" t="s">
        <v>32</v>
      </c>
    </row>
    <row r="5" spans="2:33" s="18" customFormat="1" x14ac:dyDescent="0.35">
      <c r="B5" s="112" t="s">
        <v>8</v>
      </c>
      <c r="C5" s="19">
        <v>25</v>
      </c>
      <c r="D5" s="20">
        <v>38</v>
      </c>
      <c r="E5" s="20">
        <v>27</v>
      </c>
      <c r="F5" s="21">
        <v>23</v>
      </c>
      <c r="G5" s="58">
        <f>SUM(C5:F5)*40</f>
        <v>4520</v>
      </c>
      <c r="H5" s="20">
        <f>SUM(C5:F5)*30</f>
        <v>3390</v>
      </c>
      <c r="I5" s="113">
        <f>G5-H5</f>
        <v>1130</v>
      </c>
      <c r="J5" s="19">
        <v>23</v>
      </c>
      <c r="K5" s="20">
        <v>15</v>
      </c>
      <c r="L5" s="20">
        <v>24</v>
      </c>
      <c r="M5" s="21">
        <v>15</v>
      </c>
      <c r="N5" s="58">
        <f>SUM(J5:M5)*40</f>
        <v>3080</v>
      </c>
      <c r="O5" s="20">
        <f>SUM(J5:M5)*30</f>
        <v>2310</v>
      </c>
      <c r="P5" s="113">
        <f>N5-O5</f>
        <v>770</v>
      </c>
      <c r="Q5" s="19">
        <v>18</v>
      </c>
      <c r="R5" s="20">
        <v>19</v>
      </c>
      <c r="S5" s="20">
        <v>25</v>
      </c>
      <c r="T5" s="21">
        <v>20</v>
      </c>
      <c r="U5" s="58">
        <f>SUM(Q5:T5)*40</f>
        <v>3280</v>
      </c>
      <c r="V5" s="20">
        <f>SUM(Q5:T5)*30</f>
        <v>2460</v>
      </c>
      <c r="W5" s="113">
        <f>U5-V5</f>
        <v>820</v>
      </c>
      <c r="X5" s="19">
        <v>13</v>
      </c>
      <c r="Y5" s="20">
        <v>10</v>
      </c>
      <c r="Z5" s="20">
        <v>10</v>
      </c>
      <c r="AA5" s="21">
        <v>8</v>
      </c>
      <c r="AB5" s="58">
        <f>SUM(X5:AA5)*40</f>
        <v>1640</v>
      </c>
      <c r="AC5" s="20">
        <f>SUM(X5:AA5)*30</f>
        <v>1230</v>
      </c>
      <c r="AD5" s="113">
        <f>AB5-AC5</f>
        <v>410</v>
      </c>
      <c r="AE5" s="19">
        <f>SUM(C5:F5,J5:M5,Q5:T5,X5:AA5)*40</f>
        <v>12520</v>
      </c>
      <c r="AF5" s="20">
        <f>SUM(C5:F5,J5:M5,Q5:T5,X5:AA5)*30</f>
        <v>9390</v>
      </c>
      <c r="AG5" s="21">
        <f>AE5-AF5</f>
        <v>3130</v>
      </c>
    </row>
    <row r="6" spans="2:33" s="18" customFormat="1" x14ac:dyDescent="0.35">
      <c r="B6" s="114" t="s">
        <v>10</v>
      </c>
      <c r="C6" s="19">
        <v>29</v>
      </c>
      <c r="D6" s="20">
        <v>36</v>
      </c>
      <c r="E6" s="20">
        <v>20</v>
      </c>
      <c r="F6" s="21">
        <v>20</v>
      </c>
      <c r="G6" s="58">
        <f>SUM(C6:F6)*80</f>
        <v>8400</v>
      </c>
      <c r="H6" s="20">
        <f>SUM(C6:F6)*60</f>
        <v>6300</v>
      </c>
      <c r="I6" s="113">
        <f t="shared" ref="I6:I10" si="0">G6-H6</f>
        <v>2100</v>
      </c>
      <c r="J6" s="19">
        <v>17</v>
      </c>
      <c r="K6" s="20">
        <v>23</v>
      </c>
      <c r="L6" s="20">
        <v>21</v>
      </c>
      <c r="M6" s="21">
        <v>19</v>
      </c>
      <c r="N6" s="58">
        <f>SUM(J6:M6)*80</f>
        <v>6400</v>
      </c>
      <c r="O6" s="20">
        <f>SUM(J6:M6)*60</f>
        <v>4800</v>
      </c>
      <c r="P6" s="113">
        <f t="shared" ref="P6:P10" si="1">N6-O6</f>
        <v>1600</v>
      </c>
      <c r="Q6" s="19">
        <v>19</v>
      </c>
      <c r="R6" s="20">
        <v>23</v>
      </c>
      <c r="S6" s="20">
        <v>18</v>
      </c>
      <c r="T6" s="21">
        <v>21</v>
      </c>
      <c r="U6" s="58">
        <f>SUM(Q6:T6)*80</f>
        <v>6480</v>
      </c>
      <c r="V6" s="20">
        <f>SUM(Q6:T6)*60</f>
        <v>4860</v>
      </c>
      <c r="W6" s="113">
        <f t="shared" ref="W6:W10" si="2">U6-V6</f>
        <v>1620</v>
      </c>
      <c r="X6" s="19">
        <v>8</v>
      </c>
      <c r="Y6" s="20">
        <v>6</v>
      </c>
      <c r="Z6" s="20">
        <v>5</v>
      </c>
      <c r="AA6" s="21">
        <v>8</v>
      </c>
      <c r="AB6" s="58">
        <f>SUM(X6:AA6)*80</f>
        <v>2160</v>
      </c>
      <c r="AC6" s="20">
        <f>SUM(X6:AA6)*60</f>
        <v>1620</v>
      </c>
      <c r="AD6" s="113">
        <f t="shared" ref="AD6:AD10" si="3">AB6-AC6</f>
        <v>540</v>
      </c>
      <c r="AE6" s="19">
        <f>SUM(C6:F6,J6:M6,Q6:T6,X6:AA6)*80</f>
        <v>23440</v>
      </c>
      <c r="AF6" s="20">
        <f>SUM(C6:F6,J6:M6,Q6:T6,X6:AA6)*60</f>
        <v>17580</v>
      </c>
      <c r="AG6" s="21">
        <f t="shared" ref="AG6:AG10" si="4">AE6-AF6</f>
        <v>5860</v>
      </c>
    </row>
    <row r="7" spans="2:33" s="18" customFormat="1" x14ac:dyDescent="0.35">
      <c r="B7" s="114" t="s">
        <v>11</v>
      </c>
      <c r="C7" s="19">
        <v>21</v>
      </c>
      <c r="D7" s="20">
        <v>20</v>
      </c>
      <c r="E7" s="20">
        <v>26</v>
      </c>
      <c r="F7" s="21">
        <v>40</v>
      </c>
      <c r="G7" s="58">
        <f t="shared" ref="G7" si="5">SUM(C7:F7)*40</f>
        <v>4280</v>
      </c>
      <c r="H7" s="20">
        <f t="shared" ref="H7" si="6">SUM(C7:F7)*30</f>
        <v>3210</v>
      </c>
      <c r="I7" s="113">
        <f t="shared" si="0"/>
        <v>1070</v>
      </c>
      <c r="J7" s="19">
        <v>25</v>
      </c>
      <c r="K7" s="20">
        <v>25</v>
      </c>
      <c r="L7" s="20">
        <v>23</v>
      </c>
      <c r="M7" s="21">
        <v>16</v>
      </c>
      <c r="N7" s="58">
        <f t="shared" ref="N7" si="7">SUM(J7:M7)*40</f>
        <v>3560</v>
      </c>
      <c r="O7" s="20">
        <f t="shared" ref="O7" si="8">SUM(J7:M7)*30</f>
        <v>2670</v>
      </c>
      <c r="P7" s="113">
        <f t="shared" si="1"/>
        <v>890</v>
      </c>
      <c r="Q7" s="19">
        <v>10</v>
      </c>
      <c r="R7" s="20">
        <v>23</v>
      </c>
      <c r="S7" s="20">
        <v>21</v>
      </c>
      <c r="T7" s="21">
        <v>21</v>
      </c>
      <c r="U7" s="58">
        <f t="shared" ref="U7" si="9">SUM(Q7:T7)*40</f>
        <v>3000</v>
      </c>
      <c r="V7" s="20">
        <f t="shared" ref="V7" si="10">SUM(Q7:T7)*30</f>
        <v>2250</v>
      </c>
      <c r="W7" s="113">
        <f t="shared" si="2"/>
        <v>750</v>
      </c>
      <c r="X7" s="19">
        <v>7</v>
      </c>
      <c r="Y7" s="20">
        <v>6</v>
      </c>
      <c r="Z7" s="20">
        <v>9</v>
      </c>
      <c r="AA7" s="21">
        <v>5</v>
      </c>
      <c r="AB7" s="58">
        <f t="shared" ref="AB7" si="11">SUM(X7:AA7)*40</f>
        <v>1080</v>
      </c>
      <c r="AC7" s="20">
        <f t="shared" ref="AC7" si="12">SUM(X7:AA7)*30</f>
        <v>810</v>
      </c>
      <c r="AD7" s="113">
        <f t="shared" si="3"/>
        <v>270</v>
      </c>
      <c r="AE7" s="19">
        <f t="shared" ref="AE7" si="13">SUM(C7:F7,J7:M7,Q7:T7,X7:AA7)*40</f>
        <v>11920</v>
      </c>
      <c r="AF7" s="20">
        <f t="shared" ref="AF7" si="14">SUM(C7:F7,J7:M7,Q7:T7,X7:AA7)*30</f>
        <v>8940</v>
      </c>
      <c r="AG7" s="21">
        <f t="shared" si="4"/>
        <v>2980</v>
      </c>
    </row>
    <row r="8" spans="2:33" s="18" customFormat="1" x14ac:dyDescent="0.35">
      <c r="B8" s="114" t="s">
        <v>3</v>
      </c>
      <c r="C8" s="19">
        <v>40</v>
      </c>
      <c r="D8" s="20">
        <v>40</v>
      </c>
      <c r="E8" s="20">
        <v>24</v>
      </c>
      <c r="F8" s="21">
        <v>30</v>
      </c>
      <c r="G8" s="58">
        <f>SUM(C8:F8)*180</f>
        <v>24120</v>
      </c>
      <c r="H8" s="20">
        <f>SUM(C8:F8)*60</f>
        <v>8040</v>
      </c>
      <c r="I8" s="113">
        <f t="shared" si="0"/>
        <v>16080</v>
      </c>
      <c r="J8" s="19">
        <v>24</v>
      </c>
      <c r="K8" s="20">
        <v>18</v>
      </c>
      <c r="L8" s="20">
        <v>21</v>
      </c>
      <c r="M8" s="21">
        <v>22</v>
      </c>
      <c r="N8" s="58">
        <f>SUM(J8:M8)*180</f>
        <v>15300</v>
      </c>
      <c r="O8" s="20">
        <f>SUM(J8:M8)*60</f>
        <v>5100</v>
      </c>
      <c r="P8" s="113">
        <f t="shared" si="1"/>
        <v>10200</v>
      </c>
      <c r="Q8" s="19">
        <v>15</v>
      </c>
      <c r="R8" s="20">
        <v>18</v>
      </c>
      <c r="S8" s="20">
        <v>15</v>
      </c>
      <c r="T8" s="21">
        <v>17</v>
      </c>
      <c r="U8" s="58">
        <f>SUM(Q8:T8)*180</f>
        <v>11700</v>
      </c>
      <c r="V8" s="20">
        <f>SUM(Q8:T8)*60</f>
        <v>3900</v>
      </c>
      <c r="W8" s="113">
        <f t="shared" si="2"/>
        <v>7800</v>
      </c>
      <c r="X8" s="19">
        <v>9</v>
      </c>
      <c r="Y8" s="20">
        <v>9</v>
      </c>
      <c r="Z8" s="20">
        <v>9</v>
      </c>
      <c r="AA8" s="21">
        <v>6</v>
      </c>
      <c r="AB8" s="58">
        <f>SUM(X8:AA8)*180</f>
        <v>5940</v>
      </c>
      <c r="AC8" s="20">
        <f>SUM(X8:AA8)*60</f>
        <v>1980</v>
      </c>
      <c r="AD8" s="113">
        <f t="shared" si="3"/>
        <v>3960</v>
      </c>
      <c r="AE8" s="19">
        <f>SUM(C8:F8,J8:M8,Q8:T8,X8:AA8)*180</f>
        <v>57060</v>
      </c>
      <c r="AF8" s="20">
        <f>SUM(C8:F8,J8:M8,Q8:T8,X8:AA8)*60</f>
        <v>19020</v>
      </c>
      <c r="AG8" s="21">
        <f t="shared" si="4"/>
        <v>38040</v>
      </c>
    </row>
    <row r="9" spans="2:33" s="18" customFormat="1" x14ac:dyDescent="0.35">
      <c r="B9" s="114" t="s">
        <v>12</v>
      </c>
      <c r="C9" s="19">
        <v>27</v>
      </c>
      <c r="D9" s="20">
        <v>30</v>
      </c>
      <c r="E9" s="20">
        <v>35</v>
      </c>
      <c r="F9" s="21">
        <v>22</v>
      </c>
      <c r="G9" s="58">
        <f>SUM(C9:F9)*25</f>
        <v>2850</v>
      </c>
      <c r="H9" s="20">
        <f>SUM(C9:F9)*15</f>
        <v>1710</v>
      </c>
      <c r="I9" s="113">
        <f t="shared" si="0"/>
        <v>1140</v>
      </c>
      <c r="J9" s="19">
        <v>19</v>
      </c>
      <c r="K9" s="20">
        <v>23</v>
      </c>
      <c r="L9" s="20">
        <v>21</v>
      </c>
      <c r="M9" s="21">
        <v>24</v>
      </c>
      <c r="N9" s="58">
        <f>SUM(J9:M9)*25</f>
        <v>2175</v>
      </c>
      <c r="O9" s="20">
        <f>SUM(J9:M9)*15</f>
        <v>1305</v>
      </c>
      <c r="P9" s="113">
        <f t="shared" si="1"/>
        <v>870</v>
      </c>
      <c r="Q9" s="19">
        <v>15</v>
      </c>
      <c r="R9" s="20">
        <v>17</v>
      </c>
      <c r="S9" s="20">
        <v>19</v>
      </c>
      <c r="T9" s="21">
        <v>21</v>
      </c>
      <c r="U9" s="58">
        <f>SUM(Q9:T9)*25</f>
        <v>1800</v>
      </c>
      <c r="V9" s="20">
        <f>SUM(Q9:T9)*15</f>
        <v>1080</v>
      </c>
      <c r="W9" s="113">
        <f t="shared" si="2"/>
        <v>720</v>
      </c>
      <c r="X9" s="19">
        <v>5</v>
      </c>
      <c r="Y9" s="20">
        <v>7</v>
      </c>
      <c r="Z9" s="20">
        <v>7</v>
      </c>
      <c r="AA9" s="21">
        <v>7</v>
      </c>
      <c r="AB9" s="58">
        <f>SUM(X9:AA9)*25</f>
        <v>650</v>
      </c>
      <c r="AC9" s="20">
        <f>SUM(X9:AA9)*15</f>
        <v>390</v>
      </c>
      <c r="AD9" s="113">
        <f t="shared" si="3"/>
        <v>260</v>
      </c>
      <c r="AE9" s="19">
        <f>SUM(C9:F9,J9:M9,Q9:T9,X9:AA9)*25</f>
        <v>7475</v>
      </c>
      <c r="AF9" s="20">
        <f>SUM(C9:F9,J9:M9,Q9:T9,X9:AA9)*15</f>
        <v>4485</v>
      </c>
      <c r="AG9" s="21">
        <f t="shared" si="4"/>
        <v>2990</v>
      </c>
    </row>
    <row r="10" spans="2:33" s="18" customFormat="1" ht="15" thickBot="1" x14ac:dyDescent="0.4">
      <c r="B10" s="115" t="s">
        <v>38</v>
      </c>
      <c r="C10" s="22">
        <v>21</v>
      </c>
      <c r="D10" s="23">
        <v>35</v>
      </c>
      <c r="E10" s="23">
        <v>38</v>
      </c>
      <c r="F10" s="24">
        <v>31</v>
      </c>
      <c r="G10" s="59">
        <f>SUM(C10:F10)*20</f>
        <v>2500</v>
      </c>
      <c r="H10" s="23">
        <f>SUM(C10:F10)*15</f>
        <v>1875</v>
      </c>
      <c r="I10" s="116">
        <f t="shared" si="0"/>
        <v>625</v>
      </c>
      <c r="J10" s="22">
        <v>19</v>
      </c>
      <c r="K10" s="23">
        <v>21</v>
      </c>
      <c r="L10" s="23">
        <v>19</v>
      </c>
      <c r="M10" s="24">
        <v>19</v>
      </c>
      <c r="N10" s="59">
        <f>SUM(J10:M10)*20</f>
        <v>1560</v>
      </c>
      <c r="O10" s="23">
        <f>SUM(J10:M10)*15</f>
        <v>1170</v>
      </c>
      <c r="P10" s="116">
        <f t="shared" si="1"/>
        <v>390</v>
      </c>
      <c r="Q10" s="22">
        <v>15</v>
      </c>
      <c r="R10" s="23">
        <v>25</v>
      </c>
      <c r="S10" s="23">
        <v>20</v>
      </c>
      <c r="T10" s="24">
        <v>21</v>
      </c>
      <c r="U10" s="59">
        <f>SUM(Q10:T10)*20</f>
        <v>1620</v>
      </c>
      <c r="V10" s="23">
        <f>SUM(Q10:T10)*15</f>
        <v>1215</v>
      </c>
      <c r="W10" s="116">
        <f t="shared" si="2"/>
        <v>405</v>
      </c>
      <c r="X10" s="22">
        <v>10</v>
      </c>
      <c r="Y10" s="23">
        <v>5</v>
      </c>
      <c r="Z10" s="23">
        <v>10</v>
      </c>
      <c r="AA10" s="24">
        <v>9</v>
      </c>
      <c r="AB10" s="59">
        <f>SUM(X10:AA10)*20</f>
        <v>680</v>
      </c>
      <c r="AC10" s="23">
        <f>SUM(X10:AA10)*15</f>
        <v>510</v>
      </c>
      <c r="AD10" s="116">
        <f t="shared" si="3"/>
        <v>170</v>
      </c>
      <c r="AE10" s="22">
        <f>SUM(C10:F10,J10:M10,Q10:T10,X10:AA10)*20</f>
        <v>6360</v>
      </c>
      <c r="AF10" s="23">
        <f>SUM(C10:F10,J10:M10,Q10:T10,X10:AA10)*15</f>
        <v>4770</v>
      </c>
      <c r="AG10" s="24">
        <f t="shared" si="4"/>
        <v>1590</v>
      </c>
    </row>
    <row r="11" spans="2:33" s="18" customFormat="1" ht="15" thickBot="1" x14ac:dyDescent="0.4">
      <c r="B11" s="117" t="s">
        <v>35</v>
      </c>
      <c r="C11" s="186"/>
      <c r="D11" s="187"/>
      <c r="E11" s="187"/>
      <c r="F11" s="197"/>
      <c r="G11" s="63"/>
      <c r="H11" s="61"/>
      <c r="I11" s="118"/>
      <c r="J11" s="186"/>
      <c r="K11" s="187"/>
      <c r="L11" s="187"/>
      <c r="M11" s="197"/>
      <c r="N11" s="63"/>
      <c r="O11" s="61"/>
      <c r="P11" s="118"/>
      <c r="Q11" s="186"/>
      <c r="R11" s="187"/>
      <c r="S11" s="187"/>
      <c r="T11" s="197"/>
      <c r="U11" s="63"/>
      <c r="V11" s="61"/>
      <c r="W11" s="118"/>
      <c r="X11" s="186"/>
      <c r="Y11" s="187"/>
      <c r="Z11" s="187"/>
      <c r="AA11" s="197"/>
      <c r="AB11" s="63"/>
      <c r="AC11" s="61"/>
      <c r="AD11" s="118"/>
      <c r="AE11" s="60">
        <f>SUM(AE5:AE10)</f>
        <v>118775</v>
      </c>
      <c r="AF11" s="61">
        <f>SUM(AF5:AF10)</f>
        <v>64185</v>
      </c>
      <c r="AG11" s="62">
        <f>SUM(AG5:AG10)</f>
        <v>54590</v>
      </c>
    </row>
    <row r="12" spans="2:33" s="18" customFormat="1" x14ac:dyDescent="0.35">
      <c r="B12" s="119" t="s">
        <v>43</v>
      </c>
      <c r="C12" s="189">
        <v>1800</v>
      </c>
      <c r="D12" s="190"/>
      <c r="E12" s="190"/>
      <c r="F12" s="198"/>
      <c r="G12" s="120"/>
      <c r="H12" s="121"/>
      <c r="I12" s="122"/>
      <c r="J12" s="189">
        <v>2400</v>
      </c>
      <c r="K12" s="190"/>
      <c r="L12" s="190"/>
      <c r="M12" s="198"/>
      <c r="N12" s="120"/>
      <c r="O12" s="121"/>
      <c r="P12" s="122"/>
      <c r="Q12" s="189">
        <v>1879</v>
      </c>
      <c r="R12" s="190"/>
      <c r="S12" s="190"/>
      <c r="T12" s="198"/>
      <c r="U12" s="120"/>
      <c r="V12" s="121"/>
      <c r="W12" s="122"/>
      <c r="X12" s="189">
        <v>1900</v>
      </c>
      <c r="Y12" s="190"/>
      <c r="Z12" s="190"/>
      <c r="AA12" s="198"/>
      <c r="AB12" s="120"/>
      <c r="AC12" s="121"/>
      <c r="AD12" s="122"/>
      <c r="AE12" s="123"/>
      <c r="AF12" s="121">
        <f>SUM(C12:AA12)</f>
        <v>7979</v>
      </c>
      <c r="AG12" s="124"/>
    </row>
    <row r="13" spans="2:33" s="18" customFormat="1" x14ac:dyDescent="0.35">
      <c r="B13" s="125" t="s">
        <v>44</v>
      </c>
      <c r="C13" s="192">
        <v>700</v>
      </c>
      <c r="D13" s="193"/>
      <c r="E13" s="193"/>
      <c r="F13" s="199"/>
      <c r="G13" s="126"/>
      <c r="H13" s="64"/>
      <c r="I13" s="127"/>
      <c r="J13" s="192">
        <v>800</v>
      </c>
      <c r="K13" s="193"/>
      <c r="L13" s="193"/>
      <c r="M13" s="199"/>
      <c r="N13" s="126"/>
      <c r="O13" s="64"/>
      <c r="P13" s="127"/>
      <c r="Q13" s="192">
        <v>700</v>
      </c>
      <c r="R13" s="193"/>
      <c r="S13" s="193"/>
      <c r="T13" s="199"/>
      <c r="U13" s="126"/>
      <c r="V13" s="64"/>
      <c r="W13" s="127"/>
      <c r="X13" s="192">
        <v>750</v>
      </c>
      <c r="Y13" s="193"/>
      <c r="Z13" s="193"/>
      <c r="AA13" s="199"/>
      <c r="AB13" s="126"/>
      <c r="AC13" s="64"/>
      <c r="AD13" s="127"/>
      <c r="AE13" s="65"/>
      <c r="AF13" s="64">
        <f>SUM(C13:AA13)</f>
        <v>2950</v>
      </c>
      <c r="AG13" s="66"/>
    </row>
    <row r="14" spans="2:33" s="18" customFormat="1" x14ac:dyDescent="0.35">
      <c r="B14" s="125" t="s">
        <v>46</v>
      </c>
      <c r="C14" s="192">
        <v>5000</v>
      </c>
      <c r="D14" s="193"/>
      <c r="E14" s="193"/>
      <c r="F14" s="199"/>
      <c r="G14" s="126"/>
      <c r="H14" s="64"/>
      <c r="I14" s="127"/>
      <c r="J14" s="192">
        <v>5000</v>
      </c>
      <c r="K14" s="193"/>
      <c r="L14" s="193"/>
      <c r="M14" s="199"/>
      <c r="N14" s="126"/>
      <c r="O14" s="64"/>
      <c r="P14" s="127"/>
      <c r="Q14" s="192">
        <v>5000</v>
      </c>
      <c r="R14" s="193"/>
      <c r="S14" s="193"/>
      <c r="T14" s="199"/>
      <c r="U14" s="126"/>
      <c r="V14" s="64"/>
      <c r="W14" s="127"/>
      <c r="X14" s="192">
        <v>5000</v>
      </c>
      <c r="Y14" s="193"/>
      <c r="Z14" s="193"/>
      <c r="AA14" s="199"/>
      <c r="AB14" s="126"/>
      <c r="AC14" s="64"/>
      <c r="AD14" s="127"/>
      <c r="AE14" s="65"/>
      <c r="AF14" s="64">
        <f>SUM(C14:AA14)</f>
        <v>20000</v>
      </c>
      <c r="AG14" s="66"/>
    </row>
    <row r="15" spans="2:33" s="18" customFormat="1" ht="15" thickBot="1" x14ac:dyDescent="0.4">
      <c r="B15" s="128" t="s">
        <v>0</v>
      </c>
      <c r="C15" s="192">
        <v>14000</v>
      </c>
      <c r="D15" s="193"/>
      <c r="E15" s="193"/>
      <c r="F15" s="199"/>
      <c r="G15" s="126"/>
      <c r="H15" s="64"/>
      <c r="I15" s="127"/>
      <c r="J15" s="192">
        <v>14000</v>
      </c>
      <c r="K15" s="193"/>
      <c r="L15" s="193"/>
      <c r="M15" s="199"/>
      <c r="N15" s="126"/>
      <c r="O15" s="64"/>
      <c r="P15" s="127"/>
      <c r="Q15" s="179" t="s">
        <v>54</v>
      </c>
      <c r="R15" s="180"/>
      <c r="S15" s="180"/>
      <c r="T15" s="181"/>
      <c r="U15" s="129"/>
      <c r="V15" s="130"/>
      <c r="W15" s="131"/>
      <c r="X15" s="179" t="s">
        <v>54</v>
      </c>
      <c r="Y15" s="180"/>
      <c r="Z15" s="180"/>
      <c r="AA15" s="181"/>
      <c r="AB15" s="129"/>
      <c r="AC15" s="130"/>
      <c r="AD15" s="131"/>
      <c r="AE15" s="65"/>
      <c r="AF15" s="64">
        <f>SUM(C15:AA15)</f>
        <v>28000</v>
      </c>
      <c r="AG15" s="66"/>
    </row>
    <row r="16" spans="2:33" s="18" customFormat="1" ht="15" thickBot="1" x14ac:dyDescent="0.4">
      <c r="B16" s="132" t="s">
        <v>34</v>
      </c>
      <c r="C16" s="182"/>
      <c r="D16" s="183"/>
      <c r="E16" s="183"/>
      <c r="F16" s="184"/>
      <c r="G16" s="133"/>
      <c r="H16" s="68"/>
      <c r="I16" s="134"/>
      <c r="J16" s="182"/>
      <c r="K16" s="183"/>
      <c r="L16" s="183"/>
      <c r="M16" s="184"/>
      <c r="N16" s="133"/>
      <c r="O16" s="68"/>
      <c r="P16" s="134"/>
      <c r="Q16" s="182"/>
      <c r="R16" s="183"/>
      <c r="S16" s="183"/>
      <c r="T16" s="184"/>
      <c r="U16" s="133"/>
      <c r="V16" s="68"/>
      <c r="W16" s="134"/>
      <c r="X16" s="182"/>
      <c r="Y16" s="183"/>
      <c r="Z16" s="183"/>
      <c r="AA16" s="184"/>
      <c r="AB16" s="133"/>
      <c r="AC16" s="68"/>
      <c r="AD16" s="134"/>
      <c r="AE16" s="67">
        <f>SUM(AE5:AE10)</f>
        <v>118775</v>
      </c>
      <c r="AF16" s="68">
        <f>SUM(AF12:AF15,AF5:AF10)</f>
        <v>123114</v>
      </c>
      <c r="AG16" s="69">
        <f>AE16-AF16</f>
        <v>-4339</v>
      </c>
    </row>
    <row r="17" spans="2:33" ht="15" thickBot="1" x14ac:dyDescent="0.4">
      <c r="AE17" s="25" t="s">
        <v>55</v>
      </c>
      <c r="AG17" s="18">
        <v>-28000</v>
      </c>
    </row>
    <row r="18" spans="2:33" ht="15" thickBot="1" x14ac:dyDescent="0.4">
      <c r="AE18" s="135" t="s">
        <v>56</v>
      </c>
      <c r="AF18" s="136"/>
      <c r="AG18" s="137">
        <v>-32390</v>
      </c>
    </row>
    <row r="19" spans="2:33" x14ac:dyDescent="0.35"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</row>
    <row r="20" spans="2:33" x14ac:dyDescent="0.35"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</row>
    <row r="21" spans="2:33" x14ac:dyDescent="0.35">
      <c r="B21" s="108"/>
      <c r="C21" s="108">
        <v>4</v>
      </c>
      <c r="D21" s="108">
        <v>5</v>
      </c>
      <c r="E21" s="108">
        <v>6</v>
      </c>
      <c r="F21" s="108">
        <v>7</v>
      </c>
      <c r="G21" s="138"/>
      <c r="H21" s="138"/>
      <c r="I21" s="138"/>
      <c r="J21" s="138"/>
      <c r="K21" s="138"/>
      <c r="L21" s="138"/>
      <c r="M21" s="138"/>
      <c r="N21" s="138"/>
      <c r="O21" s="138"/>
      <c r="P21" s="138"/>
    </row>
    <row r="22" spans="2:33" x14ac:dyDescent="0.35">
      <c r="B22" s="20" t="s">
        <v>8</v>
      </c>
      <c r="C22" s="20">
        <v>1.1299999999999999</v>
      </c>
      <c r="D22" s="20">
        <v>0.77</v>
      </c>
      <c r="E22" s="20">
        <v>0.82</v>
      </c>
      <c r="F22" s="20">
        <v>0.41</v>
      </c>
      <c r="G22" s="138"/>
      <c r="H22" s="138"/>
      <c r="I22" s="138"/>
      <c r="J22" s="138"/>
      <c r="K22" s="138"/>
      <c r="L22" s="138"/>
      <c r="M22" s="138"/>
      <c r="N22" s="138"/>
      <c r="O22" s="138"/>
      <c r="P22" s="138"/>
    </row>
    <row r="23" spans="2:33" x14ac:dyDescent="0.35">
      <c r="B23" s="20" t="s">
        <v>10</v>
      </c>
      <c r="C23" s="20">
        <v>2.1</v>
      </c>
      <c r="D23" s="20">
        <v>1.6</v>
      </c>
      <c r="E23" s="20">
        <v>1.62</v>
      </c>
      <c r="F23" s="20">
        <v>0.54</v>
      </c>
      <c r="G23" s="138"/>
      <c r="H23" s="138"/>
      <c r="I23" s="138"/>
      <c r="J23" s="138"/>
      <c r="K23" s="138"/>
      <c r="L23" s="138"/>
      <c r="M23" s="138"/>
      <c r="N23" s="138"/>
      <c r="O23" s="138"/>
      <c r="P23" s="138"/>
    </row>
    <row r="24" spans="2:33" x14ac:dyDescent="0.35">
      <c r="B24" s="20" t="s">
        <v>11</v>
      </c>
      <c r="C24" s="20">
        <v>1.07</v>
      </c>
      <c r="D24" s="20">
        <v>0.89</v>
      </c>
      <c r="E24" s="20">
        <v>0.75</v>
      </c>
      <c r="F24" s="20">
        <v>0.27</v>
      </c>
      <c r="G24" s="138"/>
      <c r="H24" s="138"/>
      <c r="I24" s="138"/>
      <c r="J24" s="138"/>
      <c r="K24" s="138"/>
      <c r="L24" s="138"/>
      <c r="M24" s="138"/>
      <c r="N24" s="138"/>
      <c r="O24" s="138"/>
      <c r="P24" s="138"/>
    </row>
    <row r="25" spans="2:33" x14ac:dyDescent="0.35">
      <c r="B25" s="20" t="s">
        <v>3</v>
      </c>
      <c r="C25" s="20">
        <v>16.079999999999998</v>
      </c>
      <c r="D25" s="20">
        <v>10.199999999999999</v>
      </c>
      <c r="E25" s="20">
        <v>7.8</v>
      </c>
      <c r="F25" s="20">
        <v>3.96</v>
      </c>
      <c r="G25" s="138"/>
      <c r="H25" s="138"/>
      <c r="I25" s="138"/>
      <c r="J25" s="138"/>
      <c r="K25" s="138"/>
      <c r="L25" s="138"/>
      <c r="M25" s="138"/>
      <c r="N25" s="138"/>
      <c r="O25" s="138"/>
      <c r="P25" s="138"/>
    </row>
    <row r="26" spans="2:33" x14ac:dyDescent="0.35">
      <c r="B26" s="20" t="s">
        <v>12</v>
      </c>
      <c r="C26" s="20">
        <v>1.1399999999999999</v>
      </c>
      <c r="D26" s="20">
        <v>0.87</v>
      </c>
      <c r="E26" s="20">
        <v>0.72</v>
      </c>
      <c r="F26" s="20">
        <v>0.26</v>
      </c>
      <c r="G26" s="138"/>
      <c r="H26" s="138"/>
      <c r="I26" s="138"/>
      <c r="J26" s="138"/>
      <c r="K26" s="138"/>
      <c r="L26" s="138"/>
      <c r="M26" s="138"/>
      <c r="N26" s="138"/>
      <c r="O26" s="138"/>
      <c r="P26" s="138"/>
    </row>
    <row r="27" spans="2:33" x14ac:dyDescent="0.35">
      <c r="B27" s="20" t="s">
        <v>38</v>
      </c>
      <c r="C27" s="20">
        <v>0.625</v>
      </c>
      <c r="D27" s="20">
        <v>0.39</v>
      </c>
      <c r="E27" s="20">
        <v>0.40500000000000003</v>
      </c>
      <c r="F27" s="20">
        <v>0.17</v>
      </c>
      <c r="G27" s="138"/>
      <c r="H27" s="138"/>
      <c r="I27" s="138"/>
      <c r="J27" s="138"/>
    </row>
    <row r="40" spans="2:21" ht="15" thickBot="1" x14ac:dyDescent="0.4"/>
    <row r="41" spans="2:21" ht="15" thickBot="1" x14ac:dyDescent="0.4">
      <c r="B41" s="102"/>
      <c r="C41" s="176" t="s">
        <v>50</v>
      </c>
      <c r="D41" s="177"/>
      <c r="E41" s="177"/>
      <c r="F41" s="178"/>
      <c r="G41" s="176" t="s">
        <v>51</v>
      </c>
      <c r="H41" s="177"/>
      <c r="I41" s="177"/>
      <c r="J41" s="178"/>
      <c r="K41" s="176" t="s">
        <v>52</v>
      </c>
      <c r="L41" s="177"/>
      <c r="M41" s="177"/>
      <c r="N41" s="178"/>
      <c r="O41" s="176" t="s">
        <v>53</v>
      </c>
      <c r="P41" s="177"/>
      <c r="Q41" s="177"/>
      <c r="R41" s="185"/>
      <c r="S41" s="176" t="s">
        <v>84</v>
      </c>
      <c r="T41" s="177"/>
      <c r="U41" s="178"/>
    </row>
    <row r="42" spans="2:21" ht="15" thickBot="1" x14ac:dyDescent="0.4">
      <c r="B42" s="106" t="s">
        <v>21</v>
      </c>
      <c r="C42" s="107" t="s">
        <v>67</v>
      </c>
      <c r="D42" s="108" t="s">
        <v>68</v>
      </c>
      <c r="E42" s="108" t="s">
        <v>69</v>
      </c>
      <c r="F42" s="109" t="s">
        <v>70</v>
      </c>
      <c r="G42" s="107" t="s">
        <v>71</v>
      </c>
      <c r="H42" s="108" t="s">
        <v>72</v>
      </c>
      <c r="I42" s="108" t="s">
        <v>73</v>
      </c>
      <c r="J42" s="109" t="s">
        <v>74</v>
      </c>
      <c r="K42" s="107" t="s">
        <v>75</v>
      </c>
      <c r="L42" s="108" t="s">
        <v>76</v>
      </c>
      <c r="M42" s="108" t="s">
        <v>77</v>
      </c>
      <c r="N42" s="109" t="s">
        <v>78</v>
      </c>
      <c r="O42" s="107" t="s">
        <v>79</v>
      </c>
      <c r="P42" s="108" t="s">
        <v>80</v>
      </c>
      <c r="Q42" s="108" t="s">
        <v>81</v>
      </c>
      <c r="R42" s="111" t="s">
        <v>82</v>
      </c>
      <c r="S42" s="107" t="s">
        <v>22</v>
      </c>
      <c r="T42" s="108" t="s">
        <v>24</v>
      </c>
      <c r="U42" s="109" t="s">
        <v>32</v>
      </c>
    </row>
    <row r="43" spans="2:21" x14ac:dyDescent="0.35">
      <c r="B43" s="112" t="s">
        <v>8</v>
      </c>
      <c r="C43" s="19">
        <v>25</v>
      </c>
      <c r="D43" s="20">
        <v>38</v>
      </c>
      <c r="E43" s="20">
        <v>27</v>
      </c>
      <c r="F43" s="21">
        <v>23</v>
      </c>
      <c r="G43" s="19">
        <v>23</v>
      </c>
      <c r="H43" s="20">
        <v>15</v>
      </c>
      <c r="I43" s="20">
        <v>24</v>
      </c>
      <c r="J43" s="21">
        <v>15</v>
      </c>
      <c r="K43" s="19">
        <v>18</v>
      </c>
      <c r="L43" s="20">
        <v>19</v>
      </c>
      <c r="M43" s="20">
        <v>25</v>
      </c>
      <c r="N43" s="21">
        <v>20</v>
      </c>
      <c r="O43" s="19">
        <v>13</v>
      </c>
      <c r="P43" s="20">
        <v>10</v>
      </c>
      <c r="Q43" s="20">
        <v>10</v>
      </c>
      <c r="R43" s="113">
        <v>8</v>
      </c>
      <c r="S43" s="19">
        <f>AE5</f>
        <v>12520</v>
      </c>
      <c r="T43" s="20">
        <f t="shared" ref="T43:U48" si="15">AF5</f>
        <v>9390</v>
      </c>
      <c r="U43" s="21">
        <f t="shared" si="15"/>
        <v>3130</v>
      </c>
    </row>
    <row r="44" spans="2:21" x14ac:dyDescent="0.35">
      <c r="B44" s="114" t="s">
        <v>10</v>
      </c>
      <c r="C44" s="19">
        <v>29</v>
      </c>
      <c r="D44" s="20">
        <v>36</v>
      </c>
      <c r="E44" s="20">
        <v>20</v>
      </c>
      <c r="F44" s="21">
        <v>20</v>
      </c>
      <c r="G44" s="19">
        <v>17</v>
      </c>
      <c r="H44" s="20">
        <v>23</v>
      </c>
      <c r="I44" s="20">
        <v>21</v>
      </c>
      <c r="J44" s="21">
        <v>19</v>
      </c>
      <c r="K44" s="19">
        <v>19</v>
      </c>
      <c r="L44" s="20">
        <v>23</v>
      </c>
      <c r="M44" s="20">
        <v>18</v>
      </c>
      <c r="N44" s="21">
        <v>21</v>
      </c>
      <c r="O44" s="19">
        <v>8</v>
      </c>
      <c r="P44" s="20">
        <v>6</v>
      </c>
      <c r="Q44" s="20">
        <v>5</v>
      </c>
      <c r="R44" s="113">
        <v>8</v>
      </c>
      <c r="S44" s="19">
        <f t="shared" ref="S44:S48" si="16">AE6</f>
        <v>23440</v>
      </c>
      <c r="T44" s="20">
        <f t="shared" si="15"/>
        <v>17580</v>
      </c>
      <c r="U44" s="21">
        <f t="shared" si="15"/>
        <v>5860</v>
      </c>
    </row>
    <row r="45" spans="2:21" x14ac:dyDescent="0.35">
      <c r="B45" s="114" t="s">
        <v>11</v>
      </c>
      <c r="C45" s="19">
        <v>21</v>
      </c>
      <c r="D45" s="20">
        <v>20</v>
      </c>
      <c r="E45" s="20">
        <v>26</v>
      </c>
      <c r="F45" s="21">
        <v>40</v>
      </c>
      <c r="G45" s="19">
        <v>25</v>
      </c>
      <c r="H45" s="20">
        <v>25</v>
      </c>
      <c r="I45" s="20">
        <v>23</v>
      </c>
      <c r="J45" s="21">
        <v>16</v>
      </c>
      <c r="K45" s="19">
        <v>10</v>
      </c>
      <c r="L45" s="20">
        <v>23</v>
      </c>
      <c r="M45" s="20">
        <v>21</v>
      </c>
      <c r="N45" s="21">
        <v>21</v>
      </c>
      <c r="O45" s="19">
        <v>7</v>
      </c>
      <c r="P45" s="20">
        <v>6</v>
      </c>
      <c r="Q45" s="20">
        <v>9</v>
      </c>
      <c r="R45" s="113">
        <v>5</v>
      </c>
      <c r="S45" s="19">
        <f t="shared" si="16"/>
        <v>11920</v>
      </c>
      <c r="T45" s="20">
        <f t="shared" si="15"/>
        <v>8940</v>
      </c>
      <c r="U45" s="21">
        <f t="shared" si="15"/>
        <v>2980</v>
      </c>
    </row>
    <row r="46" spans="2:21" x14ac:dyDescent="0.35">
      <c r="B46" s="114" t="s">
        <v>3</v>
      </c>
      <c r="C46" s="19">
        <v>40</v>
      </c>
      <c r="D46" s="20">
        <v>40</v>
      </c>
      <c r="E46" s="20">
        <v>24</v>
      </c>
      <c r="F46" s="21">
        <v>30</v>
      </c>
      <c r="G46" s="19">
        <v>24</v>
      </c>
      <c r="H46" s="20">
        <v>18</v>
      </c>
      <c r="I46" s="20">
        <v>21</v>
      </c>
      <c r="J46" s="21">
        <v>22</v>
      </c>
      <c r="K46" s="19">
        <v>15</v>
      </c>
      <c r="L46" s="20">
        <v>18</v>
      </c>
      <c r="M46" s="20">
        <v>15</v>
      </c>
      <c r="N46" s="21">
        <v>17</v>
      </c>
      <c r="O46" s="19">
        <v>9</v>
      </c>
      <c r="P46" s="20">
        <v>9</v>
      </c>
      <c r="Q46" s="20">
        <v>9</v>
      </c>
      <c r="R46" s="113">
        <v>6</v>
      </c>
      <c r="S46" s="19">
        <f t="shared" si="16"/>
        <v>57060</v>
      </c>
      <c r="T46" s="20">
        <f t="shared" si="15"/>
        <v>19020</v>
      </c>
      <c r="U46" s="21">
        <f t="shared" si="15"/>
        <v>38040</v>
      </c>
    </row>
    <row r="47" spans="2:21" x14ac:dyDescent="0.35">
      <c r="B47" s="114" t="s">
        <v>12</v>
      </c>
      <c r="C47" s="19">
        <v>27</v>
      </c>
      <c r="D47" s="20">
        <v>30</v>
      </c>
      <c r="E47" s="20">
        <v>35</v>
      </c>
      <c r="F47" s="21">
        <v>22</v>
      </c>
      <c r="G47" s="19">
        <v>19</v>
      </c>
      <c r="H47" s="20">
        <v>23</v>
      </c>
      <c r="I47" s="20">
        <v>21</v>
      </c>
      <c r="J47" s="21">
        <v>24</v>
      </c>
      <c r="K47" s="19">
        <v>15</v>
      </c>
      <c r="L47" s="20">
        <v>17</v>
      </c>
      <c r="M47" s="20">
        <v>19</v>
      </c>
      <c r="N47" s="21">
        <v>21</v>
      </c>
      <c r="O47" s="19">
        <v>5</v>
      </c>
      <c r="P47" s="20">
        <v>7</v>
      </c>
      <c r="Q47" s="20">
        <v>7</v>
      </c>
      <c r="R47" s="113">
        <v>7</v>
      </c>
      <c r="S47" s="19">
        <f t="shared" si="16"/>
        <v>7475</v>
      </c>
      <c r="T47" s="20">
        <f t="shared" si="15"/>
        <v>4485</v>
      </c>
      <c r="U47" s="21">
        <f t="shared" si="15"/>
        <v>2990</v>
      </c>
    </row>
    <row r="48" spans="2:21" ht="15" thickBot="1" x14ac:dyDescent="0.4">
      <c r="B48" s="115" t="s">
        <v>38</v>
      </c>
      <c r="C48" s="22">
        <v>21</v>
      </c>
      <c r="D48" s="23">
        <v>35</v>
      </c>
      <c r="E48" s="23">
        <v>38</v>
      </c>
      <c r="F48" s="24">
        <v>31</v>
      </c>
      <c r="G48" s="22">
        <v>19</v>
      </c>
      <c r="H48" s="23">
        <v>21</v>
      </c>
      <c r="I48" s="23">
        <v>19</v>
      </c>
      <c r="J48" s="24">
        <v>19</v>
      </c>
      <c r="K48" s="22">
        <v>15</v>
      </c>
      <c r="L48" s="23">
        <v>25</v>
      </c>
      <c r="M48" s="23">
        <v>20</v>
      </c>
      <c r="N48" s="24">
        <v>21</v>
      </c>
      <c r="O48" s="22">
        <v>10</v>
      </c>
      <c r="P48" s="23">
        <v>5</v>
      </c>
      <c r="Q48" s="23">
        <v>10</v>
      </c>
      <c r="R48" s="116">
        <v>9</v>
      </c>
      <c r="S48" s="19">
        <f t="shared" si="16"/>
        <v>6360</v>
      </c>
      <c r="T48" s="20">
        <f t="shared" si="15"/>
        <v>4770</v>
      </c>
      <c r="U48" s="21">
        <f t="shared" si="15"/>
        <v>1590</v>
      </c>
    </row>
    <row r="49" spans="2:21" ht="15" thickBot="1" x14ac:dyDescent="0.4">
      <c r="B49" s="117" t="s">
        <v>35</v>
      </c>
      <c r="C49" s="186"/>
      <c r="D49" s="187"/>
      <c r="E49" s="187"/>
      <c r="F49" s="197"/>
      <c r="G49" s="186"/>
      <c r="H49" s="187"/>
      <c r="I49" s="187"/>
      <c r="J49" s="197"/>
      <c r="K49" s="186"/>
      <c r="L49" s="187"/>
      <c r="M49" s="187"/>
      <c r="N49" s="197"/>
      <c r="O49" s="186"/>
      <c r="P49" s="187"/>
      <c r="Q49" s="187"/>
      <c r="R49" s="188"/>
      <c r="S49" s="140">
        <f>SUM(S43:S48)</f>
        <v>118775</v>
      </c>
      <c r="T49" s="139">
        <f t="shared" ref="T49:U49" si="17">SUM(T43:T48)</f>
        <v>64185</v>
      </c>
      <c r="U49" s="141">
        <f t="shared" si="17"/>
        <v>54590</v>
      </c>
    </row>
    <row r="50" spans="2:21" x14ac:dyDescent="0.35">
      <c r="B50" s="119" t="s">
        <v>43</v>
      </c>
      <c r="C50" s="189">
        <v>1800</v>
      </c>
      <c r="D50" s="190"/>
      <c r="E50" s="190"/>
      <c r="F50" s="198"/>
      <c r="G50" s="189">
        <v>2400</v>
      </c>
      <c r="H50" s="190"/>
      <c r="I50" s="190"/>
      <c r="J50" s="198"/>
      <c r="K50" s="189">
        <v>1879</v>
      </c>
      <c r="L50" s="190"/>
      <c r="M50" s="190"/>
      <c r="N50" s="198"/>
      <c r="O50" s="189">
        <v>1900</v>
      </c>
      <c r="P50" s="190"/>
      <c r="Q50" s="190"/>
      <c r="R50" s="191"/>
      <c r="S50" s="19"/>
      <c r="T50" s="20">
        <f>AF12</f>
        <v>7979</v>
      </c>
      <c r="U50" s="21"/>
    </row>
    <row r="51" spans="2:21" x14ac:dyDescent="0.35">
      <c r="B51" s="125" t="s">
        <v>44</v>
      </c>
      <c r="C51" s="192">
        <v>700</v>
      </c>
      <c r="D51" s="193"/>
      <c r="E51" s="193"/>
      <c r="F51" s="199"/>
      <c r="G51" s="192">
        <v>800</v>
      </c>
      <c r="H51" s="193"/>
      <c r="I51" s="193"/>
      <c r="J51" s="199"/>
      <c r="K51" s="192">
        <v>700</v>
      </c>
      <c r="L51" s="193"/>
      <c r="M51" s="193"/>
      <c r="N51" s="199"/>
      <c r="O51" s="192">
        <v>750</v>
      </c>
      <c r="P51" s="193"/>
      <c r="Q51" s="193"/>
      <c r="R51" s="194"/>
      <c r="S51" s="19"/>
      <c r="T51" s="20">
        <f t="shared" ref="T51:T53" si="18">AF13</f>
        <v>2950</v>
      </c>
      <c r="U51" s="21"/>
    </row>
    <row r="52" spans="2:21" x14ac:dyDescent="0.35">
      <c r="B52" s="125" t="s">
        <v>46</v>
      </c>
      <c r="C52" s="192">
        <v>5000</v>
      </c>
      <c r="D52" s="193"/>
      <c r="E52" s="193"/>
      <c r="F52" s="199"/>
      <c r="G52" s="192">
        <v>5000</v>
      </c>
      <c r="H52" s="193"/>
      <c r="I52" s="193"/>
      <c r="J52" s="199"/>
      <c r="K52" s="192">
        <v>5000</v>
      </c>
      <c r="L52" s="193"/>
      <c r="M52" s="193"/>
      <c r="N52" s="199"/>
      <c r="O52" s="192">
        <v>5000</v>
      </c>
      <c r="P52" s="193"/>
      <c r="Q52" s="193"/>
      <c r="R52" s="194"/>
      <c r="S52" s="19"/>
      <c r="T52" s="20">
        <f t="shared" si="18"/>
        <v>20000</v>
      </c>
      <c r="U52" s="21"/>
    </row>
    <row r="53" spans="2:21" ht="15" thickBot="1" x14ac:dyDescent="0.4">
      <c r="B53" s="128" t="s">
        <v>0</v>
      </c>
      <c r="C53" s="192">
        <v>14000</v>
      </c>
      <c r="D53" s="193"/>
      <c r="E53" s="193"/>
      <c r="F53" s="199"/>
      <c r="G53" s="192">
        <v>14000</v>
      </c>
      <c r="H53" s="193"/>
      <c r="I53" s="193"/>
      <c r="J53" s="199"/>
      <c r="K53" s="179" t="s">
        <v>54</v>
      </c>
      <c r="L53" s="180"/>
      <c r="M53" s="180"/>
      <c r="N53" s="181"/>
      <c r="O53" s="179" t="s">
        <v>54</v>
      </c>
      <c r="P53" s="180"/>
      <c r="Q53" s="180"/>
      <c r="R53" s="195"/>
      <c r="S53" s="19"/>
      <c r="T53" s="20">
        <f t="shared" si="18"/>
        <v>28000</v>
      </c>
      <c r="U53" s="21"/>
    </row>
    <row r="54" spans="2:21" ht="15" thickBot="1" x14ac:dyDescent="0.4">
      <c r="B54" s="132" t="s">
        <v>34</v>
      </c>
      <c r="C54" s="182"/>
      <c r="D54" s="183"/>
      <c r="E54" s="183"/>
      <c r="F54" s="184"/>
      <c r="G54" s="182"/>
      <c r="H54" s="183"/>
      <c r="I54" s="183"/>
      <c r="J54" s="184"/>
      <c r="K54" s="182"/>
      <c r="L54" s="183"/>
      <c r="M54" s="183"/>
      <c r="N54" s="184"/>
      <c r="O54" s="182"/>
      <c r="P54" s="183"/>
      <c r="Q54" s="183"/>
      <c r="R54" s="196"/>
      <c r="S54" s="142">
        <f>SUM(S43:S48)</f>
        <v>118775</v>
      </c>
      <c r="T54" s="143">
        <f>SUM(T50:T53,T43:T48)</f>
        <v>123114</v>
      </c>
      <c r="U54" s="144">
        <f>S54-T54</f>
        <v>-4339</v>
      </c>
    </row>
    <row r="55" spans="2:21" ht="15" thickBot="1" x14ac:dyDescent="0.4">
      <c r="S55" s="25" t="s">
        <v>55</v>
      </c>
      <c r="U55" s="18">
        <v>-28000</v>
      </c>
    </row>
    <row r="56" spans="2:21" ht="15" thickBot="1" x14ac:dyDescent="0.4">
      <c r="S56" s="135" t="s">
        <v>56</v>
      </c>
      <c r="T56" s="136"/>
      <c r="U56" s="137">
        <v>-32390</v>
      </c>
    </row>
  </sheetData>
  <mergeCells count="58">
    <mergeCell ref="AE3:AG3"/>
    <mergeCell ref="C16:F16"/>
    <mergeCell ref="J16:M16"/>
    <mergeCell ref="Q16:T16"/>
    <mergeCell ref="X16:AA16"/>
    <mergeCell ref="C11:F11"/>
    <mergeCell ref="J11:M11"/>
    <mergeCell ref="Q11:T11"/>
    <mergeCell ref="X11:AA11"/>
    <mergeCell ref="Q14:T14"/>
    <mergeCell ref="J15:M15"/>
    <mergeCell ref="Q15:T15"/>
    <mergeCell ref="X3:AA3"/>
    <mergeCell ref="X12:AA12"/>
    <mergeCell ref="X13:AA13"/>
    <mergeCell ref="X14:AA14"/>
    <mergeCell ref="C3:F3"/>
    <mergeCell ref="J3:M3"/>
    <mergeCell ref="Q3:T3"/>
    <mergeCell ref="X15:AA15"/>
    <mergeCell ref="C12:F12"/>
    <mergeCell ref="C13:F13"/>
    <mergeCell ref="C14:F14"/>
    <mergeCell ref="C15:F15"/>
    <mergeCell ref="J12:M12"/>
    <mergeCell ref="Q12:T12"/>
    <mergeCell ref="J13:M13"/>
    <mergeCell ref="Q13:T13"/>
    <mergeCell ref="J14:M14"/>
    <mergeCell ref="C53:F53"/>
    <mergeCell ref="C54:F54"/>
    <mergeCell ref="G41:J41"/>
    <mergeCell ref="G49:J49"/>
    <mergeCell ref="G50:J50"/>
    <mergeCell ref="G51:J51"/>
    <mergeCell ref="G52:J52"/>
    <mergeCell ref="G53:J53"/>
    <mergeCell ref="G54:J54"/>
    <mergeCell ref="C41:F41"/>
    <mergeCell ref="C49:F49"/>
    <mergeCell ref="C50:F50"/>
    <mergeCell ref="C51:F51"/>
    <mergeCell ref="C52:F52"/>
    <mergeCell ref="S41:U41"/>
    <mergeCell ref="K53:N53"/>
    <mergeCell ref="K54:N54"/>
    <mergeCell ref="O41:R41"/>
    <mergeCell ref="O49:R49"/>
    <mergeCell ref="O50:R50"/>
    <mergeCell ref="O51:R51"/>
    <mergeCell ref="O52:R52"/>
    <mergeCell ref="O53:R53"/>
    <mergeCell ref="O54:R54"/>
    <mergeCell ref="K41:N41"/>
    <mergeCell ref="K49:N49"/>
    <mergeCell ref="K50:N50"/>
    <mergeCell ref="K51:N51"/>
    <mergeCell ref="K52:N5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76F1-B895-44F3-880F-5D7E7A995B35}">
  <dimension ref="A2:A18"/>
  <sheetViews>
    <sheetView zoomScaleNormal="100" workbookViewId="0">
      <selection activeCell="A20" sqref="A20"/>
    </sheetView>
  </sheetViews>
  <sheetFormatPr defaultRowHeight="14.5" x14ac:dyDescent="0.35"/>
  <cols>
    <col min="1" max="1" width="54.90625" bestFit="1" customWidth="1"/>
  </cols>
  <sheetData>
    <row r="2" spans="1:1" x14ac:dyDescent="0.35">
      <c r="A2" s="10" t="s">
        <v>85</v>
      </c>
    </row>
    <row r="4" spans="1:1" x14ac:dyDescent="0.35">
      <c r="A4" t="s">
        <v>86</v>
      </c>
    </row>
    <row r="5" spans="1:1" x14ac:dyDescent="0.35">
      <c r="A5" t="s">
        <v>87</v>
      </c>
    </row>
    <row r="6" spans="1:1" x14ac:dyDescent="0.35">
      <c r="A6" t="s">
        <v>107</v>
      </c>
    </row>
    <row r="7" spans="1:1" x14ac:dyDescent="0.35">
      <c r="A7" t="s">
        <v>108</v>
      </c>
    </row>
    <row r="8" spans="1:1" x14ac:dyDescent="0.35">
      <c r="A8" t="s">
        <v>93</v>
      </c>
    </row>
    <row r="11" spans="1:1" x14ac:dyDescent="0.35">
      <c r="A11" s="10" t="s">
        <v>88</v>
      </c>
    </row>
    <row r="12" spans="1:1" x14ac:dyDescent="0.35">
      <c r="A12" t="s">
        <v>89</v>
      </c>
    </row>
    <row r="13" spans="1:1" x14ac:dyDescent="0.35">
      <c r="A13" t="s">
        <v>90</v>
      </c>
    </row>
    <row r="14" spans="1:1" x14ac:dyDescent="0.35">
      <c r="A14" t="s">
        <v>91</v>
      </c>
    </row>
    <row r="15" spans="1:1" x14ac:dyDescent="0.35">
      <c r="A15" t="s">
        <v>92</v>
      </c>
    </row>
    <row r="16" spans="1:1" x14ac:dyDescent="0.35">
      <c r="A16" t="s">
        <v>97</v>
      </c>
    </row>
    <row r="17" spans="1:1" x14ac:dyDescent="0.35">
      <c r="A17" t="s">
        <v>94</v>
      </c>
    </row>
    <row r="18" spans="1:1" x14ac:dyDescent="0.35">
      <c r="A18" t="s">
        <v>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04F7-870B-4D23-85AE-1B16293EB574}">
  <dimension ref="B1:N16"/>
  <sheetViews>
    <sheetView zoomScale="85" zoomScaleNormal="85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M20" sqref="M20"/>
    </sheetView>
  </sheetViews>
  <sheetFormatPr defaultRowHeight="15.5" x14ac:dyDescent="0.35"/>
  <cols>
    <col min="1" max="1" width="8.7265625" style="101"/>
    <col min="2" max="2" width="16.36328125" style="101" bestFit="1" customWidth="1"/>
    <col min="3" max="10" width="8.453125" style="101" customWidth="1"/>
    <col min="11" max="11" width="12.90625" style="101" bestFit="1" customWidth="1"/>
    <col min="12" max="12" width="11" style="101" bestFit="1" customWidth="1"/>
    <col min="13" max="13" width="8.26953125" style="101" bestFit="1" customWidth="1"/>
    <col min="14" max="16384" width="8.7265625" style="101"/>
  </cols>
  <sheetData>
    <row r="1" spans="2:14" s="26" customFormat="1" x14ac:dyDescent="0.35"/>
    <row r="2" spans="2:14" s="26" customFormat="1" ht="16" thickBot="1" x14ac:dyDescent="0.4"/>
    <row r="3" spans="2:14" s="26" customFormat="1" ht="16" thickBot="1" x14ac:dyDescent="0.4">
      <c r="C3" s="173" t="s">
        <v>58</v>
      </c>
      <c r="D3" s="174"/>
      <c r="E3" s="174"/>
      <c r="F3" s="175"/>
      <c r="G3" s="173" t="s">
        <v>57</v>
      </c>
      <c r="H3" s="174"/>
      <c r="I3" s="174"/>
      <c r="J3" s="175"/>
    </row>
    <row r="4" spans="2:14" s="26" customFormat="1" ht="16" thickBot="1" x14ac:dyDescent="0.4">
      <c r="B4" s="145" t="s">
        <v>21</v>
      </c>
      <c r="C4" s="146" t="s">
        <v>98</v>
      </c>
      <c r="D4" s="146" t="s">
        <v>99</v>
      </c>
      <c r="E4" s="146" t="s">
        <v>100</v>
      </c>
      <c r="F4" s="146" t="s">
        <v>101</v>
      </c>
      <c r="G4" s="146" t="s">
        <v>102</v>
      </c>
      <c r="H4" s="146" t="s">
        <v>103</v>
      </c>
      <c r="I4" s="146" t="s">
        <v>104</v>
      </c>
      <c r="J4" s="146" t="s">
        <v>105</v>
      </c>
      <c r="K4" s="146" t="s">
        <v>22</v>
      </c>
      <c r="L4" s="147" t="s">
        <v>24</v>
      </c>
      <c r="M4" s="148" t="s">
        <v>32</v>
      </c>
    </row>
    <row r="5" spans="2:14" s="26" customFormat="1" x14ac:dyDescent="0.35">
      <c r="B5" s="149" t="s">
        <v>8</v>
      </c>
      <c r="C5" s="27">
        <v>36</v>
      </c>
      <c r="D5" s="28">
        <v>39</v>
      </c>
      <c r="E5" s="28">
        <v>35</v>
      </c>
      <c r="F5" s="29">
        <v>32</v>
      </c>
      <c r="G5" s="150">
        <v>42</v>
      </c>
      <c r="H5" s="28">
        <v>40</v>
      </c>
      <c r="I5" s="28">
        <v>42</v>
      </c>
      <c r="J5" s="151">
        <v>42</v>
      </c>
      <c r="K5" s="27">
        <f>SUM(C5:J5)*35</f>
        <v>10780</v>
      </c>
      <c r="L5" s="28">
        <f>SUM(C5:J5)*30</f>
        <v>9240</v>
      </c>
      <c r="M5" s="29">
        <f>K5-L5</f>
        <v>1540</v>
      </c>
    </row>
    <row r="6" spans="2:14" s="26" customFormat="1" x14ac:dyDescent="0.35">
      <c r="B6" s="152" t="s">
        <v>10</v>
      </c>
      <c r="C6" s="30">
        <v>46</v>
      </c>
      <c r="D6" s="31">
        <v>42</v>
      </c>
      <c r="E6" s="31">
        <v>43</v>
      </c>
      <c r="F6" s="32">
        <v>45</v>
      </c>
      <c r="G6" s="78">
        <v>59</v>
      </c>
      <c r="H6" s="31">
        <v>62</v>
      </c>
      <c r="I6" s="31">
        <v>61</v>
      </c>
      <c r="J6" s="153">
        <v>54</v>
      </c>
      <c r="K6" s="30">
        <f>SUM(C6:J6)*80</f>
        <v>32960</v>
      </c>
      <c r="L6" s="31">
        <f>SUM(C6:J6)*60</f>
        <v>24720</v>
      </c>
      <c r="M6" s="32">
        <f t="shared" ref="M6:M10" si="0">K6-L6</f>
        <v>8240</v>
      </c>
    </row>
    <row r="7" spans="2:14" s="26" customFormat="1" x14ac:dyDescent="0.35">
      <c r="B7" s="152" t="s">
        <v>11</v>
      </c>
      <c r="C7" s="30">
        <v>46</v>
      </c>
      <c r="D7" s="31">
        <v>50</v>
      </c>
      <c r="E7" s="31">
        <v>42</v>
      </c>
      <c r="F7" s="32">
        <v>42</v>
      </c>
      <c r="G7" s="78">
        <v>65</v>
      </c>
      <c r="H7" s="31">
        <v>58</v>
      </c>
      <c r="I7" s="31">
        <v>59</v>
      </c>
      <c r="J7" s="153">
        <v>57</v>
      </c>
      <c r="K7" s="30">
        <f>SUM(C7:J7)*40</f>
        <v>16760</v>
      </c>
      <c r="L7" s="31">
        <f t="shared" ref="L7" si="1">SUM(C7:J7)*30</f>
        <v>12570</v>
      </c>
      <c r="M7" s="32">
        <f t="shared" si="0"/>
        <v>4190</v>
      </c>
    </row>
    <row r="8" spans="2:14" s="26" customFormat="1" x14ac:dyDescent="0.35">
      <c r="B8" s="152" t="s">
        <v>3</v>
      </c>
      <c r="C8" s="30">
        <v>41</v>
      </c>
      <c r="D8" s="31">
        <v>49</v>
      </c>
      <c r="E8" s="31">
        <v>39</v>
      </c>
      <c r="F8" s="32">
        <v>52</v>
      </c>
      <c r="G8" s="78">
        <v>55</v>
      </c>
      <c r="H8" s="31">
        <v>51</v>
      </c>
      <c r="I8" s="31">
        <v>55</v>
      </c>
      <c r="J8" s="153">
        <v>63</v>
      </c>
      <c r="K8" s="30">
        <f>SUM(C8:J8)*180</f>
        <v>72900</v>
      </c>
      <c r="L8" s="31">
        <f>SUM(C8:J8)*60</f>
        <v>24300</v>
      </c>
      <c r="M8" s="32">
        <f t="shared" si="0"/>
        <v>48600</v>
      </c>
    </row>
    <row r="9" spans="2:14" s="26" customFormat="1" x14ac:dyDescent="0.35">
      <c r="B9" s="152" t="s">
        <v>12</v>
      </c>
      <c r="C9" s="30">
        <v>39</v>
      </c>
      <c r="D9" s="31">
        <v>32</v>
      </c>
      <c r="E9" s="31">
        <v>40</v>
      </c>
      <c r="F9" s="32">
        <v>31</v>
      </c>
      <c r="G9" s="78">
        <v>55</v>
      </c>
      <c r="H9" s="31">
        <v>47</v>
      </c>
      <c r="I9" s="31">
        <v>42</v>
      </c>
      <c r="J9" s="153">
        <v>48</v>
      </c>
      <c r="K9" s="30">
        <f>SUM(C9:J9)*20</f>
        <v>6680</v>
      </c>
      <c r="L9" s="31">
        <f>SUM(C9:J9)*15</f>
        <v>5010</v>
      </c>
      <c r="M9" s="32">
        <f t="shared" si="0"/>
        <v>1670</v>
      </c>
    </row>
    <row r="10" spans="2:14" s="26" customFormat="1" ht="16" thickBot="1" x14ac:dyDescent="0.4">
      <c r="B10" s="154" t="s">
        <v>38</v>
      </c>
      <c r="C10" s="36">
        <v>40</v>
      </c>
      <c r="D10" s="155">
        <v>30</v>
      </c>
      <c r="E10" s="155">
        <v>30</v>
      </c>
      <c r="F10" s="156">
        <v>32</v>
      </c>
      <c r="G10" s="157">
        <v>43</v>
      </c>
      <c r="H10" s="155">
        <v>52</v>
      </c>
      <c r="I10" s="155">
        <v>42</v>
      </c>
      <c r="J10" s="158">
        <v>40</v>
      </c>
      <c r="K10" s="36">
        <f>SUM(C10:J10)*20</f>
        <v>6180</v>
      </c>
      <c r="L10" s="155">
        <f>SUM(C10:J10)*15</f>
        <v>4635</v>
      </c>
      <c r="M10" s="156">
        <f t="shared" si="0"/>
        <v>1545</v>
      </c>
    </row>
    <row r="11" spans="2:14" s="26" customFormat="1" ht="16" thickBot="1" x14ac:dyDescent="0.4">
      <c r="B11" s="159" t="s">
        <v>35</v>
      </c>
      <c r="C11" s="208"/>
      <c r="D11" s="209"/>
      <c r="E11" s="209"/>
      <c r="F11" s="210"/>
      <c r="G11" s="208"/>
      <c r="H11" s="209"/>
      <c r="I11" s="209"/>
      <c r="J11" s="210"/>
      <c r="K11" s="80">
        <f>SUM(K5:K10)</f>
        <v>146260</v>
      </c>
      <c r="L11" s="83">
        <f>SUM(L5:L10)</f>
        <v>80475</v>
      </c>
      <c r="M11" s="160">
        <f>SUM(M5:M10)</f>
        <v>65785</v>
      </c>
    </row>
    <row r="12" spans="2:14" s="26" customFormat="1" x14ac:dyDescent="0.35">
      <c r="B12" s="161" t="s">
        <v>43</v>
      </c>
      <c r="C12" s="200">
        <v>1500</v>
      </c>
      <c r="D12" s="201"/>
      <c r="E12" s="201"/>
      <c r="F12" s="202"/>
      <c r="G12" s="203">
        <v>1450</v>
      </c>
      <c r="H12" s="201"/>
      <c r="I12" s="201"/>
      <c r="J12" s="204"/>
      <c r="K12" s="28"/>
      <c r="L12" s="28">
        <f>SUM(C12:J12)</f>
        <v>2950</v>
      </c>
      <c r="M12" s="29"/>
    </row>
    <row r="13" spans="2:14" s="26" customFormat="1" x14ac:dyDescent="0.35">
      <c r="B13" s="162" t="s">
        <v>44</v>
      </c>
      <c r="C13" s="205">
        <v>500</v>
      </c>
      <c r="D13" s="206"/>
      <c r="E13" s="206"/>
      <c r="F13" s="207"/>
      <c r="G13" s="171">
        <v>600</v>
      </c>
      <c r="H13" s="206"/>
      <c r="I13" s="206"/>
      <c r="J13" s="169"/>
      <c r="K13" s="31"/>
      <c r="L13" s="31">
        <f t="shared" ref="L13:L15" si="2">SUM(C13:J13)</f>
        <v>1100</v>
      </c>
      <c r="M13" s="32"/>
    </row>
    <row r="14" spans="2:14" s="26" customFormat="1" x14ac:dyDescent="0.35">
      <c r="B14" s="162" t="s">
        <v>46</v>
      </c>
      <c r="C14" s="205">
        <v>0</v>
      </c>
      <c r="D14" s="206"/>
      <c r="E14" s="206"/>
      <c r="F14" s="207"/>
      <c r="G14" s="171">
        <v>5000</v>
      </c>
      <c r="H14" s="206"/>
      <c r="I14" s="206"/>
      <c r="J14" s="169"/>
      <c r="K14" s="31"/>
      <c r="L14" s="31">
        <f t="shared" si="2"/>
        <v>5000</v>
      </c>
      <c r="M14" s="32"/>
    </row>
    <row r="15" spans="2:14" s="26" customFormat="1" ht="16" thickBot="1" x14ac:dyDescent="0.4">
      <c r="B15" s="163" t="s">
        <v>0</v>
      </c>
      <c r="C15" s="214">
        <v>14000</v>
      </c>
      <c r="D15" s="215"/>
      <c r="E15" s="215"/>
      <c r="F15" s="216"/>
      <c r="G15" s="217">
        <v>14000</v>
      </c>
      <c r="H15" s="215"/>
      <c r="I15" s="215"/>
      <c r="J15" s="218"/>
      <c r="K15" s="34"/>
      <c r="L15" s="31">
        <f t="shared" si="2"/>
        <v>28000</v>
      </c>
      <c r="M15" s="35"/>
    </row>
    <row r="16" spans="2:14" s="26" customFormat="1" ht="16" thickBot="1" x14ac:dyDescent="0.4">
      <c r="B16" s="164" t="s">
        <v>34</v>
      </c>
      <c r="C16" s="211"/>
      <c r="D16" s="212"/>
      <c r="E16" s="212"/>
      <c r="F16" s="213"/>
      <c r="G16" s="212"/>
      <c r="H16" s="212"/>
      <c r="I16" s="212"/>
      <c r="J16" s="213"/>
      <c r="K16" s="165">
        <f>SUM(K5:K10)</f>
        <v>146260</v>
      </c>
      <c r="L16" s="166">
        <f>SUM(L12:L15,L5:L10)</f>
        <v>117525</v>
      </c>
      <c r="M16" s="167">
        <f>K16-L16</f>
        <v>28735</v>
      </c>
      <c r="N16" s="168"/>
    </row>
  </sheetData>
  <mergeCells count="14">
    <mergeCell ref="C16:F16"/>
    <mergeCell ref="G16:J16"/>
    <mergeCell ref="C14:F14"/>
    <mergeCell ref="G14:J14"/>
    <mergeCell ref="C15:F15"/>
    <mergeCell ref="G15:J15"/>
    <mergeCell ref="C12:F12"/>
    <mergeCell ref="G12:J12"/>
    <mergeCell ref="C13:F13"/>
    <mergeCell ref="G13:J13"/>
    <mergeCell ref="C3:F3"/>
    <mergeCell ref="G3:J3"/>
    <mergeCell ref="C11:F11"/>
    <mergeCell ref="G11:J1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 Data</vt:lpstr>
      <vt:lpstr>Menu Card</vt:lpstr>
      <vt:lpstr>First 3 Months</vt:lpstr>
      <vt:lpstr>Profit Analysis</vt:lpstr>
      <vt:lpstr>Next 4 Months</vt:lpstr>
      <vt:lpstr>Loss Analysis</vt:lpstr>
      <vt:lpstr>After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Pratik</dc:creator>
  <cp:lastModifiedBy>Jadhav, Pratik</cp:lastModifiedBy>
  <dcterms:created xsi:type="dcterms:W3CDTF">2022-09-29T17:44:42Z</dcterms:created>
  <dcterms:modified xsi:type="dcterms:W3CDTF">2022-10-10T13:39:56Z</dcterms:modified>
</cp:coreProperties>
</file>