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History-Forecast" sheetId="1" r:id="rId1"/>
    <sheet name="Expense &amp; Revenue" sheetId="3" r:id="rId2"/>
    <sheet name="Cost Analysis" sheetId="2" r:id="rId3"/>
  </sheets>
  <calcPr calcId="144525"/>
</workbook>
</file>

<file path=xl/calcChain.xml><?xml version="1.0" encoding="utf-8"?>
<calcChain xmlns="http://schemas.openxmlformats.org/spreadsheetml/2006/main">
  <c r="I58" i="3" l="1"/>
  <c r="B58" i="3"/>
  <c r="C58" i="3" s="1"/>
  <c r="D58" i="3" s="1"/>
  <c r="C57" i="3"/>
  <c r="D57" i="3" s="1"/>
  <c r="C56" i="3"/>
  <c r="D56" i="3" s="1"/>
  <c r="C55" i="3"/>
  <c r="D55" i="3" s="1"/>
  <c r="C54" i="3"/>
  <c r="D54" i="3" s="1"/>
  <c r="C53" i="3"/>
  <c r="D53" i="3" s="1"/>
  <c r="C52" i="3"/>
  <c r="D52" i="3" s="1"/>
  <c r="C51" i="3"/>
  <c r="D51" i="3" s="1"/>
  <c r="C50" i="3"/>
  <c r="D50" i="3" s="1"/>
  <c r="C49" i="3"/>
  <c r="D49" i="3" s="1"/>
  <c r="C48" i="3"/>
  <c r="D48" i="3" s="1"/>
  <c r="O44" i="3"/>
  <c r="D44" i="3"/>
  <c r="E44" i="3" s="1"/>
  <c r="B44" i="3"/>
  <c r="O43" i="3"/>
  <c r="C43" i="3"/>
  <c r="D43" i="3" s="1"/>
  <c r="E43" i="3" s="1"/>
  <c r="B43" i="3"/>
  <c r="O42" i="3"/>
  <c r="E42" i="3"/>
  <c r="D42" i="3"/>
  <c r="B42" i="3"/>
  <c r="O41" i="3"/>
  <c r="D41" i="3"/>
  <c r="E41" i="3" s="1"/>
  <c r="B41" i="3"/>
  <c r="O40" i="3"/>
  <c r="E40" i="3"/>
  <c r="C40" i="3"/>
  <c r="D40" i="3" s="1"/>
  <c r="B40" i="3"/>
  <c r="O39" i="3"/>
  <c r="E39" i="3"/>
  <c r="D39" i="3"/>
  <c r="B39" i="3"/>
  <c r="O38" i="3"/>
  <c r="D38" i="3"/>
  <c r="E38" i="3" s="1"/>
  <c r="B38" i="3"/>
  <c r="O37" i="3"/>
  <c r="C37" i="3"/>
  <c r="D37" i="3" s="1"/>
  <c r="E37" i="3" s="1"/>
  <c r="B37" i="3"/>
  <c r="O36" i="3"/>
  <c r="E36" i="3"/>
  <c r="D36" i="3"/>
  <c r="B36" i="3"/>
  <c r="O35" i="3"/>
  <c r="F35" i="3"/>
  <c r="D35" i="3"/>
  <c r="E35" i="3" s="1"/>
  <c r="B35" i="3"/>
  <c r="O34" i="3"/>
  <c r="G34" i="3"/>
  <c r="H34" i="3" s="1"/>
  <c r="D34" i="3"/>
  <c r="E34" i="3" s="1"/>
  <c r="B34" i="3"/>
  <c r="M21" i="3"/>
  <c r="C21" i="3"/>
  <c r="E21" i="3" s="1"/>
  <c r="F21" i="3" s="1"/>
  <c r="J20" i="3"/>
  <c r="J21" i="3" s="1"/>
  <c r="F20" i="3"/>
  <c r="D20" i="3"/>
  <c r="D21" i="3" s="1"/>
  <c r="D22" i="3" s="1"/>
  <c r="D23" i="3" s="1"/>
  <c r="D24" i="3" s="1"/>
  <c r="D25" i="3" s="1"/>
  <c r="D26" i="3" s="1"/>
  <c r="D27" i="3" s="1"/>
  <c r="D28" i="3" s="1"/>
  <c r="D29" i="3" s="1"/>
  <c r="C20" i="3"/>
  <c r="E20" i="3" s="1"/>
  <c r="B20" i="3"/>
  <c r="B21" i="3" s="1"/>
  <c r="B22" i="3" s="1"/>
  <c r="B23" i="3" s="1"/>
  <c r="B24" i="3" s="1"/>
  <c r="B25" i="3" s="1"/>
  <c r="B26" i="3" s="1"/>
  <c r="B27" i="3" s="1"/>
  <c r="B28" i="3" s="1"/>
  <c r="B29" i="3" s="1"/>
  <c r="F19" i="3"/>
  <c r="G19" i="3" s="1"/>
  <c r="E59" i="3" s="1"/>
  <c r="E19" i="3"/>
  <c r="B6" i="3"/>
  <c r="D5" i="3"/>
  <c r="B5" i="3"/>
  <c r="J4" i="3"/>
  <c r="E4" i="3"/>
  <c r="G4" i="3" s="1"/>
  <c r="H4" i="3" s="1"/>
  <c r="I4" i="3" s="1"/>
  <c r="D4" i="3"/>
  <c r="G23" i="2"/>
  <c r="G24" i="2" s="1"/>
  <c r="C19" i="2"/>
  <c r="C21" i="2" s="1"/>
  <c r="C22" i="2" s="1"/>
  <c r="C23" i="2" s="1"/>
  <c r="G18" i="2"/>
  <c r="C18" i="2"/>
  <c r="C24" i="2" s="1"/>
  <c r="G13" i="2"/>
  <c r="G14" i="2" s="1"/>
  <c r="C13" i="2"/>
  <c r="P6" i="2"/>
  <c r="P7" i="2" s="1"/>
  <c r="P8" i="2" s="1"/>
  <c r="P9" i="2" s="1"/>
  <c r="P10" i="2" s="1"/>
  <c r="P11" i="2" s="1"/>
  <c r="P12" i="2" s="1"/>
  <c r="P13" i="2" s="1"/>
  <c r="G6" i="2"/>
  <c r="C6" i="2"/>
  <c r="P5" i="2"/>
  <c r="O5" i="2"/>
  <c r="O6" i="2" s="1"/>
  <c r="C5" i="2"/>
  <c r="Q4" i="2"/>
  <c r="R4" i="2" s="1"/>
  <c r="P4" i="2"/>
  <c r="O4" i="2"/>
  <c r="N4" i="2"/>
  <c r="N5" i="2" s="1"/>
  <c r="N6" i="2" s="1"/>
  <c r="N7" i="2" s="1"/>
  <c r="N8" i="2" s="1"/>
  <c r="N9" i="2" s="1"/>
  <c r="N10" i="2" s="1"/>
  <c r="N11" i="2" s="1"/>
  <c r="N12" i="2" s="1"/>
  <c r="N13" i="2" s="1"/>
  <c r="K4" i="2"/>
  <c r="G7" i="2" s="1"/>
  <c r="J4" i="2"/>
  <c r="G4" i="2"/>
  <c r="Q3" i="2"/>
  <c r="R3" i="2" s="1"/>
  <c r="K3" i="2"/>
  <c r="K28" i="1"/>
  <c r="B28" i="1"/>
  <c r="D27" i="1"/>
  <c r="C27" i="1"/>
  <c r="C26" i="1"/>
  <c r="D26" i="1" s="1"/>
  <c r="D25" i="1"/>
  <c r="C25" i="1"/>
  <c r="C24" i="1"/>
  <c r="D24" i="1" s="1"/>
  <c r="D23" i="1"/>
  <c r="C23" i="1"/>
  <c r="C22" i="1"/>
  <c r="D22" i="1" s="1"/>
  <c r="D21" i="1"/>
  <c r="C21" i="1"/>
  <c r="C20" i="1"/>
  <c r="D20" i="1" s="1"/>
  <c r="D19" i="1"/>
  <c r="C19" i="1"/>
  <c r="C18" i="1"/>
  <c r="D18" i="1" s="1"/>
  <c r="C22" i="3" l="1"/>
  <c r="J5" i="3"/>
  <c r="G20" i="3" s="1"/>
  <c r="E60" i="3" s="1"/>
  <c r="E5" i="3"/>
  <c r="G5" i="3" s="1"/>
  <c r="H5" i="3" s="1"/>
  <c r="I5" i="3" s="1"/>
  <c r="D6" i="3"/>
  <c r="B7" i="3"/>
  <c r="F36" i="3"/>
  <c r="G35" i="3"/>
  <c r="H35" i="3" s="1"/>
  <c r="B59" i="3"/>
  <c r="I59" i="3"/>
  <c r="O7" i="2"/>
  <c r="Q6" i="2"/>
  <c r="R6" i="2" s="1"/>
  <c r="C7" i="2"/>
  <c r="Q5" i="2"/>
  <c r="R5" i="2" s="1"/>
  <c r="B29" i="1"/>
  <c r="B31" i="1" s="1"/>
  <c r="B30" i="1"/>
  <c r="C28" i="1"/>
  <c r="D28" i="1" s="1"/>
  <c r="K29" i="1"/>
  <c r="K30" i="1" s="1"/>
  <c r="C59" i="3" l="1"/>
  <c r="D59" i="3" s="1"/>
  <c r="F59" i="3" s="1"/>
  <c r="B60" i="3"/>
  <c r="F37" i="3"/>
  <c r="G36" i="3"/>
  <c r="H36" i="3" s="1"/>
  <c r="I60" i="3"/>
  <c r="I61" i="3" s="1"/>
  <c r="D7" i="3"/>
  <c r="B8" i="3"/>
  <c r="E6" i="3"/>
  <c r="G6" i="3" s="1"/>
  <c r="H6" i="3" s="1"/>
  <c r="I6" i="3" s="1"/>
  <c r="J6" i="3"/>
  <c r="G21" i="3" s="1"/>
  <c r="E61" i="3" s="1"/>
  <c r="C23" i="3"/>
  <c r="E22" i="3"/>
  <c r="F22" i="3" s="1"/>
  <c r="B61" i="3"/>
  <c r="O8" i="2"/>
  <c r="Q7" i="2"/>
  <c r="R7" i="2" s="1"/>
  <c r="B32" i="1"/>
  <c r="C30" i="1"/>
  <c r="D30" i="1" s="1"/>
  <c r="K31" i="1"/>
  <c r="C29" i="1"/>
  <c r="D29" i="1" s="1"/>
  <c r="I62" i="3" l="1"/>
  <c r="B9" i="3"/>
  <c r="D8" i="3"/>
  <c r="J7" i="3"/>
  <c r="E7" i="3"/>
  <c r="G7" i="3" s="1"/>
  <c r="H7" i="3" s="1"/>
  <c r="I7" i="3" s="1"/>
  <c r="B62" i="3"/>
  <c r="G22" i="3"/>
  <c r="I63" i="3"/>
  <c r="C60" i="3"/>
  <c r="D60" i="3" s="1"/>
  <c r="F60" i="3" s="1"/>
  <c r="C61" i="3"/>
  <c r="D61" i="3" s="1"/>
  <c r="F61" i="3" s="1"/>
  <c r="E23" i="3"/>
  <c r="F23" i="3" s="1"/>
  <c r="C24" i="3"/>
  <c r="B63" i="3"/>
  <c r="C63" i="3" s="1"/>
  <c r="D63" i="3" s="1"/>
  <c r="F38" i="3"/>
  <c r="G37" i="3"/>
  <c r="H37" i="3" s="1"/>
  <c r="O9" i="2"/>
  <c r="Q8" i="2"/>
  <c r="R8" i="2" s="1"/>
  <c r="K32" i="1"/>
  <c r="B33" i="1"/>
  <c r="C31" i="1"/>
  <c r="D31" i="1" s="1"/>
  <c r="B34" i="1"/>
  <c r="E24" i="3" l="1"/>
  <c r="F24" i="3" s="1"/>
  <c r="C25" i="3"/>
  <c r="G38" i="3"/>
  <c r="H38" i="3" s="1"/>
  <c r="F39" i="3"/>
  <c r="E62" i="3"/>
  <c r="E8" i="3"/>
  <c r="G8" i="3" s="1"/>
  <c r="H8" i="3" s="1"/>
  <c r="I8" i="3" s="1"/>
  <c r="J8" i="3"/>
  <c r="G23" i="3"/>
  <c r="I64" i="3"/>
  <c r="C62" i="3"/>
  <c r="D62" i="3" s="1"/>
  <c r="F62" i="3" s="1"/>
  <c r="D9" i="3"/>
  <c r="B10" i="3"/>
  <c r="B64" i="3"/>
  <c r="Q9" i="2"/>
  <c r="R9" i="2" s="1"/>
  <c r="O10" i="2"/>
  <c r="K33" i="1"/>
  <c r="C32" i="1"/>
  <c r="D32" i="1" s="1"/>
  <c r="C33" i="1"/>
  <c r="D33" i="1" s="1"/>
  <c r="B35" i="1"/>
  <c r="C64" i="3" l="1"/>
  <c r="D64" i="3" s="1"/>
  <c r="B65" i="3"/>
  <c r="E63" i="3"/>
  <c r="F63" i="3" s="1"/>
  <c r="D10" i="3"/>
  <c r="B11" i="3"/>
  <c r="C26" i="3"/>
  <c r="E25" i="3"/>
  <c r="F25" i="3" s="1"/>
  <c r="I65" i="3"/>
  <c r="I66" i="3" s="1"/>
  <c r="J9" i="3"/>
  <c r="E9" i="3"/>
  <c r="G9" i="3" s="1"/>
  <c r="H9" i="3" s="1"/>
  <c r="I9" i="3" s="1"/>
  <c r="G39" i="3"/>
  <c r="H39" i="3" s="1"/>
  <c r="F40" i="3"/>
  <c r="G24" i="3"/>
  <c r="Q10" i="2"/>
  <c r="R10" i="2" s="1"/>
  <c r="O11" i="2"/>
  <c r="K34" i="1"/>
  <c r="B36" i="1"/>
  <c r="B37" i="1" s="1"/>
  <c r="D11" i="3" l="1"/>
  <c r="B12" i="3"/>
  <c r="J10" i="3"/>
  <c r="G25" i="3" s="1"/>
  <c r="E65" i="3" s="1"/>
  <c r="E10" i="3"/>
  <c r="G10" i="3" s="1"/>
  <c r="H10" i="3" s="1"/>
  <c r="I10" i="3" s="1"/>
  <c r="I67" i="3"/>
  <c r="I68" i="3" s="1"/>
  <c r="I69" i="3" s="1"/>
  <c r="C65" i="3"/>
  <c r="D65" i="3" s="1"/>
  <c r="B66" i="3"/>
  <c r="C66" i="3" s="1"/>
  <c r="D66" i="3" s="1"/>
  <c r="E64" i="3"/>
  <c r="F64" i="3" s="1"/>
  <c r="C27" i="3"/>
  <c r="E26" i="3"/>
  <c r="F26" i="3" s="1"/>
  <c r="G40" i="3"/>
  <c r="H40" i="3" s="1"/>
  <c r="F41" i="3"/>
  <c r="O12" i="2"/>
  <c r="Q11" i="2"/>
  <c r="R11" i="2" s="1"/>
  <c r="C34" i="1"/>
  <c r="D34" i="1" s="1"/>
  <c r="K35" i="1"/>
  <c r="B38" i="1"/>
  <c r="B13" i="3" l="1"/>
  <c r="D12" i="3"/>
  <c r="B67" i="3"/>
  <c r="C67" i="3" s="1"/>
  <c r="D67" i="3" s="1"/>
  <c r="C28" i="3"/>
  <c r="E27" i="3"/>
  <c r="F27" i="3" s="1"/>
  <c r="F65" i="3"/>
  <c r="F42" i="3"/>
  <c r="G41" i="3"/>
  <c r="H41" i="3" s="1"/>
  <c r="J11" i="3"/>
  <c r="G26" i="3" s="1"/>
  <c r="E66" i="3" s="1"/>
  <c r="F66" i="3" s="1"/>
  <c r="E11" i="3"/>
  <c r="G11" i="3" s="1"/>
  <c r="H11" i="3" s="1"/>
  <c r="I11" i="3" s="1"/>
  <c r="O13" i="2"/>
  <c r="Q13" i="2" s="1"/>
  <c r="R13" i="2" s="1"/>
  <c r="Q12" i="2"/>
  <c r="R12" i="2" s="1"/>
  <c r="K36" i="1"/>
  <c r="C35" i="1"/>
  <c r="D35" i="1" s="1"/>
  <c r="B39" i="1"/>
  <c r="B68" i="3" l="1"/>
  <c r="B14" i="3"/>
  <c r="D14" i="3" s="1"/>
  <c r="D13" i="3"/>
  <c r="F43" i="3"/>
  <c r="G42" i="3"/>
  <c r="H42" i="3" s="1"/>
  <c r="J12" i="3"/>
  <c r="G27" i="3" s="1"/>
  <c r="E67" i="3" s="1"/>
  <c r="F67" i="3" s="1"/>
  <c r="E12" i="3"/>
  <c r="G12" i="3" s="1"/>
  <c r="H12" i="3" s="1"/>
  <c r="I12" i="3" s="1"/>
  <c r="C29" i="3"/>
  <c r="E29" i="3" s="1"/>
  <c r="F29" i="3" s="1"/>
  <c r="E28" i="3"/>
  <c r="F28" i="3" s="1"/>
  <c r="K37" i="1"/>
  <c r="C36" i="1"/>
  <c r="D36" i="1" s="1"/>
  <c r="J14" i="3" l="1"/>
  <c r="E14" i="3"/>
  <c r="G14" i="3" s="1"/>
  <c r="H14" i="3" s="1"/>
  <c r="I14" i="3" s="1"/>
  <c r="G29" i="3"/>
  <c r="E69" i="3" s="1"/>
  <c r="F44" i="3"/>
  <c r="G44" i="3" s="1"/>
  <c r="H44" i="3" s="1"/>
  <c r="G43" i="3"/>
  <c r="H43" i="3" s="1"/>
  <c r="J13" i="3"/>
  <c r="G28" i="3" s="1"/>
  <c r="E68" i="3" s="1"/>
  <c r="E13" i="3"/>
  <c r="G13" i="3" s="1"/>
  <c r="H13" i="3" s="1"/>
  <c r="I13" i="3" s="1"/>
  <c r="C68" i="3"/>
  <c r="D68" i="3" s="1"/>
  <c r="B69" i="3"/>
  <c r="C69" i="3" s="1"/>
  <c r="D69" i="3" s="1"/>
  <c r="F69" i="3" s="1"/>
  <c r="K38" i="1"/>
  <c r="C37" i="1"/>
  <c r="D37" i="1" s="1"/>
  <c r="F68" i="3" l="1"/>
  <c r="K39" i="1"/>
  <c r="C39" i="1" s="1"/>
  <c r="D39" i="1" s="1"/>
  <c r="C38" i="1"/>
  <c r="D38" i="1" s="1"/>
</calcChain>
</file>

<file path=xl/sharedStrings.xml><?xml version="1.0" encoding="utf-8"?>
<sst xmlns="http://schemas.openxmlformats.org/spreadsheetml/2006/main" count="139" uniqueCount="94">
  <si>
    <t>Analysis for Drone Delivery System</t>
  </si>
  <si>
    <t>Distribution</t>
  </si>
  <si>
    <t>KMS</t>
  </si>
  <si>
    <t>Order Distribution</t>
  </si>
  <si>
    <t>Day of week</t>
  </si>
  <si>
    <t>&lt;=3</t>
  </si>
  <si>
    <t>Mon</t>
  </si>
  <si>
    <t>Tue</t>
  </si>
  <si>
    <t>Delivery Time</t>
  </si>
  <si>
    <t>NPS</t>
  </si>
  <si>
    <t>Wed</t>
  </si>
  <si>
    <t>Year</t>
  </si>
  <si>
    <t>Average monthly orders</t>
  </si>
  <si>
    <t>Revenue per month</t>
  </si>
  <si>
    <t>Revenue per year</t>
  </si>
  <si>
    <t>Revenue per order</t>
  </si>
  <si>
    <t>Query Resolution Time</t>
  </si>
  <si>
    <t>Thu</t>
  </si>
  <si>
    <t>Fri</t>
  </si>
  <si>
    <t>Sat</t>
  </si>
  <si>
    <t>Sun</t>
  </si>
  <si>
    <t>&lt;5</t>
  </si>
  <si>
    <t>Delivery Boy(DB) cost analysis</t>
  </si>
  <si>
    <t>Amount in RS</t>
  </si>
  <si>
    <t>Drones cost analysis</t>
  </si>
  <si>
    <t>Hubs</t>
  </si>
  <si>
    <t>Drones</t>
  </si>
  <si>
    <t>Battery</t>
  </si>
  <si>
    <t>1 successful order -Bonus amount</t>
  </si>
  <si>
    <t>Cost per Drone</t>
  </si>
  <si>
    <t>1 successful order -Bonus amount (10% raise yearly)</t>
  </si>
  <si>
    <t>Delivery Boy salary (10% raise yearly)</t>
  </si>
  <si>
    <t>No of avg orders delivered in a month by 1 DB (5% riase yearly)</t>
  </si>
  <si>
    <t>1 DB salary + bonus per month</t>
  </si>
  <si>
    <t>1 DB salary + bonus per year</t>
  </si>
  <si>
    <t>Total DB's salary + bonus per year</t>
  </si>
  <si>
    <t>DB salary</t>
  </si>
  <si>
    <t>Maintenance cost per month per drone</t>
  </si>
  <si>
    <t>Each Hub</t>
  </si>
  <si>
    <t>No of avg orders delivered in a month by 1 DB</t>
  </si>
  <si>
    <t>Maintenance cost per year per drone</t>
  </si>
  <si>
    <t>251 Hubs</t>
  </si>
  <si>
    <t>Cost per battery per Drone</t>
  </si>
  <si>
    <t>Cost per battery per year per drone</t>
  </si>
  <si>
    <t>Total cost of batteries per year</t>
  </si>
  <si>
    <t xml:space="preserve">Attrition every month </t>
  </si>
  <si>
    <t>Hyderabad</t>
  </si>
  <si>
    <t>Building/Govt places</t>
  </si>
  <si>
    <t>Population</t>
  </si>
  <si>
    <t>Lease</t>
  </si>
  <si>
    <t>Total Area</t>
  </si>
  <si>
    <t>km2</t>
  </si>
  <si>
    <t>Lease Per 1 Year</t>
  </si>
  <si>
    <t>Estiamte no of Hubs</t>
  </si>
  <si>
    <t>Lease Per 10 years</t>
  </si>
  <si>
    <t>Total Hubs Lease amount</t>
  </si>
  <si>
    <t>Total orders in 2024</t>
  </si>
  <si>
    <t>Hyderabad share</t>
  </si>
  <si>
    <t>Drone avg speed</t>
  </si>
  <si>
    <t>kmph</t>
  </si>
  <si>
    <t>Hyderabad avg monthly orders</t>
  </si>
  <si>
    <t>Time taken to cover 8 kms distance</t>
  </si>
  <si>
    <t>mins</t>
  </si>
  <si>
    <t>Hyderabad avg per day orders</t>
  </si>
  <si>
    <t>Reacharge time</t>
  </si>
  <si>
    <t>Hour</t>
  </si>
  <si>
    <t>Orders during peak time</t>
  </si>
  <si>
    <t>Flight Time</t>
  </si>
  <si>
    <t>Hyderabad avg per day orders during peak time</t>
  </si>
  <si>
    <t>1 Drone with 1 battery</t>
  </si>
  <si>
    <t>Deliveries</t>
  </si>
  <si>
    <t>Orders during peak time per Hub</t>
  </si>
  <si>
    <t>1 Drone per hour with replacement of battery</t>
  </si>
  <si>
    <t>deliveries</t>
  </si>
  <si>
    <t>Assuming 20% orders beyond 5 kms per hub</t>
  </si>
  <si>
    <t>20 Drones per hour with replacement of battery</t>
  </si>
  <si>
    <t>Total no of Delivery boys</t>
  </si>
  <si>
    <t xml:space="preserve">Per hour Each Hub - 20 Drones can deliver max up to </t>
  </si>
  <si>
    <t>Delivery Boys &amp; orders analysis</t>
  </si>
  <si>
    <t>Total orders</t>
  </si>
  <si>
    <t>1 successful order -Bonus amount (5% raise yearly)</t>
  </si>
  <si>
    <t>Delivery Boy salary (5% raise yearly)</t>
  </si>
  <si>
    <t>Estiamtion no of Hubs</t>
  </si>
  <si>
    <t>Count of Hubs &amp; Drones</t>
  </si>
  <si>
    <t>Drones Cost</t>
  </si>
  <si>
    <t>Total Maintenance cost per year per drone</t>
  </si>
  <si>
    <t xml:space="preserve">Cost per battery </t>
  </si>
  <si>
    <t xml:space="preserve">Cost per battery per year </t>
  </si>
  <si>
    <t>No of Hubs</t>
  </si>
  <si>
    <t>No of Drones per Hub</t>
  </si>
  <si>
    <t>Lease Amount</t>
  </si>
  <si>
    <t>Yearly orders revenue</t>
  </si>
  <si>
    <t>Expenses</t>
  </si>
  <si>
    <t>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</si>
</sst>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64" formatCode="_ * #,##0_ ;_ * \-#,##0_ ;_ * &quot;-&quot;??_ ;_ @_ 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1F1F1F"/>
      <name val="Arial"/>
      <family val="2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0">
    <xf numFmtId="0" fontId="0" fillId="0" borderId="0" xfId="0"/>
    <xf numFmtId="0" fontId="2" fillId="0" borderId="0" xfId="0" applyFont="1"/>
    <xf numFmtId="0" fontId="2" fillId="0" borderId="1" xfId="0" applyFont="1" applyBorder="1"/>
    <xf numFmtId="9" fontId="0" fillId="0" borderId="1" xfId="0" applyNumberFormat="1" applyBorder="1"/>
    <xf numFmtId="0" fontId="0" fillId="0" borderId="1" xfId="0" applyBorder="1"/>
    <xf numFmtId="0" fontId="2" fillId="2" borderId="1" xfId="0" applyFont="1" applyFill="1" applyBorder="1"/>
    <xf numFmtId="164" fontId="0" fillId="0" borderId="1" xfId="1" applyNumberFormat="1" applyFont="1" applyBorder="1"/>
    <xf numFmtId="9" fontId="0" fillId="0" borderId="0" xfId="2" applyFont="1"/>
    <xf numFmtId="9" fontId="2" fillId="0" borderId="0" xfId="0" applyNumberFormat="1" applyFont="1"/>
    <xf numFmtId="1" fontId="0" fillId="0" borderId="1" xfId="0" applyNumberFormat="1" applyBorder="1"/>
    <xf numFmtId="0" fontId="0" fillId="0" borderId="1" xfId="0" applyFont="1" applyBorder="1" applyAlignment="1">
      <alignment horizontal="left"/>
    </xf>
    <xf numFmtId="164" fontId="3" fillId="3" borderId="1" xfId="1" applyNumberFormat="1" applyFont="1" applyFill="1" applyBorder="1"/>
    <xf numFmtId="0" fontId="2" fillId="2" borderId="1" xfId="0" applyFont="1" applyFill="1" applyBorder="1" applyAlignment="1">
      <alignment horizontal="left" vertical="center" wrapText="1"/>
    </xf>
    <xf numFmtId="0" fontId="0" fillId="3" borderId="1" xfId="0" applyFill="1" applyBorder="1"/>
    <xf numFmtId="0" fontId="2" fillId="3" borderId="1" xfId="0" applyFont="1" applyFill="1" applyBorder="1"/>
    <xf numFmtId="164" fontId="2" fillId="3" borderId="0" xfId="0" applyNumberFormat="1" applyFont="1" applyFill="1"/>
    <xf numFmtId="164" fontId="2" fillId="3" borderId="1" xfId="1" applyNumberFormat="1" applyFont="1" applyFill="1" applyBorder="1"/>
    <xf numFmtId="9" fontId="0" fillId="3" borderId="1" xfId="0" applyNumberFormat="1" applyFill="1" applyBorder="1"/>
    <xf numFmtId="0" fontId="0" fillId="2" borderId="1" xfId="0" applyFill="1" applyBorder="1"/>
    <xf numFmtId="0" fontId="4" fillId="0" borderId="1" xfId="0" applyFont="1" applyBorder="1"/>
    <xf numFmtId="3" fontId="5" fillId="0" borderId="1" xfId="0" applyNumberFormat="1" applyFont="1" applyBorder="1"/>
    <xf numFmtId="1" fontId="0" fillId="3" borderId="1" xfId="0" applyNumberFormat="1" applyFill="1" applyBorder="1"/>
    <xf numFmtId="0" fontId="0" fillId="0" borderId="0" xfId="0" applyFill="1" applyBorder="1"/>
    <xf numFmtId="164" fontId="0" fillId="0" borderId="0" xfId="1" applyNumberFormat="1" applyFont="1"/>
    <xf numFmtId="9" fontId="0" fillId="0" borderId="0" xfId="0" applyNumberFormat="1"/>
    <xf numFmtId="0" fontId="0" fillId="0" borderId="1" xfId="0" applyFill="1" applyBorder="1"/>
    <xf numFmtId="1" fontId="0" fillId="0" borderId="0" xfId="0" applyNumberFormat="1"/>
    <xf numFmtId="164" fontId="0" fillId="0" borderId="0" xfId="0" applyNumberFormat="1"/>
    <xf numFmtId="0" fontId="0" fillId="3" borderId="1" xfId="0" applyFont="1" applyFill="1" applyBorder="1"/>
    <xf numFmtId="1" fontId="0" fillId="3" borderId="1" xfId="0" applyNumberFormat="1" applyFont="1" applyFill="1" applyBorder="1"/>
    <xf numFmtId="0" fontId="6" fillId="4" borderId="2" xfId="0" applyFont="1" applyFill="1" applyBorder="1" applyAlignment="1">
      <alignment horizontal="center"/>
    </xf>
    <xf numFmtId="0" fontId="6" fillId="4" borderId="3" xfId="0" applyFont="1" applyFill="1" applyBorder="1" applyAlignment="1">
      <alignment horizontal="center"/>
    </xf>
    <xf numFmtId="164" fontId="0" fillId="0" borderId="1" xfId="0" applyNumberFormat="1" applyBorder="1"/>
    <xf numFmtId="1" fontId="2" fillId="3" borderId="1" xfId="0" applyNumberFormat="1" applyFont="1" applyFill="1" applyBorder="1"/>
    <xf numFmtId="0" fontId="7" fillId="2" borderId="1" xfId="0" applyFont="1" applyFill="1" applyBorder="1" applyAlignment="1">
      <alignment horizontal="left" vertical="center" wrapText="1"/>
    </xf>
    <xf numFmtId="164" fontId="4" fillId="5" borderId="1" xfId="1" applyNumberFormat="1" applyFont="1" applyFill="1" applyBorder="1"/>
    <xf numFmtId="0" fontId="0" fillId="5" borderId="1" xfId="0" applyFont="1" applyFill="1" applyBorder="1"/>
    <xf numFmtId="164" fontId="1" fillId="5" borderId="1" xfId="1" applyNumberFormat="1" applyFont="1" applyFill="1" applyBorder="1"/>
    <xf numFmtId="1" fontId="0" fillId="5" borderId="1" xfId="0" applyNumberFormat="1" applyFont="1" applyFill="1" applyBorder="1"/>
    <xf numFmtId="43" fontId="0" fillId="0" borderId="1" xfId="0" applyNumberFormat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590549</xdr:colOff>
      <xdr:row>1</xdr:row>
      <xdr:rowOff>76200</xdr:rowOff>
    </xdr:from>
    <xdr:to>
      <xdr:col>4</xdr:col>
      <xdr:colOff>342900</xdr:colOff>
      <xdr:row>14</xdr:row>
      <xdr:rowOff>86483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0549" y="266700"/>
          <a:ext cx="4629151" cy="2486783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2</xdr:row>
      <xdr:rowOff>2</xdr:rowOff>
    </xdr:from>
    <xdr:to>
      <xdr:col>15</xdr:col>
      <xdr:colOff>391020</xdr:colOff>
      <xdr:row>13</xdr:row>
      <xdr:rowOff>161926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867650" y="381002"/>
          <a:ext cx="5239245" cy="2257424"/>
        </a:xfrm>
        <a:prstGeom prst="rect">
          <a:avLst/>
        </a:prstGeom>
      </xdr:spPr>
    </xdr:pic>
    <xdr:clientData/>
  </xdr:twoCellAnchor>
  <xdr:twoCellAnchor editAs="oneCell">
    <xdr:from>
      <xdr:col>16</xdr:col>
      <xdr:colOff>504825</xdr:colOff>
      <xdr:row>0</xdr:row>
      <xdr:rowOff>133350</xdr:rowOff>
    </xdr:from>
    <xdr:to>
      <xdr:col>22</xdr:col>
      <xdr:colOff>572190</xdr:colOff>
      <xdr:row>14</xdr:row>
      <xdr:rowOff>85725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830300" y="133350"/>
          <a:ext cx="4563165" cy="2619375"/>
        </a:xfrm>
        <a:prstGeom prst="rect">
          <a:avLst/>
        </a:prstGeom>
      </xdr:spPr>
    </xdr:pic>
    <xdr:clientData/>
  </xdr:twoCellAnchor>
  <xdr:twoCellAnchor editAs="oneCell">
    <xdr:from>
      <xdr:col>23</xdr:col>
      <xdr:colOff>9525</xdr:colOff>
      <xdr:row>1</xdr:row>
      <xdr:rowOff>123825</xdr:rowOff>
    </xdr:from>
    <xdr:to>
      <xdr:col>29</xdr:col>
      <xdr:colOff>28575</xdr:colOff>
      <xdr:row>13</xdr:row>
      <xdr:rowOff>108060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8440400" y="314325"/>
          <a:ext cx="3962400" cy="2270235"/>
        </a:xfrm>
        <a:prstGeom prst="rect">
          <a:avLst/>
        </a:prstGeom>
      </xdr:spPr>
    </xdr:pic>
    <xdr:clientData/>
  </xdr:twoCellAnchor>
  <xdr:twoCellAnchor editAs="oneCell">
    <xdr:from>
      <xdr:col>30</xdr:col>
      <xdr:colOff>0</xdr:colOff>
      <xdr:row>3</xdr:row>
      <xdr:rowOff>0</xdr:rowOff>
    </xdr:from>
    <xdr:to>
      <xdr:col>40</xdr:col>
      <xdr:colOff>503965</xdr:colOff>
      <xdr:row>9</xdr:row>
      <xdr:rowOff>190333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2983825" y="571500"/>
          <a:ext cx="6876190" cy="1333333"/>
        </a:xfrm>
        <a:prstGeom prst="rect">
          <a:avLst/>
        </a:prstGeom>
      </xdr:spPr>
    </xdr:pic>
    <xdr:clientData/>
  </xdr:twoCellAnchor>
  <xdr:twoCellAnchor editAs="oneCell">
    <xdr:from>
      <xdr:col>42</xdr:col>
      <xdr:colOff>9525</xdr:colOff>
      <xdr:row>1</xdr:row>
      <xdr:rowOff>161925</xdr:rowOff>
    </xdr:from>
    <xdr:to>
      <xdr:col>52</xdr:col>
      <xdr:colOff>132475</xdr:colOff>
      <xdr:row>10</xdr:row>
      <xdr:rowOff>75996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0584775" y="352425"/>
          <a:ext cx="7000000" cy="16285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39"/>
  <sheetViews>
    <sheetView showGridLines="0" tabSelected="1" workbookViewId="0">
      <selection activeCell="E15" sqref="E15"/>
    </sheetView>
  </sheetViews>
  <sheetFormatPr defaultRowHeight="15" x14ac:dyDescent="0.25"/>
  <cols>
    <col min="2" max="2" width="22.7109375" bestFit="1" customWidth="1"/>
    <col min="3" max="3" width="22.140625" customWidth="1"/>
    <col min="4" max="4" width="19.140625" customWidth="1"/>
    <col min="5" max="5" width="17.42578125" customWidth="1"/>
    <col min="11" max="11" width="17.85546875" bestFit="1" customWidth="1"/>
    <col min="19" max="19" width="21.7109375" bestFit="1" customWidth="1"/>
    <col min="25" max="25" width="13.42578125" bestFit="1" customWidth="1"/>
    <col min="32" max="32" width="13.28515625" customWidth="1"/>
    <col min="44" max="44" width="18" customWidth="1"/>
    <col min="45" max="45" width="12" customWidth="1"/>
  </cols>
  <sheetData>
    <row r="1" spans="1:45" x14ac:dyDescent="0.25">
      <c r="A1" s="1" t="s">
        <v>0</v>
      </c>
    </row>
    <row r="12" spans="1:45" x14ac:dyDescent="0.25">
      <c r="AF12" s="2" t="s">
        <v>1</v>
      </c>
      <c r="AG12" s="2" t="s">
        <v>2</v>
      </c>
      <c r="AR12" s="2" t="s">
        <v>3</v>
      </c>
      <c r="AS12" s="2" t="s">
        <v>4</v>
      </c>
    </row>
    <row r="13" spans="1:45" x14ac:dyDescent="0.25">
      <c r="AF13" s="3">
        <v>0.4</v>
      </c>
      <c r="AG13" s="4" t="s">
        <v>5</v>
      </c>
      <c r="AR13" s="3">
        <v>0.12</v>
      </c>
      <c r="AS13" s="4" t="s">
        <v>6</v>
      </c>
    </row>
    <row r="14" spans="1:45" x14ac:dyDescent="0.25">
      <c r="AF14" s="3">
        <v>0.35</v>
      </c>
      <c r="AG14" s="4">
        <v>4</v>
      </c>
      <c r="AR14" s="3">
        <v>0.12</v>
      </c>
      <c r="AS14" s="4" t="s">
        <v>7</v>
      </c>
    </row>
    <row r="15" spans="1:45" x14ac:dyDescent="0.25">
      <c r="AF15" s="3"/>
      <c r="AG15" s="4"/>
      <c r="AR15" s="3"/>
      <c r="AS15" s="4"/>
    </row>
    <row r="16" spans="1:45" x14ac:dyDescent="0.25">
      <c r="Y16" s="2" t="s">
        <v>8</v>
      </c>
      <c r="Z16" s="2" t="s">
        <v>9</v>
      </c>
      <c r="AF16" s="3">
        <v>0.2</v>
      </c>
      <c r="AG16" s="4">
        <v>5</v>
      </c>
      <c r="AR16" s="3">
        <v>0.13</v>
      </c>
      <c r="AS16" s="4" t="s">
        <v>10</v>
      </c>
    </row>
    <row r="17" spans="1:45" x14ac:dyDescent="0.25">
      <c r="A17" s="5" t="s">
        <v>11</v>
      </c>
      <c r="B17" s="5" t="s">
        <v>12</v>
      </c>
      <c r="C17" s="5" t="s">
        <v>13</v>
      </c>
      <c r="D17" s="5" t="s">
        <v>14</v>
      </c>
      <c r="J17" s="5" t="s">
        <v>11</v>
      </c>
      <c r="K17" s="5" t="s">
        <v>15</v>
      </c>
      <c r="S17" s="2" t="s">
        <v>16</v>
      </c>
      <c r="T17" s="2" t="s">
        <v>9</v>
      </c>
      <c r="Y17" s="4">
        <v>15</v>
      </c>
      <c r="Z17" s="4">
        <v>30</v>
      </c>
      <c r="AF17" s="3">
        <v>0.05</v>
      </c>
      <c r="AG17" s="4">
        <v>6</v>
      </c>
      <c r="AR17" s="3">
        <v>0.13</v>
      </c>
      <c r="AS17" s="4" t="s">
        <v>17</v>
      </c>
    </row>
    <row r="18" spans="1:45" x14ac:dyDescent="0.25">
      <c r="A18" s="4">
        <v>2013</v>
      </c>
      <c r="B18" s="6">
        <v>125000</v>
      </c>
      <c r="C18" s="6">
        <f t="shared" ref="C18:C39" si="0">B18*K18</f>
        <v>5625000</v>
      </c>
      <c r="D18" s="6">
        <f>C18*12</f>
        <v>67500000</v>
      </c>
      <c r="J18" s="4">
        <v>2013</v>
      </c>
      <c r="K18" s="4">
        <v>45</v>
      </c>
      <c r="S18" s="4">
        <v>2</v>
      </c>
      <c r="T18" s="4">
        <v>50</v>
      </c>
      <c r="Y18" s="4">
        <v>30</v>
      </c>
      <c r="Z18" s="4">
        <v>45</v>
      </c>
      <c r="AF18" s="3">
        <v>0</v>
      </c>
      <c r="AG18" s="4">
        <v>7</v>
      </c>
      <c r="AR18" s="3">
        <v>0.14000000000000001</v>
      </c>
      <c r="AS18" s="4" t="s">
        <v>18</v>
      </c>
    </row>
    <row r="19" spans="1:45" x14ac:dyDescent="0.25">
      <c r="A19" s="4">
        <v>2014</v>
      </c>
      <c r="B19" s="6">
        <v>250000</v>
      </c>
      <c r="C19" s="6">
        <f t="shared" si="0"/>
        <v>13000000</v>
      </c>
      <c r="D19" s="6">
        <f t="shared" ref="D19:D39" si="1">C19*12</f>
        <v>156000000</v>
      </c>
      <c r="E19" s="7"/>
      <c r="J19" s="4">
        <v>2014</v>
      </c>
      <c r="K19" s="4">
        <v>52</v>
      </c>
      <c r="S19" s="4">
        <v>5</v>
      </c>
      <c r="T19" s="4">
        <v>40</v>
      </c>
      <c r="Y19" s="4">
        <v>45</v>
      </c>
      <c r="Z19" s="4">
        <v>30</v>
      </c>
      <c r="AF19" s="3">
        <v>0</v>
      </c>
      <c r="AG19" s="4">
        <v>8</v>
      </c>
      <c r="AR19" s="3">
        <v>0.17</v>
      </c>
      <c r="AS19" s="4" t="s">
        <v>19</v>
      </c>
    </row>
    <row r="20" spans="1:45" x14ac:dyDescent="0.25">
      <c r="A20" s="4">
        <v>2015</v>
      </c>
      <c r="B20" s="6">
        <v>500000</v>
      </c>
      <c r="C20" s="6">
        <f t="shared" si="0"/>
        <v>27500000</v>
      </c>
      <c r="D20" s="6">
        <f t="shared" si="1"/>
        <v>330000000</v>
      </c>
      <c r="E20" s="7"/>
      <c r="J20" s="4">
        <v>2015</v>
      </c>
      <c r="K20" s="4">
        <v>55</v>
      </c>
      <c r="S20" s="4">
        <v>10</v>
      </c>
      <c r="T20" s="4">
        <v>25</v>
      </c>
      <c r="Y20" s="4">
        <v>60</v>
      </c>
      <c r="Z20" s="4">
        <v>0</v>
      </c>
      <c r="AF20" s="3">
        <v>0</v>
      </c>
      <c r="AG20" s="4">
        <v>9</v>
      </c>
      <c r="AR20" s="3">
        <v>0.19</v>
      </c>
      <c r="AS20" s="4" t="s">
        <v>20</v>
      </c>
    </row>
    <row r="21" spans="1:45" x14ac:dyDescent="0.25">
      <c r="A21" s="4">
        <v>2016</v>
      </c>
      <c r="B21" s="6">
        <v>1500000</v>
      </c>
      <c r="C21" s="6">
        <f t="shared" si="0"/>
        <v>88500000</v>
      </c>
      <c r="D21" s="6">
        <f t="shared" si="1"/>
        <v>1062000000</v>
      </c>
      <c r="E21" s="7"/>
      <c r="J21" s="4">
        <v>2016</v>
      </c>
      <c r="K21" s="4">
        <v>59</v>
      </c>
      <c r="S21" s="4">
        <v>15</v>
      </c>
      <c r="T21" s="4">
        <v>10</v>
      </c>
      <c r="Y21" s="4">
        <v>75</v>
      </c>
      <c r="Z21" s="4">
        <v>-10</v>
      </c>
    </row>
    <row r="22" spans="1:45" x14ac:dyDescent="0.25">
      <c r="A22" s="4">
        <v>2017</v>
      </c>
      <c r="B22" s="6">
        <v>2000000</v>
      </c>
      <c r="C22" s="6">
        <f t="shared" si="0"/>
        <v>114000000</v>
      </c>
      <c r="D22" s="6">
        <f t="shared" si="1"/>
        <v>1368000000</v>
      </c>
      <c r="E22" s="7"/>
      <c r="J22" s="4">
        <v>2017</v>
      </c>
      <c r="K22" s="4">
        <v>57</v>
      </c>
      <c r="S22" s="4">
        <v>20</v>
      </c>
      <c r="T22" s="4">
        <v>0</v>
      </c>
      <c r="Y22" s="4">
        <v>90</v>
      </c>
      <c r="Z22" s="4">
        <v>-10</v>
      </c>
      <c r="AF22" s="8">
        <v>0.95</v>
      </c>
      <c r="AG22" s="1" t="s">
        <v>21</v>
      </c>
    </row>
    <row r="23" spans="1:45" x14ac:dyDescent="0.25">
      <c r="A23" s="4">
        <v>2018</v>
      </c>
      <c r="B23" s="6">
        <v>2500000</v>
      </c>
      <c r="C23" s="6">
        <f t="shared" si="0"/>
        <v>155000000</v>
      </c>
      <c r="D23" s="6">
        <f t="shared" si="1"/>
        <v>1860000000</v>
      </c>
      <c r="E23" s="7"/>
      <c r="J23" s="4">
        <v>2018</v>
      </c>
      <c r="K23" s="4">
        <v>62</v>
      </c>
      <c r="S23" s="4">
        <v>30</v>
      </c>
      <c r="T23" s="4">
        <v>-10</v>
      </c>
    </row>
    <row r="24" spans="1:45" x14ac:dyDescent="0.25">
      <c r="A24" s="4">
        <v>2019</v>
      </c>
      <c r="B24" s="6">
        <v>3000000</v>
      </c>
      <c r="C24" s="6">
        <f t="shared" si="0"/>
        <v>189000000</v>
      </c>
      <c r="D24" s="6">
        <f t="shared" si="1"/>
        <v>2268000000</v>
      </c>
      <c r="E24" s="7"/>
      <c r="J24" s="4">
        <v>2019</v>
      </c>
      <c r="K24" s="4">
        <v>63</v>
      </c>
    </row>
    <row r="25" spans="1:45" x14ac:dyDescent="0.25">
      <c r="A25" s="4">
        <v>2020</v>
      </c>
      <c r="B25" s="6">
        <v>5500000</v>
      </c>
      <c r="C25" s="6">
        <f t="shared" si="0"/>
        <v>352000000</v>
      </c>
      <c r="D25" s="6">
        <f t="shared" si="1"/>
        <v>4224000000</v>
      </c>
      <c r="E25" s="7"/>
      <c r="J25" s="4">
        <v>2020</v>
      </c>
      <c r="K25" s="4">
        <v>64</v>
      </c>
    </row>
    <row r="26" spans="1:45" x14ac:dyDescent="0.25">
      <c r="A26" s="4">
        <v>2021</v>
      </c>
      <c r="B26" s="6">
        <v>6500000</v>
      </c>
      <c r="C26" s="6">
        <f t="shared" si="0"/>
        <v>442000000</v>
      </c>
      <c r="D26" s="6">
        <f t="shared" si="1"/>
        <v>5304000000</v>
      </c>
      <c r="E26" s="7"/>
      <c r="J26" s="4">
        <v>2021</v>
      </c>
      <c r="K26" s="4">
        <v>68</v>
      </c>
    </row>
    <row r="27" spans="1:45" x14ac:dyDescent="0.25">
      <c r="A27" s="4">
        <v>2022</v>
      </c>
      <c r="B27" s="6">
        <v>7500000</v>
      </c>
      <c r="C27" s="6">
        <f t="shared" si="0"/>
        <v>517500000</v>
      </c>
      <c r="D27" s="6">
        <f t="shared" si="1"/>
        <v>6210000000</v>
      </c>
      <c r="E27" s="7"/>
      <c r="J27" s="4">
        <v>2022</v>
      </c>
      <c r="K27" s="4">
        <v>69</v>
      </c>
    </row>
    <row r="28" spans="1:45" x14ac:dyDescent="0.25">
      <c r="A28" s="4">
        <v>2023</v>
      </c>
      <c r="B28" s="6">
        <f>FORECAST(A28,B18:B27,A18:A27)</f>
        <v>7608333.3333334923</v>
      </c>
      <c r="C28" s="6">
        <f t="shared" si="0"/>
        <v>550843333.33334208</v>
      </c>
      <c r="D28" s="6">
        <f t="shared" si="1"/>
        <v>6610120000.0001049</v>
      </c>
      <c r="E28" s="7"/>
      <c r="J28" s="4">
        <v>2023</v>
      </c>
      <c r="K28" s="9">
        <f>FORECAST($J28,$K$18:$K27,$J$18:J27)</f>
        <v>72.399999999999636</v>
      </c>
    </row>
    <row r="29" spans="1:45" x14ac:dyDescent="0.25">
      <c r="A29" s="4">
        <v>2024</v>
      </c>
      <c r="B29" s="6">
        <f>FORECAST($A29,$B$18:B28,$A$18:A28)</f>
        <v>8457575.7575759888</v>
      </c>
      <c r="C29" s="6">
        <f t="shared" si="0"/>
        <v>632319118.45731938</v>
      </c>
      <c r="D29" s="6">
        <f t="shared" si="1"/>
        <v>7587829421.487833</v>
      </c>
      <c r="E29" s="7"/>
      <c r="J29" s="4">
        <v>2024</v>
      </c>
      <c r="K29" s="9">
        <f>FORECAST($J29,$K$18:$K28,$J$18:J28)</f>
        <v>74.763636363636579</v>
      </c>
    </row>
    <row r="30" spans="1:45" x14ac:dyDescent="0.25">
      <c r="A30" s="4">
        <v>2025</v>
      </c>
      <c r="B30" s="6">
        <f>FORECAST($A30,$B$18:B29,$A$18:A29)</f>
        <v>9306818.1818184853</v>
      </c>
      <c r="C30" s="6">
        <f t="shared" si="0"/>
        <v>717809504.13226223</v>
      </c>
      <c r="D30" s="6">
        <f t="shared" si="1"/>
        <v>8613714049.5871468</v>
      </c>
      <c r="E30" s="7"/>
      <c r="J30" s="4">
        <v>2025</v>
      </c>
      <c r="K30" s="9">
        <f>FORECAST($J30,$K$18:$K29,$J$18:J29)</f>
        <v>77.127272727273521</v>
      </c>
    </row>
    <row r="31" spans="1:45" x14ac:dyDescent="0.25">
      <c r="A31" s="4">
        <v>2026</v>
      </c>
      <c r="B31" s="6">
        <f>FORECAST($A31,$B$18:B30,$A$18:A30)</f>
        <v>10156060.606060982</v>
      </c>
      <c r="C31" s="6">
        <f t="shared" si="0"/>
        <v>807314490.35815203</v>
      </c>
      <c r="D31" s="6">
        <f t="shared" si="1"/>
        <v>9687773884.2978249</v>
      </c>
      <c r="E31" s="7"/>
      <c r="J31" s="4">
        <v>2026</v>
      </c>
      <c r="K31" s="9">
        <f>FORECAST($J31,$K$18:$K30,$J$18:J30)</f>
        <v>79.490909090908644</v>
      </c>
    </row>
    <row r="32" spans="1:45" x14ac:dyDescent="0.25">
      <c r="A32" s="4">
        <v>2027</v>
      </c>
      <c r="B32" s="6">
        <f>FORECAST($A32,$B$18:B31,$A$18:A31)</f>
        <v>11005303.03030324</v>
      </c>
      <c r="C32" s="6">
        <f t="shared" si="0"/>
        <v>900834077.13500488</v>
      </c>
      <c r="D32" s="6">
        <f t="shared" si="1"/>
        <v>10810008925.620058</v>
      </c>
      <c r="E32" s="7"/>
      <c r="J32" s="4">
        <v>2027</v>
      </c>
      <c r="K32" s="9">
        <f>FORECAST($J32,$K$18:$K31,$J$18:J31)</f>
        <v>81.854545454545587</v>
      </c>
    </row>
    <row r="33" spans="1:11" x14ac:dyDescent="0.25">
      <c r="A33" s="4">
        <v>2028</v>
      </c>
      <c r="B33" s="6">
        <f>FORECAST($A33,$B$18:B32,$A$18:A32)</f>
        <v>11854545.454545736</v>
      </c>
      <c r="C33" s="6">
        <f t="shared" si="0"/>
        <v>998368264.46283126</v>
      </c>
      <c r="D33" s="6">
        <f t="shared" si="1"/>
        <v>11980419173.553974</v>
      </c>
      <c r="E33" s="7"/>
      <c r="J33" s="4">
        <v>2028</v>
      </c>
      <c r="K33" s="9">
        <f>FORECAST($J33,$K$18:$K32,$J$18:J32)</f>
        <v>84.21818181818162</v>
      </c>
    </row>
    <row r="34" spans="1:11" x14ac:dyDescent="0.25">
      <c r="A34" s="4">
        <v>2029</v>
      </c>
      <c r="B34" s="6">
        <f>FORECAST($A34,$B$18:B33,$A$18:A33)</f>
        <v>12703787.878787994</v>
      </c>
      <c r="C34" s="6">
        <f t="shared" si="0"/>
        <v>1099917052.3416011</v>
      </c>
      <c r="D34" s="6">
        <f t="shared" si="1"/>
        <v>13199004628.099213</v>
      </c>
      <c r="E34" s="7"/>
      <c r="J34" s="4">
        <v>2029</v>
      </c>
      <c r="K34" s="9">
        <f>FORECAST($J34,$K$18:$K33,$J$18:J33)</f>
        <v>86.581818181817653</v>
      </c>
    </row>
    <row r="35" spans="1:11" x14ac:dyDescent="0.25">
      <c r="A35" s="4">
        <v>2030</v>
      </c>
      <c r="B35" s="6">
        <f>FORECAST($A35,$B$18:B34,$A$18:A34)</f>
        <v>13553030.303030491</v>
      </c>
      <c r="C35" s="6">
        <f t="shared" si="0"/>
        <v>1205480440.7713795</v>
      </c>
      <c r="D35" s="6">
        <f t="shared" si="1"/>
        <v>14465765289.256554</v>
      </c>
      <c r="E35" s="7"/>
      <c r="J35" s="4">
        <v>2030</v>
      </c>
      <c r="K35" s="9">
        <f>FORECAST($J35,$K$18:$K34,$J$18:J34)</f>
        <v>88.945454545455505</v>
      </c>
    </row>
    <row r="36" spans="1:11" x14ac:dyDescent="0.25">
      <c r="A36" s="4">
        <v>2031</v>
      </c>
      <c r="B36" s="6">
        <f>FORECAST($A36,$B$18:B35,$A$18:A35)</f>
        <v>14402272.727272987</v>
      </c>
      <c r="C36" s="6">
        <f t="shared" si="0"/>
        <v>1315058429.7520988</v>
      </c>
      <c r="D36" s="6">
        <f t="shared" si="1"/>
        <v>15780701157.025185</v>
      </c>
      <c r="E36" s="7"/>
      <c r="J36" s="4">
        <v>2031</v>
      </c>
      <c r="K36" s="9">
        <f>FORECAST($J36,$K$18:$K35,$J$18:J35)</f>
        <v>91.309090909091537</v>
      </c>
    </row>
    <row r="37" spans="1:11" x14ac:dyDescent="0.25">
      <c r="A37" s="4">
        <v>2032</v>
      </c>
      <c r="B37" s="6">
        <f>FORECAST($A37,$B$18:B36,$A$18:A36)</f>
        <v>15251515.151515484</v>
      </c>
      <c r="C37" s="6">
        <f t="shared" si="0"/>
        <v>1428651019.2837822</v>
      </c>
      <c r="D37" s="6">
        <f t="shared" si="1"/>
        <v>17143812231.405388</v>
      </c>
      <c r="E37" s="7"/>
      <c r="J37" s="4">
        <v>2032</v>
      </c>
      <c r="K37" s="9">
        <f>FORECAST($J37,$K$18:$K36,$J$18:J36)</f>
        <v>93.67272727272757</v>
      </c>
    </row>
    <row r="38" spans="1:11" x14ac:dyDescent="0.25">
      <c r="A38" s="4">
        <v>2033</v>
      </c>
      <c r="B38" s="6">
        <f>FORECAST($A38,$B$18:B37,$A$18:A37)</f>
        <v>16100757.575757742</v>
      </c>
      <c r="C38" s="6">
        <f t="shared" si="0"/>
        <v>1546258209.3664067</v>
      </c>
      <c r="D38" s="6">
        <f t="shared" si="1"/>
        <v>18555098512.396881</v>
      </c>
      <c r="E38" s="7"/>
      <c r="J38" s="4">
        <v>2033</v>
      </c>
      <c r="K38" s="9">
        <f>FORECAST($J38,$K$18:$K37,$J$18:J37)</f>
        <v>96.036363636363603</v>
      </c>
    </row>
    <row r="39" spans="1:11" x14ac:dyDescent="0.25">
      <c r="A39" s="4">
        <v>2034</v>
      </c>
      <c r="B39" s="6">
        <f>FORECAST($A39,$B$18:B38,$A$18:A38)</f>
        <v>16950000.000000238</v>
      </c>
      <c r="C39" s="6">
        <f t="shared" si="0"/>
        <v>1667880000.0000174</v>
      </c>
      <c r="D39" s="6">
        <f t="shared" si="1"/>
        <v>20014560000.00021</v>
      </c>
      <c r="E39" s="7"/>
      <c r="J39" s="4">
        <v>2034</v>
      </c>
      <c r="K39" s="9">
        <f>FORECAST($J39,$K$18:$K38,$J$18:J38)</f>
        <v>98.399999999999636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69"/>
  <sheetViews>
    <sheetView showGridLines="0" topLeftCell="A16" zoomScale="90" zoomScaleNormal="90" workbookViewId="0">
      <selection activeCell="K40" sqref="K40"/>
    </sheetView>
  </sheetViews>
  <sheetFormatPr defaultRowHeight="15" x14ac:dyDescent="0.25"/>
  <cols>
    <col min="2" max="2" width="22.28515625" customWidth="1"/>
    <col min="3" max="3" width="17.85546875" customWidth="1"/>
    <col min="4" max="4" width="21.85546875" customWidth="1"/>
    <col min="5" max="5" width="18.28515625" customWidth="1"/>
    <col min="6" max="6" width="19" customWidth="1"/>
    <col min="7" max="7" width="18.7109375" customWidth="1"/>
    <col min="8" max="8" width="22.85546875" customWidth="1"/>
    <col min="9" max="9" width="23.42578125" bestFit="1" customWidth="1"/>
    <col min="10" max="10" width="15.85546875" customWidth="1"/>
    <col min="11" max="11" width="23.42578125" bestFit="1" customWidth="1"/>
    <col min="12" max="12" width="20" customWidth="1"/>
    <col min="13" max="13" width="13.42578125" bestFit="1" customWidth="1"/>
    <col min="14" max="14" width="18.85546875" bestFit="1" customWidth="1"/>
    <col min="15" max="15" width="13.42578125" bestFit="1" customWidth="1"/>
  </cols>
  <sheetData>
    <row r="2" spans="1:10" ht="18.75" x14ac:dyDescent="0.3">
      <c r="A2" s="30" t="s">
        <v>78</v>
      </c>
      <c r="B2" s="31"/>
      <c r="C2" s="31"/>
    </row>
    <row r="3" spans="1:10" ht="45" x14ac:dyDescent="0.25">
      <c r="A3" s="12" t="s">
        <v>11</v>
      </c>
      <c r="B3" s="12" t="s">
        <v>79</v>
      </c>
      <c r="C3" s="12" t="s">
        <v>57</v>
      </c>
      <c r="D3" s="12" t="s">
        <v>60</v>
      </c>
      <c r="E3" s="12" t="s">
        <v>63</v>
      </c>
      <c r="F3" s="12" t="s">
        <v>66</v>
      </c>
      <c r="G3" s="12" t="s">
        <v>68</v>
      </c>
      <c r="H3" s="12" t="s">
        <v>71</v>
      </c>
      <c r="I3" s="12" t="s">
        <v>74</v>
      </c>
      <c r="J3" s="12" t="s">
        <v>76</v>
      </c>
    </row>
    <row r="4" spans="1:10" x14ac:dyDescent="0.25">
      <c r="A4" s="4">
        <v>2024</v>
      </c>
      <c r="B4" s="6">
        <v>8457575.7575759888</v>
      </c>
      <c r="C4" s="3">
        <v>0.16</v>
      </c>
      <c r="D4" s="6">
        <f>(RIGHT(C4,2)/100)*B4</f>
        <v>1353212.1212121581</v>
      </c>
      <c r="E4" s="6">
        <f>D4/30</f>
        <v>45107.070707071936</v>
      </c>
      <c r="F4" s="3">
        <v>0.7</v>
      </c>
      <c r="G4" s="32">
        <f>F4*E4</f>
        <v>31574.949494950353</v>
      </c>
      <c r="H4" s="9">
        <f t="shared" ref="H4:H14" si="0">G4/M34</f>
        <v>125.79661153366675</v>
      </c>
      <c r="I4" s="9">
        <f>(0.2*H4)</f>
        <v>25.159322306733351</v>
      </c>
      <c r="J4" s="32">
        <f t="shared" ref="J4:J14" si="1">D4/D19</f>
        <v>3007.138047138129</v>
      </c>
    </row>
    <row r="5" spans="1:10" x14ac:dyDescent="0.25">
      <c r="A5" s="4">
        <v>2025</v>
      </c>
      <c r="B5" s="32">
        <f>(0.1*B4)+B4</f>
        <v>9303333.3333335873</v>
      </c>
      <c r="C5" s="3">
        <v>0.17</v>
      </c>
      <c r="D5" s="6">
        <f t="shared" ref="D5:D14" si="2">(RIGHT(C5,2)/100)*B5</f>
        <v>1581566.6666667101</v>
      </c>
      <c r="E5" s="6">
        <f t="shared" ref="E5:E14" si="3">D5/30</f>
        <v>52718.888888890338</v>
      </c>
      <c r="F5" s="3">
        <v>0.7</v>
      </c>
      <c r="G5" s="32">
        <f t="shared" ref="G5:G14" si="4">F5*E5</f>
        <v>36903.222222223238</v>
      </c>
      <c r="H5" s="9">
        <f t="shared" si="0"/>
        <v>147.02478972997307</v>
      </c>
      <c r="I5" s="9">
        <f t="shared" ref="I5:I14" si="5">(0.2*H5)</f>
        <v>29.404957945994614</v>
      </c>
      <c r="J5" s="32">
        <f t="shared" si="1"/>
        <v>3347.2310405644657</v>
      </c>
    </row>
    <row r="6" spans="1:10" x14ac:dyDescent="0.25">
      <c r="A6" s="4">
        <v>2026</v>
      </c>
      <c r="B6" s="32">
        <f t="shared" ref="B6:B14" si="6">(0.1*B5)+B5</f>
        <v>10233666.666666945</v>
      </c>
      <c r="C6" s="3">
        <v>0.18</v>
      </c>
      <c r="D6" s="6">
        <f t="shared" si="2"/>
        <v>1842060.0000000501</v>
      </c>
      <c r="E6" s="6">
        <f t="shared" si="3"/>
        <v>61402.000000001666</v>
      </c>
      <c r="F6" s="3">
        <v>0.7</v>
      </c>
      <c r="G6" s="32">
        <f t="shared" si="4"/>
        <v>42981.400000001166</v>
      </c>
      <c r="H6" s="9">
        <f t="shared" si="0"/>
        <v>171.24063745020385</v>
      </c>
      <c r="I6" s="9">
        <f t="shared" si="5"/>
        <v>34.248127490040773</v>
      </c>
      <c r="J6" s="32">
        <f t="shared" si="1"/>
        <v>3712.8949357521797</v>
      </c>
    </row>
    <row r="7" spans="1:10" x14ac:dyDescent="0.25">
      <c r="A7" s="4">
        <v>2027</v>
      </c>
      <c r="B7" s="32">
        <f t="shared" si="6"/>
        <v>11257033.333333639</v>
      </c>
      <c r="C7" s="3">
        <v>0.19</v>
      </c>
      <c r="D7" s="6">
        <f t="shared" si="2"/>
        <v>2138836.3333333917</v>
      </c>
      <c r="E7" s="6">
        <f t="shared" si="3"/>
        <v>71294.544444446394</v>
      </c>
      <c r="F7" s="3">
        <v>0.72</v>
      </c>
      <c r="G7" s="32">
        <f t="shared" si="4"/>
        <v>51332.072000001404</v>
      </c>
      <c r="H7" s="9">
        <f t="shared" si="0"/>
        <v>204.51024701195777</v>
      </c>
      <c r="I7" s="9">
        <f t="shared" si="5"/>
        <v>40.902049402391555</v>
      </c>
      <c r="J7" s="32">
        <f t="shared" si="1"/>
        <v>4105.7938707524108</v>
      </c>
    </row>
    <row r="8" spans="1:10" x14ac:dyDescent="0.25">
      <c r="A8" s="4">
        <v>2028</v>
      </c>
      <c r="B8" s="32">
        <f t="shared" si="6"/>
        <v>12382736.666667003</v>
      </c>
      <c r="C8" s="3">
        <v>0.2</v>
      </c>
      <c r="D8" s="6">
        <f>(20/100)*B8</f>
        <v>2476547.3333334005</v>
      </c>
      <c r="E8" s="6">
        <f t="shared" si="3"/>
        <v>82551.577777780025</v>
      </c>
      <c r="F8" s="3">
        <v>0.72</v>
      </c>
      <c r="G8" s="32">
        <f t="shared" si="4"/>
        <v>59437.136000001614</v>
      </c>
      <c r="H8" s="9">
        <f t="shared" si="0"/>
        <v>236.80133864542475</v>
      </c>
      <c r="I8" s="9">
        <f t="shared" si="5"/>
        <v>47.360267729084953</v>
      </c>
      <c r="J8" s="32">
        <f t="shared" si="1"/>
        <v>4527.6924890502769</v>
      </c>
    </row>
    <row r="9" spans="1:10" x14ac:dyDescent="0.25">
      <c r="A9" s="4">
        <v>2029</v>
      </c>
      <c r="B9" s="32">
        <f t="shared" si="6"/>
        <v>13621010.333333703</v>
      </c>
      <c r="C9" s="3">
        <v>0.21</v>
      </c>
      <c r="D9" s="6">
        <f t="shared" si="2"/>
        <v>2860412.1700000777</v>
      </c>
      <c r="E9" s="6">
        <f t="shared" si="3"/>
        <v>95347.07233333592</v>
      </c>
      <c r="F9" s="3">
        <v>0.72</v>
      </c>
      <c r="G9" s="32">
        <f t="shared" si="4"/>
        <v>68649.892080001853</v>
      </c>
      <c r="H9" s="9">
        <f t="shared" si="0"/>
        <v>273.50554613546552</v>
      </c>
      <c r="I9" s="9">
        <f t="shared" si="5"/>
        <v>54.701109227093106</v>
      </c>
      <c r="J9" s="32">
        <f t="shared" si="1"/>
        <v>4980.4617379553047</v>
      </c>
    </row>
    <row r="10" spans="1:10" x14ac:dyDescent="0.25">
      <c r="A10" s="4">
        <v>2030</v>
      </c>
      <c r="B10" s="32">
        <f t="shared" si="6"/>
        <v>14983111.366667073</v>
      </c>
      <c r="C10" s="3">
        <v>0.22</v>
      </c>
      <c r="D10" s="6">
        <f t="shared" si="2"/>
        <v>3296284.5006667562</v>
      </c>
      <c r="E10" s="6">
        <f t="shared" si="3"/>
        <v>109876.15002222521</v>
      </c>
      <c r="F10" s="3">
        <v>0.74</v>
      </c>
      <c r="G10" s="32">
        <f t="shared" si="4"/>
        <v>81308.351016446657</v>
      </c>
      <c r="H10" s="9">
        <f t="shared" si="0"/>
        <v>323.93765345197869</v>
      </c>
      <c r="I10" s="9">
        <f t="shared" si="5"/>
        <v>64.787530690395741</v>
      </c>
      <c r="J10" s="32">
        <f t="shared" si="1"/>
        <v>5466.0849913160255</v>
      </c>
    </row>
    <row r="11" spans="1:10" x14ac:dyDescent="0.25">
      <c r="A11" s="4">
        <v>2031</v>
      </c>
      <c r="B11" s="32">
        <f t="shared" si="6"/>
        <v>16481422.503333781</v>
      </c>
      <c r="C11" s="3">
        <v>0.23</v>
      </c>
      <c r="D11" s="6">
        <f t="shared" si="2"/>
        <v>3790727.1757667698</v>
      </c>
      <c r="E11" s="6">
        <f t="shared" si="3"/>
        <v>126357.57252555899</v>
      </c>
      <c r="F11" s="3">
        <v>0.74</v>
      </c>
      <c r="G11" s="32">
        <f t="shared" si="4"/>
        <v>93504.603668913653</v>
      </c>
      <c r="H11" s="9">
        <f t="shared" si="0"/>
        <v>372.5283014697755</v>
      </c>
      <c r="I11" s="9">
        <f t="shared" si="5"/>
        <v>74.505660293955103</v>
      </c>
      <c r="J11" s="32">
        <f t="shared" si="1"/>
        <v>5986.6645142985044</v>
      </c>
    </row>
    <row r="12" spans="1:10" x14ac:dyDescent="0.25">
      <c r="A12" s="4">
        <v>2032</v>
      </c>
      <c r="B12" s="32">
        <f t="shared" si="6"/>
        <v>18129564.753667161</v>
      </c>
      <c r="C12" s="3">
        <v>0.24</v>
      </c>
      <c r="D12" s="6">
        <f t="shared" si="2"/>
        <v>4351095.5408801185</v>
      </c>
      <c r="E12" s="6">
        <f t="shared" si="3"/>
        <v>145036.51802933728</v>
      </c>
      <c r="F12" s="3">
        <v>0.74</v>
      </c>
      <c r="G12" s="32">
        <f t="shared" si="4"/>
        <v>107327.02334170959</v>
      </c>
      <c r="H12" s="9">
        <f t="shared" si="0"/>
        <v>427.59770255661192</v>
      </c>
      <c r="I12" s="9">
        <f t="shared" si="5"/>
        <v>85.51954051132239</v>
      </c>
      <c r="J12" s="32">
        <f t="shared" si="1"/>
        <v>6544.4282889225888</v>
      </c>
    </row>
    <row r="13" spans="1:10" x14ac:dyDescent="0.25">
      <c r="A13" s="4">
        <v>2033</v>
      </c>
      <c r="B13" s="32">
        <f t="shared" si="6"/>
        <v>19942521.229033876</v>
      </c>
      <c r="C13" s="3">
        <v>0.25</v>
      </c>
      <c r="D13" s="6">
        <f t="shared" si="2"/>
        <v>4985630.3072584691</v>
      </c>
      <c r="E13" s="6">
        <f t="shared" si="3"/>
        <v>166187.67690861563</v>
      </c>
      <c r="F13" s="3">
        <v>0.75</v>
      </c>
      <c r="G13" s="32">
        <f t="shared" si="4"/>
        <v>124640.75768146172</v>
      </c>
      <c r="H13" s="9">
        <f t="shared" si="0"/>
        <v>496.57672383052477</v>
      </c>
      <c r="I13" s="9">
        <f t="shared" si="5"/>
        <v>99.315344766104957</v>
      </c>
      <c r="J13" s="32">
        <f t="shared" si="1"/>
        <v>7141.7372200544123</v>
      </c>
    </row>
    <row r="14" spans="1:10" x14ac:dyDescent="0.25">
      <c r="A14" s="4">
        <v>2034</v>
      </c>
      <c r="B14" s="32">
        <f t="shared" si="6"/>
        <v>21936773.351937264</v>
      </c>
      <c r="C14" s="3">
        <v>0.26</v>
      </c>
      <c r="D14" s="6">
        <f t="shared" si="2"/>
        <v>5703561.0715036886</v>
      </c>
      <c r="E14" s="6">
        <f t="shared" si="3"/>
        <v>190118.70238345629</v>
      </c>
      <c r="F14" s="3">
        <v>0.75</v>
      </c>
      <c r="G14" s="32">
        <f t="shared" si="4"/>
        <v>142589.02678759221</v>
      </c>
      <c r="H14" s="9">
        <f t="shared" si="0"/>
        <v>568.08377206212037</v>
      </c>
      <c r="I14" s="9">
        <f t="shared" si="5"/>
        <v>113.61675441242409</v>
      </c>
      <c r="J14" s="32">
        <f t="shared" si="1"/>
        <v>7781.0927426116641</v>
      </c>
    </row>
    <row r="17" spans="1:14" ht="18.75" x14ac:dyDescent="0.3">
      <c r="A17" s="30" t="s">
        <v>22</v>
      </c>
      <c r="B17" s="31"/>
      <c r="C17" s="31"/>
    </row>
    <row r="18" spans="1:14" ht="50.25" customHeight="1" x14ac:dyDescent="0.25">
      <c r="A18" s="12" t="s">
        <v>11</v>
      </c>
      <c r="B18" s="12" t="s">
        <v>80</v>
      </c>
      <c r="C18" s="12" t="s">
        <v>81</v>
      </c>
      <c r="D18" s="12" t="s">
        <v>32</v>
      </c>
      <c r="E18" s="12" t="s">
        <v>33</v>
      </c>
      <c r="F18" s="12" t="s">
        <v>34</v>
      </c>
      <c r="G18" s="12" t="s">
        <v>35</v>
      </c>
      <c r="I18" s="5" t="s">
        <v>47</v>
      </c>
      <c r="J18" s="18"/>
      <c r="L18" s="5" t="s">
        <v>46</v>
      </c>
      <c r="M18" s="18"/>
    </row>
    <row r="19" spans="1:14" ht="15.75" x14ac:dyDescent="0.25">
      <c r="A19" s="4">
        <v>2024</v>
      </c>
      <c r="B19" s="4">
        <v>55</v>
      </c>
      <c r="C19" s="4">
        <v>4000</v>
      </c>
      <c r="D19" s="4">
        <v>450</v>
      </c>
      <c r="E19" s="4">
        <f>C19+(B19*D19)</f>
        <v>28750</v>
      </c>
      <c r="F19" s="4">
        <f>E19*12</f>
        <v>345000</v>
      </c>
      <c r="G19" s="32">
        <f t="shared" ref="G19:G29" si="7">F19*J4</f>
        <v>1037462626.2626545</v>
      </c>
      <c r="I19" s="4" t="s">
        <v>52</v>
      </c>
      <c r="J19" s="6">
        <v>600000</v>
      </c>
      <c r="L19" s="19" t="s">
        <v>48</v>
      </c>
      <c r="M19" s="20">
        <v>11069000</v>
      </c>
    </row>
    <row r="20" spans="1:14" x14ac:dyDescent="0.25">
      <c r="A20" s="4">
        <v>2025</v>
      </c>
      <c r="B20" s="9">
        <f>((5/100)*B19)+B19</f>
        <v>57.75</v>
      </c>
      <c r="C20" s="9">
        <f>C19+((5/100)*C19)</f>
        <v>4200</v>
      </c>
      <c r="D20" s="9">
        <f>(0.05*D19)+D19</f>
        <v>472.5</v>
      </c>
      <c r="E20" s="9">
        <f t="shared" ref="E20:E29" si="8">C20+(B20*D20)</f>
        <v>31486.875</v>
      </c>
      <c r="F20" s="4">
        <f t="shared" ref="F20:F29" si="9">E20*12</f>
        <v>377842.5</v>
      </c>
      <c r="G20" s="32">
        <f t="shared" si="7"/>
        <v>1264726144.4444792</v>
      </c>
      <c r="I20" s="4" t="s">
        <v>54</v>
      </c>
      <c r="J20" s="6">
        <f>J19*10</f>
        <v>6000000</v>
      </c>
      <c r="L20" s="4" t="s">
        <v>50</v>
      </c>
      <c r="M20" s="4">
        <v>1005</v>
      </c>
    </row>
    <row r="21" spans="1:14" x14ac:dyDescent="0.25">
      <c r="A21" s="4">
        <v>2026</v>
      </c>
      <c r="B21" s="9">
        <f t="shared" ref="B21:B29" si="10">((5/100)*B20)+B20</f>
        <v>60.637500000000003</v>
      </c>
      <c r="C21" s="9">
        <f t="shared" ref="C21:C29" si="11">C20+((5/100)*C20)</f>
        <v>4410</v>
      </c>
      <c r="D21" s="9">
        <f t="shared" ref="D21:D29" si="12">(0.05*D20)+D20</f>
        <v>496.125</v>
      </c>
      <c r="E21" s="9">
        <f t="shared" si="8"/>
        <v>34493.779687500006</v>
      </c>
      <c r="F21" s="9">
        <f t="shared" si="9"/>
        <v>413925.35625000007</v>
      </c>
      <c r="G21" s="32">
        <f t="shared" si="7"/>
        <v>1536861359.0000422</v>
      </c>
      <c r="I21" s="14" t="s">
        <v>55</v>
      </c>
      <c r="J21" s="16">
        <f>J20*M34</f>
        <v>1506000000</v>
      </c>
      <c r="L21" s="14" t="s">
        <v>82</v>
      </c>
      <c r="M21" s="33">
        <f>M20/4</f>
        <v>251.25</v>
      </c>
    </row>
    <row r="22" spans="1:14" x14ac:dyDescent="0.25">
      <c r="A22" s="4">
        <v>2027</v>
      </c>
      <c r="B22" s="9">
        <f t="shared" si="10"/>
        <v>63.669375000000002</v>
      </c>
      <c r="C22" s="9">
        <f t="shared" si="11"/>
        <v>4630.5</v>
      </c>
      <c r="D22" s="9">
        <f t="shared" si="12"/>
        <v>520.93124999999998</v>
      </c>
      <c r="E22" s="9">
        <f t="shared" si="8"/>
        <v>37797.867105468751</v>
      </c>
      <c r="F22" s="9">
        <f t="shared" si="9"/>
        <v>453574.40526562498</v>
      </c>
      <c r="G22" s="32">
        <f t="shared" si="7"/>
        <v>1862283013.0697732</v>
      </c>
    </row>
    <row r="23" spans="1:14" x14ac:dyDescent="0.25">
      <c r="A23" s="4">
        <v>2028</v>
      </c>
      <c r="B23" s="9">
        <f t="shared" si="10"/>
        <v>66.852843750000005</v>
      </c>
      <c r="C23" s="9">
        <f t="shared" si="11"/>
        <v>4862.0249999999996</v>
      </c>
      <c r="D23" s="9">
        <f t="shared" si="12"/>
        <v>546.97781250000003</v>
      </c>
      <c r="E23" s="9">
        <f t="shared" si="8"/>
        <v>41429.047233779303</v>
      </c>
      <c r="F23" s="9">
        <f t="shared" si="9"/>
        <v>497148.56680535164</v>
      </c>
      <c r="G23" s="32">
        <f t="shared" si="7"/>
        <v>2250935831.8667006</v>
      </c>
    </row>
    <row r="24" spans="1:14" x14ac:dyDescent="0.25">
      <c r="A24" s="4">
        <v>2029</v>
      </c>
      <c r="B24" s="9">
        <f t="shared" si="10"/>
        <v>70.19548593750001</v>
      </c>
      <c r="C24" s="9">
        <f t="shared" si="11"/>
        <v>5105.1262499999993</v>
      </c>
      <c r="D24" s="9">
        <f t="shared" si="12"/>
        <v>574.32670312499999</v>
      </c>
      <c r="E24" s="9">
        <f t="shared" si="8"/>
        <v>45420.26826274168</v>
      </c>
      <c r="F24" s="9">
        <f t="shared" si="9"/>
        <v>545043.21915290016</v>
      </c>
      <c r="G24" s="32">
        <f t="shared" si="7"/>
        <v>2714566898.5230069</v>
      </c>
    </row>
    <row r="25" spans="1:14" x14ac:dyDescent="0.25">
      <c r="A25" s="4">
        <v>2030</v>
      </c>
      <c r="B25" s="9">
        <f t="shared" si="10"/>
        <v>73.705260234375004</v>
      </c>
      <c r="C25" s="9">
        <f t="shared" si="11"/>
        <v>5360.382562499999</v>
      </c>
      <c r="D25" s="9">
        <f t="shared" si="12"/>
        <v>603.04303828125001</v>
      </c>
      <c r="E25" s="9">
        <f t="shared" si="8"/>
        <v>49807.826631547694</v>
      </c>
      <c r="F25" s="9">
        <f t="shared" si="9"/>
        <v>597693.91957857227</v>
      </c>
      <c r="G25" s="32">
        <f t="shared" si="7"/>
        <v>3267045763.2092814</v>
      </c>
    </row>
    <row r="26" spans="1:14" x14ac:dyDescent="0.25">
      <c r="A26" s="4">
        <v>2031</v>
      </c>
      <c r="B26" s="9">
        <f t="shared" si="10"/>
        <v>77.39052324609375</v>
      </c>
      <c r="C26" s="9">
        <f t="shared" si="11"/>
        <v>5628.401690624999</v>
      </c>
      <c r="D26" s="9">
        <f t="shared" si="12"/>
        <v>633.19519019531253</v>
      </c>
      <c r="E26" s="9">
        <f t="shared" si="8"/>
        <v>54631.708776750085</v>
      </c>
      <c r="F26" s="9">
        <f t="shared" si="9"/>
        <v>655580.50532100105</v>
      </c>
      <c r="G26" s="32">
        <f t="shared" si="7"/>
        <v>3924740547.4711189</v>
      </c>
    </row>
    <row r="27" spans="1:14" x14ac:dyDescent="0.25">
      <c r="A27" s="4">
        <v>2032</v>
      </c>
      <c r="B27" s="9">
        <f t="shared" si="10"/>
        <v>81.26004940839843</v>
      </c>
      <c r="C27" s="9">
        <f t="shared" si="11"/>
        <v>5909.8217751562488</v>
      </c>
      <c r="D27" s="9">
        <f t="shared" si="12"/>
        <v>664.85494970507818</v>
      </c>
      <c r="E27" s="9">
        <f t="shared" si="8"/>
        <v>59935.967837609154</v>
      </c>
      <c r="F27" s="9">
        <f t="shared" si="9"/>
        <v>719231.61405130988</v>
      </c>
      <c r="G27" s="32">
        <f t="shared" si="7"/>
        <v>4706959721.2848454</v>
      </c>
    </row>
    <row r="28" spans="1:14" x14ac:dyDescent="0.25">
      <c r="A28" s="4">
        <v>2033</v>
      </c>
      <c r="B28" s="9">
        <f t="shared" si="10"/>
        <v>85.323051878818347</v>
      </c>
      <c r="C28" s="9">
        <f t="shared" si="11"/>
        <v>6205.3128639140614</v>
      </c>
      <c r="D28" s="9">
        <f t="shared" si="12"/>
        <v>698.09769719033204</v>
      </c>
      <c r="E28" s="9">
        <f t="shared" si="8"/>
        <v>65769.138897768382</v>
      </c>
      <c r="F28" s="9">
        <f t="shared" si="9"/>
        <v>789229.66677322052</v>
      </c>
      <c r="G28" s="32">
        <f t="shared" si="7"/>
        <v>5636470886.3654499</v>
      </c>
    </row>
    <row r="29" spans="1:14" x14ac:dyDescent="0.25">
      <c r="A29" s="4">
        <v>2034</v>
      </c>
      <c r="B29" s="9">
        <f t="shared" si="10"/>
        <v>89.589204472759263</v>
      </c>
      <c r="C29" s="9">
        <f t="shared" si="11"/>
        <v>6515.5785071097644</v>
      </c>
      <c r="D29" s="9">
        <f t="shared" si="12"/>
        <v>733.00258204984868</v>
      </c>
      <c r="E29" s="9">
        <f t="shared" si="8"/>
        <v>72184.696709434153</v>
      </c>
      <c r="F29" s="9">
        <f t="shared" si="9"/>
        <v>866216.36051320983</v>
      </c>
      <c r="G29" s="32">
        <f t="shared" si="7"/>
        <v>6740109836.3208256</v>
      </c>
    </row>
    <row r="32" spans="1:14" ht="18.75" x14ac:dyDescent="0.3">
      <c r="A32" s="30" t="s">
        <v>24</v>
      </c>
      <c r="B32" s="31"/>
      <c r="C32" s="31"/>
      <c r="L32" s="30" t="s">
        <v>83</v>
      </c>
      <c r="M32" s="31"/>
      <c r="N32" s="31"/>
    </row>
    <row r="33" spans="1:15" ht="45" x14ac:dyDescent="0.25">
      <c r="A33" s="12" t="s">
        <v>11</v>
      </c>
      <c r="B33" s="34" t="s">
        <v>84</v>
      </c>
      <c r="C33" s="12" t="s">
        <v>37</v>
      </c>
      <c r="D33" s="12" t="s">
        <v>40</v>
      </c>
      <c r="E33" s="12" t="s">
        <v>85</v>
      </c>
      <c r="F33" s="12" t="s">
        <v>86</v>
      </c>
      <c r="G33" s="12" t="s">
        <v>87</v>
      </c>
      <c r="H33" s="12" t="s">
        <v>44</v>
      </c>
      <c r="L33" s="12" t="s">
        <v>11</v>
      </c>
      <c r="M33" s="12" t="s">
        <v>88</v>
      </c>
      <c r="N33" s="12" t="s">
        <v>89</v>
      </c>
      <c r="O33" s="12" t="s">
        <v>90</v>
      </c>
    </row>
    <row r="34" spans="1:15" ht="15.75" x14ac:dyDescent="0.25">
      <c r="A34" s="4">
        <v>2024</v>
      </c>
      <c r="B34" s="35">
        <f>130000*N34*M34</f>
        <v>652600000</v>
      </c>
      <c r="C34" s="36">
        <v>6500</v>
      </c>
      <c r="D34" s="36">
        <f>C34*12</f>
        <v>78000</v>
      </c>
      <c r="E34" s="32">
        <f>D34*N34*M34</f>
        <v>391560000</v>
      </c>
      <c r="F34" s="36">
        <v>13000</v>
      </c>
      <c r="G34" s="36">
        <f>F34*4</f>
        <v>52000</v>
      </c>
      <c r="H34" s="37">
        <f>G34*(N34*3*M34)</f>
        <v>783120000</v>
      </c>
      <c r="L34" s="4">
        <v>2024</v>
      </c>
      <c r="M34" s="32">
        <v>251</v>
      </c>
      <c r="N34" s="36">
        <v>20</v>
      </c>
      <c r="O34" s="4">
        <f>M34*$J$19</f>
        <v>150600000</v>
      </c>
    </row>
    <row r="35" spans="1:15" ht="15.75" x14ac:dyDescent="0.25">
      <c r="A35" s="4">
        <v>2025</v>
      </c>
      <c r="B35" s="35">
        <f>130000*(N35-N34)*M35</f>
        <v>0</v>
      </c>
      <c r="C35" s="36">
        <v>6500</v>
      </c>
      <c r="D35" s="36">
        <f t="shared" ref="D35:D44" si="13">C35*12</f>
        <v>78000</v>
      </c>
      <c r="E35" s="32">
        <f t="shared" ref="E35:E44" si="14">D35*N35*M35</f>
        <v>391560000</v>
      </c>
      <c r="F35" s="4">
        <f>(0.1*F34)+F34</f>
        <v>14300</v>
      </c>
      <c r="G35" s="36">
        <f>F35*4</f>
        <v>57200</v>
      </c>
      <c r="H35" s="37">
        <f t="shared" ref="H35:H44" si="15">G35*(N35*3*M35)</f>
        <v>861432000</v>
      </c>
      <c r="L35" s="4">
        <v>2025</v>
      </c>
      <c r="M35" s="32">
        <v>251</v>
      </c>
      <c r="N35" s="36">
        <v>20</v>
      </c>
      <c r="O35" s="4">
        <f t="shared" ref="O35:O44" si="16">M35*$J$19</f>
        <v>150600000</v>
      </c>
    </row>
    <row r="36" spans="1:15" ht="15.75" x14ac:dyDescent="0.25">
      <c r="A36" s="4">
        <v>2026</v>
      </c>
      <c r="B36" s="35">
        <f t="shared" ref="B36:B44" si="17">130000*(N36-N35)*M36</f>
        <v>0</v>
      </c>
      <c r="C36" s="36">
        <v>6500</v>
      </c>
      <c r="D36" s="36">
        <f t="shared" si="13"/>
        <v>78000</v>
      </c>
      <c r="E36" s="32">
        <f t="shared" si="14"/>
        <v>391560000</v>
      </c>
      <c r="F36" s="4">
        <f t="shared" ref="F36:F44" si="18">(0.1*F35)+F35</f>
        <v>15730</v>
      </c>
      <c r="G36" s="36">
        <f t="shared" ref="G36:G44" si="19">F36*4</f>
        <v>62920</v>
      </c>
      <c r="H36" s="37">
        <f t="shared" si="15"/>
        <v>947575200</v>
      </c>
      <c r="L36" s="4">
        <v>2026</v>
      </c>
      <c r="M36" s="32">
        <v>251</v>
      </c>
      <c r="N36" s="36">
        <v>20</v>
      </c>
      <c r="O36" s="4">
        <f t="shared" si="16"/>
        <v>150600000</v>
      </c>
    </row>
    <row r="37" spans="1:15" ht="15.75" x14ac:dyDescent="0.25">
      <c r="A37" s="4">
        <v>2027</v>
      </c>
      <c r="B37" s="35">
        <f t="shared" si="17"/>
        <v>130520000</v>
      </c>
      <c r="C37" s="9">
        <f t="shared" ref="C37:C43" si="20">(0.1*C36)+C36</f>
        <v>7150</v>
      </c>
      <c r="D37" s="36">
        <f t="shared" si="13"/>
        <v>85800</v>
      </c>
      <c r="E37" s="32">
        <f t="shared" si="14"/>
        <v>516859200</v>
      </c>
      <c r="F37" s="4">
        <f t="shared" si="18"/>
        <v>17303</v>
      </c>
      <c r="G37" s="36">
        <f t="shared" si="19"/>
        <v>69212</v>
      </c>
      <c r="H37" s="37">
        <f t="shared" si="15"/>
        <v>1250799264</v>
      </c>
      <c r="L37" s="4">
        <v>2027</v>
      </c>
      <c r="M37" s="32">
        <v>251</v>
      </c>
      <c r="N37" s="9">
        <v>24</v>
      </c>
      <c r="O37" s="4">
        <f t="shared" si="16"/>
        <v>150600000</v>
      </c>
    </row>
    <row r="38" spans="1:15" ht="15.75" x14ac:dyDescent="0.25">
      <c r="A38" s="4">
        <v>2028</v>
      </c>
      <c r="B38" s="35">
        <f t="shared" si="17"/>
        <v>0</v>
      </c>
      <c r="C38" s="9">
        <v>7150</v>
      </c>
      <c r="D38" s="38">
        <f t="shared" si="13"/>
        <v>85800</v>
      </c>
      <c r="E38" s="32">
        <f t="shared" si="14"/>
        <v>516859200</v>
      </c>
      <c r="F38" s="9">
        <f t="shared" si="18"/>
        <v>19033.3</v>
      </c>
      <c r="G38" s="38">
        <f t="shared" si="19"/>
        <v>76133.2</v>
      </c>
      <c r="H38" s="37">
        <f t="shared" si="15"/>
        <v>1375879190.3999999</v>
      </c>
      <c r="L38" s="4">
        <v>2028</v>
      </c>
      <c r="M38" s="32">
        <v>251</v>
      </c>
      <c r="N38" s="9">
        <v>24</v>
      </c>
      <c r="O38" s="4">
        <f t="shared" si="16"/>
        <v>150600000</v>
      </c>
    </row>
    <row r="39" spans="1:15" ht="15.75" x14ac:dyDescent="0.25">
      <c r="A39" s="4">
        <v>2029</v>
      </c>
      <c r="B39" s="35">
        <f t="shared" si="17"/>
        <v>0</v>
      </c>
      <c r="C39" s="9">
        <v>7150</v>
      </c>
      <c r="D39" s="38">
        <f t="shared" si="13"/>
        <v>85800</v>
      </c>
      <c r="E39" s="32">
        <f t="shared" si="14"/>
        <v>516859200</v>
      </c>
      <c r="F39" s="9">
        <f t="shared" si="18"/>
        <v>20936.629999999997</v>
      </c>
      <c r="G39" s="38">
        <f t="shared" si="19"/>
        <v>83746.51999999999</v>
      </c>
      <c r="H39" s="37">
        <f t="shared" si="15"/>
        <v>1513467109.4399998</v>
      </c>
      <c r="L39" s="4">
        <v>2029</v>
      </c>
      <c r="M39" s="32">
        <v>251</v>
      </c>
      <c r="N39" s="9">
        <v>24</v>
      </c>
      <c r="O39" s="4">
        <f t="shared" si="16"/>
        <v>150600000</v>
      </c>
    </row>
    <row r="40" spans="1:15" ht="15.75" x14ac:dyDescent="0.25">
      <c r="A40" s="4">
        <v>2030</v>
      </c>
      <c r="B40" s="35">
        <f t="shared" si="17"/>
        <v>130520000</v>
      </c>
      <c r="C40" s="9">
        <f t="shared" si="20"/>
        <v>7865</v>
      </c>
      <c r="D40" s="38">
        <f t="shared" si="13"/>
        <v>94380</v>
      </c>
      <c r="E40" s="32">
        <f t="shared" si="14"/>
        <v>663302640</v>
      </c>
      <c r="F40" s="9">
        <f t="shared" si="18"/>
        <v>23030.292999999998</v>
      </c>
      <c r="G40" s="38">
        <f t="shared" si="19"/>
        <v>92121.171999999991</v>
      </c>
      <c r="H40" s="37">
        <f t="shared" si="15"/>
        <v>1942282790.4479997</v>
      </c>
      <c r="L40" s="4">
        <v>2030</v>
      </c>
      <c r="M40" s="32">
        <v>251</v>
      </c>
      <c r="N40" s="9">
        <v>28</v>
      </c>
      <c r="O40" s="4">
        <f t="shared" si="16"/>
        <v>150600000</v>
      </c>
    </row>
    <row r="41" spans="1:15" ht="15.75" x14ac:dyDescent="0.25">
      <c r="A41" s="4">
        <v>2031</v>
      </c>
      <c r="B41" s="35">
        <f t="shared" si="17"/>
        <v>0</v>
      </c>
      <c r="C41" s="9">
        <v>7865</v>
      </c>
      <c r="D41" s="38">
        <f t="shared" si="13"/>
        <v>94380</v>
      </c>
      <c r="E41" s="32">
        <f t="shared" si="14"/>
        <v>663302640</v>
      </c>
      <c r="F41" s="9">
        <f t="shared" si="18"/>
        <v>25333.322299999996</v>
      </c>
      <c r="G41" s="38">
        <f t="shared" si="19"/>
        <v>101333.28919999998</v>
      </c>
      <c r="H41" s="37">
        <f t="shared" si="15"/>
        <v>2136511069.4927998</v>
      </c>
      <c r="L41" s="4">
        <v>2031</v>
      </c>
      <c r="M41" s="32">
        <v>251</v>
      </c>
      <c r="N41" s="9">
        <v>28</v>
      </c>
      <c r="O41" s="4">
        <f t="shared" si="16"/>
        <v>150600000</v>
      </c>
    </row>
    <row r="42" spans="1:15" ht="15.75" x14ac:dyDescent="0.25">
      <c r="A42" s="4">
        <v>2032</v>
      </c>
      <c r="B42" s="35">
        <f t="shared" si="17"/>
        <v>0</v>
      </c>
      <c r="C42" s="9">
        <v>7865</v>
      </c>
      <c r="D42" s="38">
        <f t="shared" si="13"/>
        <v>94380</v>
      </c>
      <c r="E42" s="32">
        <f t="shared" si="14"/>
        <v>663302640</v>
      </c>
      <c r="F42" s="9">
        <f t="shared" si="18"/>
        <v>27866.654529999996</v>
      </c>
      <c r="G42" s="38">
        <f t="shared" si="19"/>
        <v>111466.61811999998</v>
      </c>
      <c r="H42" s="37">
        <f t="shared" si="15"/>
        <v>2350162176.4420795</v>
      </c>
      <c r="L42" s="4">
        <v>2032</v>
      </c>
      <c r="M42" s="32">
        <v>251</v>
      </c>
      <c r="N42" s="9">
        <v>28</v>
      </c>
      <c r="O42" s="4">
        <f t="shared" si="16"/>
        <v>150600000</v>
      </c>
    </row>
    <row r="43" spans="1:15" ht="15.75" x14ac:dyDescent="0.25">
      <c r="A43" s="4">
        <v>2033</v>
      </c>
      <c r="B43" s="35">
        <f t="shared" si="17"/>
        <v>65260000</v>
      </c>
      <c r="C43" s="9">
        <f t="shared" si="20"/>
        <v>8651.5</v>
      </c>
      <c r="D43" s="38">
        <f t="shared" si="13"/>
        <v>103818</v>
      </c>
      <c r="E43" s="32">
        <f t="shared" si="14"/>
        <v>781749540</v>
      </c>
      <c r="F43" s="9">
        <f t="shared" si="18"/>
        <v>30653.319982999994</v>
      </c>
      <c r="G43" s="38">
        <f t="shared" si="19"/>
        <v>122613.27993199998</v>
      </c>
      <c r="H43" s="37">
        <f t="shared" si="15"/>
        <v>2769833993.6638794</v>
      </c>
      <c r="L43" s="4">
        <v>2033</v>
      </c>
      <c r="M43" s="32">
        <v>251</v>
      </c>
      <c r="N43" s="9">
        <v>30</v>
      </c>
      <c r="O43" s="4">
        <f t="shared" si="16"/>
        <v>150600000</v>
      </c>
    </row>
    <row r="44" spans="1:15" ht="15.75" x14ac:dyDescent="0.25">
      <c r="A44" s="4">
        <v>2034</v>
      </c>
      <c r="B44" s="35">
        <f t="shared" si="17"/>
        <v>0</v>
      </c>
      <c r="C44" s="9">
        <v>8652</v>
      </c>
      <c r="D44" s="38">
        <f t="shared" si="13"/>
        <v>103824</v>
      </c>
      <c r="E44" s="32">
        <f t="shared" si="14"/>
        <v>781794720</v>
      </c>
      <c r="F44" s="9">
        <f t="shared" si="18"/>
        <v>33718.65198129999</v>
      </c>
      <c r="G44" s="38">
        <f t="shared" si="19"/>
        <v>134874.60792519996</v>
      </c>
      <c r="H44" s="37">
        <f t="shared" si="15"/>
        <v>3046817393.0302672</v>
      </c>
      <c r="L44" s="4">
        <v>2034</v>
      </c>
      <c r="M44" s="32">
        <v>251</v>
      </c>
      <c r="N44" s="9">
        <v>30</v>
      </c>
      <c r="O44" s="4">
        <f t="shared" si="16"/>
        <v>150600000</v>
      </c>
    </row>
    <row r="46" spans="1:15" ht="18.75" x14ac:dyDescent="0.3">
      <c r="A46" s="30" t="s">
        <v>91</v>
      </c>
      <c r="B46" s="31"/>
      <c r="C46" s="31"/>
      <c r="H46" s="30" t="s">
        <v>15</v>
      </c>
      <c r="I46" s="31"/>
    </row>
    <row r="47" spans="1:15" x14ac:dyDescent="0.25">
      <c r="A47" s="5" t="s">
        <v>11</v>
      </c>
      <c r="B47" s="5" t="s">
        <v>12</v>
      </c>
      <c r="C47" s="5" t="s">
        <v>13</v>
      </c>
      <c r="D47" s="5" t="s">
        <v>14</v>
      </c>
      <c r="E47" s="5" t="s">
        <v>92</v>
      </c>
      <c r="F47" s="5" t="s">
        <v>93</v>
      </c>
      <c r="H47" s="5" t="s">
        <v>11</v>
      </c>
      <c r="I47" s="5" t="s">
        <v>15</v>
      </c>
    </row>
    <row r="48" spans="1:15" x14ac:dyDescent="0.25">
      <c r="A48" s="4">
        <v>2013</v>
      </c>
      <c r="B48" s="6">
        <v>125000</v>
      </c>
      <c r="C48" s="6">
        <f t="shared" ref="C48:C69" si="21">B48*I48</f>
        <v>5625000</v>
      </c>
      <c r="D48" s="6">
        <f>C48*12</f>
        <v>67500000</v>
      </c>
      <c r="E48" s="39"/>
      <c r="F48" s="4"/>
      <c r="H48" s="4">
        <v>2013</v>
      </c>
      <c r="I48" s="4">
        <v>45</v>
      </c>
    </row>
    <row r="49" spans="1:9" x14ac:dyDescent="0.25">
      <c r="A49" s="4">
        <v>2014</v>
      </c>
      <c r="B49" s="6">
        <v>250000</v>
      </c>
      <c r="C49" s="6">
        <f t="shared" si="21"/>
        <v>13000000</v>
      </c>
      <c r="D49" s="6">
        <f t="shared" ref="D49:D69" si="22">C49*12</f>
        <v>156000000</v>
      </c>
      <c r="E49" s="4"/>
      <c r="F49" s="4"/>
      <c r="H49" s="4">
        <v>2014</v>
      </c>
      <c r="I49" s="4">
        <v>52</v>
      </c>
    </row>
    <row r="50" spans="1:9" x14ac:dyDescent="0.25">
      <c r="A50" s="4">
        <v>2015</v>
      </c>
      <c r="B50" s="6">
        <v>500000</v>
      </c>
      <c r="C50" s="6">
        <f t="shared" si="21"/>
        <v>27500000</v>
      </c>
      <c r="D50" s="6">
        <f t="shared" si="22"/>
        <v>330000000</v>
      </c>
      <c r="E50" s="4"/>
      <c r="F50" s="4"/>
      <c r="H50" s="4">
        <v>2015</v>
      </c>
      <c r="I50" s="4">
        <v>55</v>
      </c>
    </row>
    <row r="51" spans="1:9" x14ac:dyDescent="0.25">
      <c r="A51" s="4">
        <v>2016</v>
      </c>
      <c r="B51" s="6">
        <v>1500000</v>
      </c>
      <c r="C51" s="6">
        <f t="shared" si="21"/>
        <v>88500000</v>
      </c>
      <c r="D51" s="6">
        <f t="shared" si="22"/>
        <v>1062000000</v>
      </c>
      <c r="E51" s="4"/>
      <c r="F51" s="4"/>
      <c r="H51" s="4">
        <v>2016</v>
      </c>
      <c r="I51" s="4">
        <v>59</v>
      </c>
    </row>
    <row r="52" spans="1:9" x14ac:dyDescent="0.25">
      <c r="A52" s="4">
        <v>2017</v>
      </c>
      <c r="B52" s="6">
        <v>2000000</v>
      </c>
      <c r="C52" s="6">
        <f t="shared" si="21"/>
        <v>114000000</v>
      </c>
      <c r="D52" s="6">
        <f t="shared" si="22"/>
        <v>1368000000</v>
      </c>
      <c r="E52" s="4"/>
      <c r="F52" s="4"/>
      <c r="H52" s="4">
        <v>2017</v>
      </c>
      <c r="I52" s="4">
        <v>57</v>
      </c>
    </row>
    <row r="53" spans="1:9" x14ac:dyDescent="0.25">
      <c r="A53" s="4">
        <v>2018</v>
      </c>
      <c r="B53" s="6">
        <v>2500000</v>
      </c>
      <c r="C53" s="6">
        <f t="shared" si="21"/>
        <v>155000000</v>
      </c>
      <c r="D53" s="6">
        <f t="shared" si="22"/>
        <v>1860000000</v>
      </c>
      <c r="E53" s="4"/>
      <c r="F53" s="4"/>
      <c r="H53" s="4">
        <v>2018</v>
      </c>
      <c r="I53" s="4">
        <v>62</v>
      </c>
    </row>
    <row r="54" spans="1:9" x14ac:dyDescent="0.25">
      <c r="A54" s="4">
        <v>2019</v>
      </c>
      <c r="B54" s="6">
        <v>3000000</v>
      </c>
      <c r="C54" s="6">
        <f t="shared" si="21"/>
        <v>189000000</v>
      </c>
      <c r="D54" s="6">
        <f t="shared" si="22"/>
        <v>2268000000</v>
      </c>
      <c r="E54" s="4"/>
      <c r="F54" s="4"/>
      <c r="H54" s="4">
        <v>2019</v>
      </c>
      <c r="I54" s="4">
        <v>63</v>
      </c>
    </row>
    <row r="55" spans="1:9" x14ac:dyDescent="0.25">
      <c r="A55" s="4">
        <v>2020</v>
      </c>
      <c r="B55" s="6">
        <v>5500000</v>
      </c>
      <c r="C55" s="6">
        <f t="shared" si="21"/>
        <v>352000000</v>
      </c>
      <c r="D55" s="6">
        <f t="shared" si="22"/>
        <v>4224000000</v>
      </c>
      <c r="E55" s="4"/>
      <c r="F55" s="4"/>
      <c r="H55" s="4">
        <v>2020</v>
      </c>
      <c r="I55" s="4">
        <v>64</v>
      </c>
    </row>
    <row r="56" spans="1:9" x14ac:dyDescent="0.25">
      <c r="A56" s="4">
        <v>2021</v>
      </c>
      <c r="B56" s="6">
        <v>6500000</v>
      </c>
      <c r="C56" s="6">
        <f t="shared" si="21"/>
        <v>442000000</v>
      </c>
      <c r="D56" s="6">
        <f t="shared" si="22"/>
        <v>5304000000</v>
      </c>
      <c r="E56" s="4"/>
      <c r="F56" s="4"/>
      <c r="H56" s="4">
        <v>2021</v>
      </c>
      <c r="I56" s="4">
        <v>68</v>
      </c>
    </row>
    <row r="57" spans="1:9" x14ac:dyDescent="0.25">
      <c r="A57" s="4">
        <v>2022</v>
      </c>
      <c r="B57" s="6">
        <v>7500000</v>
      </c>
      <c r="C57" s="6">
        <f t="shared" si="21"/>
        <v>517500000</v>
      </c>
      <c r="D57" s="6">
        <f t="shared" si="22"/>
        <v>6210000000</v>
      </c>
      <c r="E57" s="4"/>
      <c r="F57" s="4"/>
      <c r="H57" s="4">
        <v>2022</v>
      </c>
      <c r="I57" s="4">
        <v>69</v>
      </c>
    </row>
    <row r="58" spans="1:9" x14ac:dyDescent="0.25">
      <c r="A58" s="4">
        <v>2023</v>
      </c>
      <c r="B58" s="6">
        <f>FORECAST($A58,$B$48:B57,$A$48:A57)</f>
        <v>7608333.3333334923</v>
      </c>
      <c r="C58" s="6">
        <f t="shared" si="21"/>
        <v>550843333.33334208</v>
      </c>
      <c r="D58" s="6">
        <f t="shared" si="22"/>
        <v>6610120000.0001049</v>
      </c>
      <c r="E58" s="4"/>
      <c r="F58" s="4"/>
      <c r="H58" s="4">
        <v>2023</v>
      </c>
      <c r="I58" s="9">
        <f>FORECAST($H58,$I$48:I57,$H$48:H57)</f>
        <v>72.399999999999636</v>
      </c>
    </row>
    <row r="59" spans="1:9" x14ac:dyDescent="0.25">
      <c r="A59" s="4">
        <v>2024</v>
      </c>
      <c r="B59" s="6">
        <f>FORECAST($A59,$B$48:B58,$A$48:A58)</f>
        <v>8457575.7575759888</v>
      </c>
      <c r="C59" s="6">
        <f t="shared" si="21"/>
        <v>632319118.45731938</v>
      </c>
      <c r="D59" s="6">
        <f t="shared" si="22"/>
        <v>7587829421.487833</v>
      </c>
      <c r="E59" s="32">
        <f>G19+B34+E34+H34+O34</f>
        <v>3015342626.2626543</v>
      </c>
      <c r="F59" s="32">
        <f>D59-E59</f>
        <v>4572486795.2251787</v>
      </c>
      <c r="H59" s="4">
        <v>2024</v>
      </c>
      <c r="I59" s="9">
        <f>FORECAST($H59,$I$48:I58,$H$48:H58)</f>
        <v>74.763636363636579</v>
      </c>
    </row>
    <row r="60" spans="1:9" x14ac:dyDescent="0.25">
      <c r="A60" s="4">
        <v>2025</v>
      </c>
      <c r="B60" s="6">
        <f>FORECAST($A60,$B$48:B59,$A$48:A59)</f>
        <v>9306818.1818184853</v>
      </c>
      <c r="C60" s="6">
        <f t="shared" si="21"/>
        <v>717809504.13226223</v>
      </c>
      <c r="D60" s="6">
        <f t="shared" si="22"/>
        <v>8613714049.5871468</v>
      </c>
      <c r="E60" s="32">
        <f t="shared" ref="E60:E69" si="23">G20+B35+E35+H35+O35</f>
        <v>2668318144.444479</v>
      </c>
      <c r="F60" s="32">
        <f t="shared" ref="F60:F69" si="24">D60-E60</f>
        <v>5945395905.1426678</v>
      </c>
      <c r="H60" s="4">
        <v>2025</v>
      </c>
      <c r="I60" s="9">
        <f>FORECAST($H60,$I$48:I59,$H$48:H59)</f>
        <v>77.127272727273521</v>
      </c>
    </row>
    <row r="61" spans="1:9" x14ac:dyDescent="0.25">
      <c r="A61" s="4">
        <v>2026</v>
      </c>
      <c r="B61" s="6">
        <f>FORECAST($A61,$B$48:B60,$A$48:A60)</f>
        <v>10156060.606060982</v>
      </c>
      <c r="C61" s="6">
        <f t="shared" si="21"/>
        <v>807314490.35815203</v>
      </c>
      <c r="D61" s="6">
        <f t="shared" si="22"/>
        <v>9687773884.2978249</v>
      </c>
      <c r="E61" s="32">
        <f t="shared" si="23"/>
        <v>3026596559.000042</v>
      </c>
      <c r="F61" s="32">
        <f t="shared" si="24"/>
        <v>6661177325.2977829</v>
      </c>
      <c r="H61" s="4">
        <v>2026</v>
      </c>
      <c r="I61" s="9">
        <f>FORECAST($H61,$I$48:I60,$H$48:H60)</f>
        <v>79.490909090908644</v>
      </c>
    </row>
    <row r="62" spans="1:9" x14ac:dyDescent="0.25">
      <c r="A62" s="4">
        <v>2027</v>
      </c>
      <c r="B62" s="6">
        <f>FORECAST($A62,$B$48:B61,$A$48:A61)</f>
        <v>11005303.03030324</v>
      </c>
      <c r="C62" s="6">
        <f t="shared" si="21"/>
        <v>900834077.13500488</v>
      </c>
      <c r="D62" s="6">
        <f t="shared" si="22"/>
        <v>10810008925.620058</v>
      </c>
      <c r="E62" s="32">
        <f t="shared" si="23"/>
        <v>3911061477.0697732</v>
      </c>
      <c r="F62" s="32">
        <f t="shared" si="24"/>
        <v>6898947448.5502853</v>
      </c>
      <c r="H62" s="4">
        <v>2027</v>
      </c>
      <c r="I62" s="9">
        <f>FORECAST($H62,$I$48:I61,$H$48:H61)</f>
        <v>81.854545454545587</v>
      </c>
    </row>
    <row r="63" spans="1:9" x14ac:dyDescent="0.25">
      <c r="A63" s="4">
        <v>2028</v>
      </c>
      <c r="B63" s="6">
        <f>FORECAST($A63,$B$48:B62,$A$48:A62)</f>
        <v>11854545.454545736</v>
      </c>
      <c r="C63" s="6">
        <f t="shared" si="21"/>
        <v>998368264.46283126</v>
      </c>
      <c r="D63" s="6">
        <f t="shared" si="22"/>
        <v>11980419173.553974</v>
      </c>
      <c r="E63" s="32">
        <f t="shared" si="23"/>
        <v>4294274222.2667007</v>
      </c>
      <c r="F63" s="32">
        <f t="shared" si="24"/>
        <v>7686144951.2872734</v>
      </c>
      <c r="H63" s="4">
        <v>2028</v>
      </c>
      <c r="I63" s="9">
        <f>FORECAST($H63,$I$48:I62,$H$48:H62)</f>
        <v>84.21818181818162</v>
      </c>
    </row>
    <row r="64" spans="1:9" x14ac:dyDescent="0.25">
      <c r="A64" s="4">
        <v>2029</v>
      </c>
      <c r="B64" s="6">
        <f>FORECAST($A64,$B$48:B63,$A$48:A63)</f>
        <v>12703787.878787994</v>
      </c>
      <c r="C64" s="6">
        <f t="shared" si="21"/>
        <v>1099917052.3416011</v>
      </c>
      <c r="D64" s="6">
        <f t="shared" si="22"/>
        <v>13199004628.099213</v>
      </c>
      <c r="E64" s="32">
        <f t="shared" si="23"/>
        <v>4895493207.963007</v>
      </c>
      <c r="F64" s="32">
        <f t="shared" si="24"/>
        <v>8303511420.1362057</v>
      </c>
      <c r="H64" s="4">
        <v>2029</v>
      </c>
      <c r="I64" s="9">
        <f>FORECAST($H64,$I$48:I63,$H$48:H63)</f>
        <v>86.581818181817653</v>
      </c>
    </row>
    <row r="65" spans="1:9" x14ac:dyDescent="0.25">
      <c r="A65" s="4">
        <v>2030</v>
      </c>
      <c r="B65" s="6">
        <f>FORECAST($A65,$B$48:B64,$A$48:A64)</f>
        <v>13553030.303030491</v>
      </c>
      <c r="C65" s="6">
        <f t="shared" si="21"/>
        <v>1205480440.7713795</v>
      </c>
      <c r="D65" s="6">
        <f t="shared" si="22"/>
        <v>14465765289.256554</v>
      </c>
      <c r="E65" s="32">
        <f t="shared" si="23"/>
        <v>6153751193.6572809</v>
      </c>
      <c r="F65" s="32">
        <f t="shared" si="24"/>
        <v>8312014095.5992727</v>
      </c>
      <c r="H65" s="4">
        <v>2030</v>
      </c>
      <c r="I65" s="9">
        <f>FORECAST($H65,$I$48:I64,$H$48:H64)</f>
        <v>88.945454545455505</v>
      </c>
    </row>
    <row r="66" spans="1:9" x14ac:dyDescent="0.25">
      <c r="A66" s="4">
        <v>2031</v>
      </c>
      <c r="B66" s="6">
        <f>FORECAST($A66,$B$48:B65,$A$48:A65)</f>
        <v>14402272.727272987</v>
      </c>
      <c r="C66" s="6">
        <f t="shared" si="21"/>
        <v>1315058429.7520988</v>
      </c>
      <c r="D66" s="6">
        <f t="shared" si="22"/>
        <v>15780701157.025185</v>
      </c>
      <c r="E66" s="32">
        <f t="shared" si="23"/>
        <v>6875154256.9639187</v>
      </c>
      <c r="F66" s="32">
        <f t="shared" si="24"/>
        <v>8905546900.0612659</v>
      </c>
      <c r="H66" s="4">
        <v>2031</v>
      </c>
      <c r="I66" s="9">
        <f>FORECAST($H66,$I$48:I65,$H$48:H65)</f>
        <v>91.309090909091537</v>
      </c>
    </row>
    <row r="67" spans="1:9" x14ac:dyDescent="0.25">
      <c r="A67" s="4">
        <v>2032</v>
      </c>
      <c r="B67" s="6">
        <f>FORECAST($A67,$B$48:B66,$A$48:A66)</f>
        <v>15251515.151515484</v>
      </c>
      <c r="C67" s="6">
        <f t="shared" si="21"/>
        <v>1428651019.2837822</v>
      </c>
      <c r="D67" s="6">
        <f t="shared" si="22"/>
        <v>17143812231.405388</v>
      </c>
      <c r="E67" s="32">
        <f t="shared" si="23"/>
        <v>7871024537.7269249</v>
      </c>
      <c r="F67" s="32">
        <f t="shared" si="24"/>
        <v>9272787693.678463</v>
      </c>
      <c r="H67" s="4">
        <v>2032</v>
      </c>
      <c r="I67" s="9">
        <f>FORECAST($H67,$I$48:I66,$H$48:H66)</f>
        <v>93.67272727272757</v>
      </c>
    </row>
    <row r="68" spans="1:9" x14ac:dyDescent="0.25">
      <c r="A68" s="4">
        <v>2033</v>
      </c>
      <c r="B68" s="6">
        <f>FORECAST($A68,$B$48:B67,$A$48:A67)</f>
        <v>16100757.575757742</v>
      </c>
      <c r="C68" s="6">
        <f t="shared" si="21"/>
        <v>1546258209.3664067</v>
      </c>
      <c r="D68" s="6">
        <f t="shared" si="22"/>
        <v>18555098512.396881</v>
      </c>
      <c r="E68" s="32">
        <f t="shared" si="23"/>
        <v>9403914420.0293293</v>
      </c>
      <c r="F68" s="32">
        <f t="shared" si="24"/>
        <v>9151184092.3675518</v>
      </c>
      <c r="H68" s="4">
        <v>2033</v>
      </c>
      <c r="I68" s="9">
        <f>FORECAST($H68,$I$48:I67,$H$48:H67)</f>
        <v>96.036363636363603</v>
      </c>
    </row>
    <row r="69" spans="1:9" x14ac:dyDescent="0.25">
      <c r="A69" s="4">
        <v>2034</v>
      </c>
      <c r="B69" s="6">
        <f>FORECAST($A69,$B$48:B68,$A$48:A68)</f>
        <v>16950000.000000238</v>
      </c>
      <c r="C69" s="6">
        <f t="shared" si="21"/>
        <v>1667880000.0000174</v>
      </c>
      <c r="D69" s="6">
        <f t="shared" si="22"/>
        <v>20014560000.00021</v>
      </c>
      <c r="E69" s="32">
        <f t="shared" si="23"/>
        <v>10719321949.351093</v>
      </c>
      <c r="F69" s="32">
        <f t="shared" si="24"/>
        <v>9295238050.6491165</v>
      </c>
      <c r="H69" s="4">
        <v>2034</v>
      </c>
      <c r="I69" s="9">
        <f>FORECAST($H69,$I$48:I68,$H$48:H68)</f>
        <v>98.399999999999636</v>
      </c>
    </row>
  </sheetData>
  <mergeCells count="6">
    <mergeCell ref="A2:C2"/>
    <mergeCell ref="A17:C17"/>
    <mergeCell ref="A32:C32"/>
    <mergeCell ref="L32:N32"/>
    <mergeCell ref="A46:C46"/>
    <mergeCell ref="H46:I4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4"/>
  <sheetViews>
    <sheetView showGridLines="0" workbookViewId="0">
      <selection activeCell="J10" sqref="J10"/>
    </sheetView>
  </sheetViews>
  <sheetFormatPr defaultRowHeight="15" x14ac:dyDescent="0.25"/>
  <cols>
    <col min="2" max="2" width="42.28515625" bestFit="1" customWidth="1"/>
    <col min="3" max="3" width="18.5703125" customWidth="1"/>
    <col min="4" max="4" width="8" customWidth="1"/>
    <col min="5" max="5" width="7.85546875" customWidth="1"/>
    <col min="6" max="6" width="47.7109375" customWidth="1"/>
    <col min="7" max="7" width="19.7109375" customWidth="1"/>
    <col min="8" max="8" width="9" customWidth="1"/>
    <col min="10" max="10" width="9.42578125" customWidth="1"/>
    <col min="11" max="11" width="26.85546875" bestFit="1" customWidth="1"/>
    <col min="12" max="12" width="18" bestFit="1" customWidth="1"/>
    <col min="13" max="13" width="21.85546875" customWidth="1"/>
    <col min="14" max="14" width="28" bestFit="1" customWidth="1"/>
    <col min="15" max="15" width="26" bestFit="1" customWidth="1"/>
    <col min="16" max="16" width="16.42578125" customWidth="1"/>
  </cols>
  <sheetData>
    <row r="1" spans="2:19" x14ac:dyDescent="0.25">
      <c r="B1" s="5" t="s">
        <v>22</v>
      </c>
      <c r="C1" s="5" t="s">
        <v>23</v>
      </c>
      <c r="F1" s="5" t="s">
        <v>24</v>
      </c>
      <c r="G1" s="5" t="s">
        <v>23</v>
      </c>
      <c r="I1" s="5" t="s">
        <v>25</v>
      </c>
      <c r="J1" s="5" t="s">
        <v>26</v>
      </c>
      <c r="K1" s="5" t="s">
        <v>27</v>
      </c>
    </row>
    <row r="2" spans="2:19" ht="21" customHeight="1" x14ac:dyDescent="0.25">
      <c r="B2" s="4" t="s">
        <v>28</v>
      </c>
      <c r="C2" s="4">
        <v>55</v>
      </c>
      <c r="F2" s="10" t="s">
        <v>29</v>
      </c>
      <c r="G2" s="11">
        <v>130000</v>
      </c>
      <c r="I2" s="4"/>
      <c r="J2" s="4">
        <v>1</v>
      </c>
      <c r="K2" s="4">
        <v>3</v>
      </c>
      <c r="M2" s="12" t="s">
        <v>11</v>
      </c>
      <c r="N2" s="12" t="s">
        <v>30</v>
      </c>
      <c r="O2" s="12" t="s">
        <v>31</v>
      </c>
      <c r="P2" s="12" t="s">
        <v>32</v>
      </c>
      <c r="Q2" s="12" t="s">
        <v>33</v>
      </c>
      <c r="R2" s="12" t="s">
        <v>34</v>
      </c>
      <c r="S2" s="12" t="s">
        <v>35</v>
      </c>
    </row>
    <row r="3" spans="2:19" x14ac:dyDescent="0.25">
      <c r="B3" s="4" t="s">
        <v>36</v>
      </c>
      <c r="C3" s="4">
        <v>4000</v>
      </c>
      <c r="F3" s="4" t="s">
        <v>37</v>
      </c>
      <c r="G3" s="4">
        <v>6500</v>
      </c>
      <c r="I3" s="4" t="s">
        <v>38</v>
      </c>
      <c r="J3" s="4">
        <v>20</v>
      </c>
      <c r="K3" s="4">
        <f>J3*K2</f>
        <v>60</v>
      </c>
      <c r="M3" s="4">
        <v>2024</v>
      </c>
      <c r="N3" s="4">
        <v>55</v>
      </c>
      <c r="O3" s="4">
        <v>4000</v>
      </c>
      <c r="P3" s="4">
        <v>450</v>
      </c>
      <c r="Q3" s="4">
        <f>O3+(N3*P3)</f>
        <v>28750</v>
      </c>
      <c r="R3" s="4">
        <f>Q3*12</f>
        <v>345000</v>
      </c>
      <c r="S3" s="4"/>
    </row>
    <row r="4" spans="2:19" x14ac:dyDescent="0.25">
      <c r="B4" s="4" t="s">
        <v>39</v>
      </c>
      <c r="C4" s="4">
        <v>450</v>
      </c>
      <c r="F4" s="4" t="s">
        <v>40</v>
      </c>
      <c r="G4" s="13">
        <f>G3*12</f>
        <v>78000</v>
      </c>
      <c r="I4" s="4" t="s">
        <v>41</v>
      </c>
      <c r="J4" s="4">
        <f>C13*J3</f>
        <v>5025</v>
      </c>
      <c r="K4" s="4">
        <f>J4*K2</f>
        <v>15075</v>
      </c>
      <c r="M4" s="4">
        <v>2025</v>
      </c>
      <c r="N4" s="9">
        <f>((10/100)*N3)+N3</f>
        <v>60.5</v>
      </c>
      <c r="O4" s="9">
        <f>O3+((10/100)*O3)</f>
        <v>4400</v>
      </c>
      <c r="P4" s="9">
        <f>(0.05*P3)+P3</f>
        <v>472.5</v>
      </c>
      <c r="Q4" s="9">
        <f t="shared" ref="Q4:Q13" si="0">O4+(N4*P4)</f>
        <v>32986.25</v>
      </c>
      <c r="R4" s="4">
        <f t="shared" ref="R4:R13" si="1">Q4*12</f>
        <v>395835</v>
      </c>
      <c r="S4" s="4"/>
    </row>
    <row r="5" spans="2:19" x14ac:dyDescent="0.25">
      <c r="B5" s="4" t="s">
        <v>33</v>
      </c>
      <c r="C5" s="4">
        <f>C3+(C2*C4)</f>
        <v>28750</v>
      </c>
      <c r="F5" s="4" t="s">
        <v>42</v>
      </c>
      <c r="G5" s="4">
        <v>13000</v>
      </c>
      <c r="M5" s="4">
        <v>2026</v>
      </c>
      <c r="N5" s="9">
        <f t="shared" ref="N5:N13" si="2">((10/100)*N4)+N4</f>
        <v>66.55</v>
      </c>
      <c r="O5" s="9">
        <f t="shared" ref="O5:O13" si="3">O4+((10/100)*O4)</f>
        <v>4840</v>
      </c>
      <c r="P5" s="9">
        <f t="shared" ref="P5:P13" si="4">(0.05*P4)+P4</f>
        <v>496.125</v>
      </c>
      <c r="Q5" s="9">
        <f t="shared" si="0"/>
        <v>37857.118750000001</v>
      </c>
      <c r="R5" s="9">
        <f t="shared" si="1"/>
        <v>454285.42500000005</v>
      </c>
      <c r="S5" s="4"/>
    </row>
    <row r="6" spans="2:19" x14ac:dyDescent="0.25">
      <c r="B6" s="4" t="s">
        <v>34</v>
      </c>
      <c r="C6" s="4">
        <f>C5*12</f>
        <v>345000</v>
      </c>
      <c r="F6" s="4" t="s">
        <v>43</v>
      </c>
      <c r="G6" s="13">
        <f>G5*4</f>
        <v>52000</v>
      </c>
      <c r="M6" s="4">
        <v>2027</v>
      </c>
      <c r="N6" s="9">
        <f t="shared" si="2"/>
        <v>73.204999999999998</v>
      </c>
      <c r="O6" s="9">
        <f t="shared" si="3"/>
        <v>5324</v>
      </c>
      <c r="P6" s="9">
        <f t="shared" si="4"/>
        <v>520.93124999999998</v>
      </c>
      <c r="Q6" s="9">
        <f t="shared" si="0"/>
        <v>43458.772156250001</v>
      </c>
      <c r="R6" s="9">
        <f t="shared" si="1"/>
        <v>521505.26587500004</v>
      </c>
      <c r="S6" s="4"/>
    </row>
    <row r="7" spans="2:19" ht="33" customHeight="1" x14ac:dyDescent="0.25">
      <c r="B7" s="14" t="s">
        <v>35</v>
      </c>
      <c r="C7" s="15">
        <f>C6*C24</f>
        <v>1037462626.2626545</v>
      </c>
      <c r="F7" s="14" t="s">
        <v>44</v>
      </c>
      <c r="G7" s="16">
        <f>G6*K4</f>
        <v>783900000</v>
      </c>
      <c r="M7" s="4">
        <v>2028</v>
      </c>
      <c r="N7" s="9">
        <f t="shared" si="2"/>
        <v>80.525499999999994</v>
      </c>
      <c r="O7" s="9">
        <f t="shared" si="3"/>
        <v>5856.4</v>
      </c>
      <c r="P7" s="9">
        <f t="shared" si="4"/>
        <v>546.97781250000003</v>
      </c>
      <c r="Q7" s="9">
        <f t="shared" si="0"/>
        <v>49902.061840468748</v>
      </c>
      <c r="R7" s="9">
        <f t="shared" si="1"/>
        <v>598824.74208562495</v>
      </c>
      <c r="S7" s="4"/>
    </row>
    <row r="8" spans="2:19" x14ac:dyDescent="0.25">
      <c r="B8" s="13" t="s">
        <v>45</v>
      </c>
      <c r="C8" s="17">
        <v>0.1</v>
      </c>
      <c r="M8" s="4">
        <v>2029</v>
      </c>
      <c r="N8" s="9">
        <f t="shared" si="2"/>
        <v>88.57804999999999</v>
      </c>
      <c r="O8" s="9">
        <f t="shared" si="3"/>
        <v>6442.04</v>
      </c>
      <c r="P8" s="9">
        <f t="shared" si="4"/>
        <v>574.32670312499999</v>
      </c>
      <c r="Q8" s="9">
        <f t="shared" si="0"/>
        <v>57314.779425741399</v>
      </c>
      <c r="R8" s="9">
        <f t="shared" si="1"/>
        <v>687777.35310889676</v>
      </c>
      <c r="S8" s="4"/>
    </row>
    <row r="9" spans="2:19" x14ac:dyDescent="0.25">
      <c r="M9" s="4">
        <v>2030</v>
      </c>
      <c r="N9" s="9">
        <f t="shared" si="2"/>
        <v>97.435854999999989</v>
      </c>
      <c r="O9" s="9">
        <f t="shared" si="3"/>
        <v>7086.2439999999997</v>
      </c>
      <c r="P9" s="9">
        <f t="shared" si="4"/>
        <v>603.04303828125001</v>
      </c>
      <c r="Q9" s="9">
        <f t="shared" si="0"/>
        <v>65844.25803673132</v>
      </c>
      <c r="R9" s="9">
        <f t="shared" si="1"/>
        <v>790131.09644077579</v>
      </c>
      <c r="S9" s="4"/>
    </row>
    <row r="10" spans="2:19" x14ac:dyDescent="0.25">
      <c r="B10" s="5" t="s">
        <v>46</v>
      </c>
      <c r="C10" s="18"/>
      <c r="F10" s="5" t="s">
        <v>47</v>
      </c>
      <c r="G10" s="18"/>
      <c r="M10" s="4">
        <v>2031</v>
      </c>
      <c r="N10" s="9">
        <f t="shared" si="2"/>
        <v>107.17944049999998</v>
      </c>
      <c r="O10" s="9">
        <f t="shared" si="3"/>
        <v>7794.8683999999994</v>
      </c>
      <c r="P10" s="9">
        <f t="shared" si="4"/>
        <v>633.19519019531253</v>
      </c>
      <c r="Q10" s="9">
        <f t="shared" si="0"/>
        <v>75660.374612424668</v>
      </c>
      <c r="R10" s="9">
        <f t="shared" si="1"/>
        <v>907924.49534909602</v>
      </c>
      <c r="S10" s="4"/>
    </row>
    <row r="11" spans="2:19" ht="15.75" x14ac:dyDescent="0.25">
      <c r="B11" s="19" t="s">
        <v>48</v>
      </c>
      <c r="C11" s="20">
        <v>11069000</v>
      </c>
      <c r="F11" s="4" t="s">
        <v>49</v>
      </c>
      <c r="G11" s="4"/>
      <c r="M11" s="4">
        <v>2032</v>
      </c>
      <c r="N11" s="9">
        <f t="shared" si="2"/>
        <v>117.89738454999998</v>
      </c>
      <c r="O11" s="9">
        <f t="shared" si="3"/>
        <v>8574.355239999999</v>
      </c>
      <c r="P11" s="9">
        <f t="shared" si="4"/>
        <v>664.85494970507818</v>
      </c>
      <c r="Q11" s="9">
        <f t="shared" si="0"/>
        <v>86959.014915350504</v>
      </c>
      <c r="R11" s="9">
        <f t="shared" si="1"/>
        <v>1043508.1789842061</v>
      </c>
      <c r="S11" s="4"/>
    </row>
    <row r="12" spans="2:19" x14ac:dyDescent="0.25">
      <c r="B12" s="4" t="s">
        <v>50</v>
      </c>
      <c r="C12" s="4">
        <v>1005</v>
      </c>
      <c r="D12" t="s">
        <v>51</v>
      </c>
      <c r="F12" s="4" t="s">
        <v>52</v>
      </c>
      <c r="G12" s="6">
        <v>600000</v>
      </c>
      <c r="M12" s="4">
        <v>2033</v>
      </c>
      <c r="N12" s="9">
        <f t="shared" si="2"/>
        <v>129.68712300499999</v>
      </c>
      <c r="O12" s="9">
        <f t="shared" si="3"/>
        <v>9431.7907639999994</v>
      </c>
      <c r="P12" s="9">
        <f t="shared" si="4"/>
        <v>698.09769719033204</v>
      </c>
      <c r="Q12" s="9">
        <f t="shared" si="0"/>
        <v>99966.072689029825</v>
      </c>
      <c r="R12" s="9">
        <f t="shared" si="1"/>
        <v>1199592.8722683578</v>
      </c>
      <c r="S12" s="4"/>
    </row>
    <row r="13" spans="2:19" x14ac:dyDescent="0.25">
      <c r="B13" s="13" t="s">
        <v>53</v>
      </c>
      <c r="C13" s="21">
        <f>C12/4</f>
        <v>251.25</v>
      </c>
      <c r="F13" s="4" t="s">
        <v>54</v>
      </c>
      <c r="G13" s="6">
        <f>G12*10</f>
        <v>6000000</v>
      </c>
      <c r="M13" s="4">
        <v>2034</v>
      </c>
      <c r="N13" s="9">
        <f t="shared" si="2"/>
        <v>142.65583530549998</v>
      </c>
      <c r="O13" s="9">
        <f t="shared" si="3"/>
        <v>10374.969840399999</v>
      </c>
      <c r="P13" s="9">
        <f t="shared" si="4"/>
        <v>733.00258204984868</v>
      </c>
      <c r="Q13" s="9">
        <f t="shared" si="0"/>
        <v>114942.06546380944</v>
      </c>
      <c r="R13" s="9">
        <f t="shared" si="1"/>
        <v>1379304.7855657134</v>
      </c>
      <c r="S13" s="4"/>
    </row>
    <row r="14" spans="2:19" x14ac:dyDescent="0.25">
      <c r="C14" s="4"/>
      <c r="F14" s="14" t="s">
        <v>55</v>
      </c>
      <c r="G14" s="16">
        <f>G13*C13</f>
        <v>1507500000</v>
      </c>
    </row>
    <row r="16" spans="2:19" x14ac:dyDescent="0.25">
      <c r="B16" s="22" t="s">
        <v>56</v>
      </c>
      <c r="C16" s="23">
        <v>8457575.7575759888</v>
      </c>
    </row>
    <row r="17" spans="2:8" x14ac:dyDescent="0.25">
      <c r="B17" s="22" t="s">
        <v>57</v>
      </c>
      <c r="C17" s="24">
        <v>0.16</v>
      </c>
      <c r="F17" s="4" t="s">
        <v>58</v>
      </c>
      <c r="G17" s="4">
        <v>40</v>
      </c>
      <c r="H17" s="4" t="s">
        <v>59</v>
      </c>
    </row>
    <row r="18" spans="2:8" x14ac:dyDescent="0.25">
      <c r="B18" s="22" t="s">
        <v>60</v>
      </c>
      <c r="C18" s="23">
        <f>(16/100)*C16</f>
        <v>1353212.1212121581</v>
      </c>
      <c r="F18" s="4" t="s">
        <v>61</v>
      </c>
      <c r="G18" s="4">
        <f>(8/G17)*60</f>
        <v>12</v>
      </c>
      <c r="H18" s="4" t="s">
        <v>62</v>
      </c>
    </row>
    <row r="19" spans="2:8" x14ac:dyDescent="0.25">
      <c r="B19" s="22" t="s">
        <v>63</v>
      </c>
      <c r="C19" s="23">
        <f>C18/30</f>
        <v>45107.070707071936</v>
      </c>
      <c r="F19" s="4" t="s">
        <v>64</v>
      </c>
      <c r="G19" s="4">
        <v>1</v>
      </c>
      <c r="H19" s="4" t="s">
        <v>65</v>
      </c>
    </row>
    <row r="20" spans="2:8" x14ac:dyDescent="0.25">
      <c r="B20" s="22" t="s">
        <v>66</v>
      </c>
      <c r="C20" s="24">
        <v>0.7</v>
      </c>
      <c r="F20" s="4" t="s">
        <v>67</v>
      </c>
      <c r="G20" s="4">
        <v>30</v>
      </c>
      <c r="H20" s="4" t="s">
        <v>62</v>
      </c>
    </row>
    <row r="21" spans="2:8" x14ac:dyDescent="0.25">
      <c r="B21" s="22" t="s">
        <v>68</v>
      </c>
      <c r="C21" s="23">
        <f>(70/100)*C19</f>
        <v>31574.949494950353</v>
      </c>
      <c r="F21" s="25" t="s">
        <v>69</v>
      </c>
      <c r="G21" s="25">
        <v>2</v>
      </c>
      <c r="H21" s="25" t="s">
        <v>70</v>
      </c>
    </row>
    <row r="22" spans="2:8" x14ac:dyDescent="0.25">
      <c r="B22" s="22" t="s">
        <v>71</v>
      </c>
      <c r="C22" s="26">
        <f>C21/C13</f>
        <v>125.67144077592181</v>
      </c>
      <c r="F22" s="25" t="s">
        <v>72</v>
      </c>
      <c r="G22" s="9">
        <v>4</v>
      </c>
      <c r="H22" s="4" t="s">
        <v>73</v>
      </c>
    </row>
    <row r="23" spans="2:8" x14ac:dyDescent="0.25">
      <c r="B23" s="22" t="s">
        <v>74</v>
      </c>
      <c r="C23" s="26">
        <f>(20/100)*C22</f>
        <v>25.134288155184365</v>
      </c>
      <c r="F23" s="25" t="s">
        <v>75</v>
      </c>
      <c r="G23" s="9">
        <f>20*G22</f>
        <v>80</v>
      </c>
      <c r="H23" s="4" t="s">
        <v>73</v>
      </c>
    </row>
    <row r="24" spans="2:8" x14ac:dyDescent="0.25">
      <c r="B24" s="22" t="s">
        <v>76</v>
      </c>
      <c r="C24" s="27">
        <f>C18/C4</f>
        <v>3007.138047138129</v>
      </c>
      <c r="F24" s="28" t="s">
        <v>77</v>
      </c>
      <c r="G24" s="29">
        <f>G23</f>
        <v>80</v>
      </c>
      <c r="H24" s="28" t="s">
        <v>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History-Forecast</vt:lpstr>
      <vt:lpstr>Expense &amp; Revenue</vt:lpstr>
      <vt:lpstr>Cost Analysis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2024-09-19T08:27:00Z</dcterms:created>
  <dcterms:modified xsi:type="dcterms:W3CDTF">2024-09-19T08:28:35Z</dcterms:modified>
</cp:coreProperties>
</file>