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\OneDrive\Počítač\create-template\"/>
    </mc:Choice>
  </mc:AlternateContent>
  <xr:revisionPtr revIDLastSave="0" documentId="13_ncr:1_{5352CF7D-32E4-4DA6-A932-419A724672E5}" xr6:coauthVersionLast="47" xr6:coauthVersionMax="47" xr10:uidLastSave="{00000000-0000-0000-0000-000000000000}"/>
  <bookViews>
    <workbookView xWindow="-108" yWindow="-108" windowWidth="23256" windowHeight="12576" xr2:uid="{6E10831A-333C-4725-817F-9FB9095CC786}"/>
  </bookViews>
  <sheets>
    <sheet name="Háro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G46" i="1"/>
  <c r="F46" i="1"/>
  <c r="D46" i="1"/>
  <c r="E46" i="1" s="1"/>
  <c r="C46" i="1"/>
  <c r="K45" i="1"/>
  <c r="J45" i="1"/>
  <c r="I45" i="1"/>
  <c r="H45" i="1"/>
  <c r="F45" i="1"/>
  <c r="G45" i="1" s="1"/>
  <c r="C45" i="1"/>
  <c r="K44" i="1"/>
  <c r="J44" i="1"/>
  <c r="I44" i="1"/>
  <c r="H44" i="1"/>
  <c r="F44" i="1"/>
  <c r="D44" i="1" s="1"/>
  <c r="E44" i="1" s="1"/>
  <c r="C44" i="1"/>
  <c r="K43" i="1"/>
  <c r="J43" i="1"/>
  <c r="I43" i="1"/>
  <c r="H43" i="1"/>
  <c r="F43" i="1"/>
  <c r="D43" i="1"/>
  <c r="C43" i="1"/>
  <c r="K42" i="1"/>
  <c r="J42" i="1"/>
  <c r="I42" i="1"/>
  <c r="H42" i="1"/>
  <c r="G42" i="1"/>
  <c r="F42" i="1"/>
  <c r="D42" i="1"/>
  <c r="E42" i="1" s="1"/>
  <c r="C42" i="1"/>
  <c r="K41" i="1"/>
  <c r="J41" i="1"/>
  <c r="I41" i="1"/>
  <c r="H41" i="1"/>
  <c r="F41" i="1"/>
  <c r="G41" i="1" s="1"/>
  <c r="C41" i="1"/>
  <c r="K40" i="1"/>
  <c r="J40" i="1"/>
  <c r="I40" i="1"/>
  <c r="H40" i="1"/>
  <c r="F40" i="1"/>
  <c r="G40" i="1" s="1"/>
  <c r="C40" i="1"/>
  <c r="K39" i="1"/>
  <c r="J39" i="1"/>
  <c r="I39" i="1"/>
  <c r="H39" i="1"/>
  <c r="G39" i="1"/>
  <c r="F39" i="1"/>
  <c r="D39" i="1"/>
  <c r="C39" i="1"/>
  <c r="K38" i="1"/>
  <c r="J38" i="1"/>
  <c r="I38" i="1"/>
  <c r="H38" i="1"/>
  <c r="G38" i="1"/>
  <c r="F38" i="1"/>
  <c r="D38" i="1"/>
  <c r="E38" i="1" s="1"/>
  <c r="C38" i="1"/>
  <c r="K37" i="1"/>
  <c r="J37" i="1"/>
  <c r="I37" i="1"/>
  <c r="H37" i="1"/>
  <c r="F37" i="1"/>
  <c r="G37" i="1" s="1"/>
  <c r="C37" i="1"/>
  <c r="K36" i="1"/>
  <c r="J36" i="1"/>
  <c r="I36" i="1"/>
  <c r="H36" i="1"/>
  <c r="F36" i="1"/>
  <c r="D36" i="1" s="1"/>
  <c r="E36" i="1" s="1"/>
  <c r="C36" i="1"/>
  <c r="K35" i="1"/>
  <c r="J35" i="1"/>
  <c r="I35" i="1"/>
  <c r="H35" i="1"/>
  <c r="F35" i="1"/>
  <c r="D35" i="1"/>
  <c r="C35" i="1"/>
  <c r="K34" i="1"/>
  <c r="J34" i="1"/>
  <c r="I34" i="1"/>
  <c r="H34" i="1"/>
  <c r="G34" i="1"/>
  <c r="F34" i="1"/>
  <c r="D34" i="1"/>
  <c r="E34" i="1" s="1"/>
  <c r="C34" i="1"/>
  <c r="K33" i="1"/>
  <c r="J33" i="1"/>
  <c r="I33" i="1"/>
  <c r="H33" i="1"/>
  <c r="F33" i="1"/>
  <c r="G33" i="1" s="1"/>
  <c r="C33" i="1"/>
  <c r="K32" i="1"/>
  <c r="J32" i="1"/>
  <c r="I32" i="1"/>
  <c r="H32" i="1"/>
  <c r="F32" i="1"/>
  <c r="C32" i="1"/>
  <c r="K31" i="1"/>
  <c r="J31" i="1"/>
  <c r="I31" i="1"/>
  <c r="H31" i="1"/>
  <c r="G31" i="1"/>
  <c r="F31" i="1"/>
  <c r="D31" i="1"/>
  <c r="C31" i="1"/>
  <c r="K30" i="1"/>
  <c r="J30" i="1"/>
  <c r="I30" i="1"/>
  <c r="H30" i="1"/>
  <c r="G30" i="1"/>
  <c r="F30" i="1"/>
  <c r="D30" i="1"/>
  <c r="E30" i="1" s="1"/>
  <c r="C30" i="1"/>
  <c r="K29" i="1"/>
  <c r="J29" i="1"/>
  <c r="I29" i="1"/>
  <c r="H29" i="1"/>
  <c r="F29" i="1"/>
  <c r="G29" i="1" s="1"/>
  <c r="C29" i="1"/>
  <c r="K28" i="1"/>
  <c r="J28" i="1"/>
  <c r="I28" i="1"/>
  <c r="H28" i="1"/>
  <c r="F28" i="1"/>
  <c r="D28" i="1" s="1"/>
  <c r="E28" i="1" s="1"/>
  <c r="C28" i="1"/>
  <c r="K27" i="1"/>
  <c r="J27" i="1"/>
  <c r="I27" i="1"/>
  <c r="H27" i="1"/>
  <c r="F27" i="1"/>
  <c r="D27" i="1"/>
  <c r="C27" i="1"/>
  <c r="K26" i="1"/>
  <c r="J26" i="1"/>
  <c r="I26" i="1"/>
  <c r="H26" i="1"/>
  <c r="G26" i="1"/>
  <c r="F26" i="1"/>
  <c r="D26" i="1"/>
  <c r="E26" i="1" s="1"/>
  <c r="C26" i="1"/>
  <c r="K25" i="1"/>
  <c r="J25" i="1"/>
  <c r="I25" i="1"/>
  <c r="H25" i="1"/>
  <c r="F25" i="1"/>
  <c r="G25" i="1" s="1"/>
  <c r="C25" i="1"/>
  <c r="K24" i="1"/>
  <c r="J24" i="1"/>
  <c r="I24" i="1"/>
  <c r="H24" i="1"/>
  <c r="F24" i="1"/>
  <c r="C24" i="1"/>
  <c r="K23" i="1"/>
  <c r="J23" i="1"/>
  <c r="I23" i="1"/>
  <c r="H23" i="1"/>
  <c r="G23" i="1"/>
  <c r="F23" i="1"/>
  <c r="D23" i="1"/>
  <c r="C23" i="1"/>
  <c r="K22" i="1"/>
  <c r="J22" i="1"/>
  <c r="I22" i="1"/>
  <c r="H22" i="1"/>
  <c r="G22" i="1"/>
  <c r="F22" i="1"/>
  <c r="D22" i="1"/>
  <c r="E22" i="1" s="1"/>
  <c r="C22" i="1"/>
  <c r="K21" i="1"/>
  <c r="J21" i="1"/>
  <c r="I21" i="1"/>
  <c r="H21" i="1"/>
  <c r="F21" i="1"/>
  <c r="G21" i="1" s="1"/>
  <c r="C21" i="1"/>
  <c r="K20" i="1"/>
  <c r="J20" i="1"/>
  <c r="I20" i="1"/>
  <c r="H20" i="1"/>
  <c r="F20" i="1"/>
  <c r="D20" i="1" s="1"/>
  <c r="E20" i="1" s="1"/>
  <c r="C20" i="1"/>
  <c r="K19" i="1"/>
  <c r="J19" i="1"/>
  <c r="I19" i="1"/>
  <c r="H19" i="1"/>
  <c r="F19" i="1"/>
  <c r="D19" i="1"/>
  <c r="C19" i="1"/>
  <c r="K18" i="1"/>
  <c r="J18" i="1"/>
  <c r="I18" i="1"/>
  <c r="H18" i="1"/>
  <c r="G18" i="1"/>
  <c r="F18" i="1"/>
  <c r="D18" i="1"/>
  <c r="E18" i="1" s="1"/>
  <c r="C18" i="1"/>
  <c r="K17" i="1"/>
  <c r="J17" i="1"/>
  <c r="I17" i="1"/>
  <c r="H17" i="1"/>
  <c r="F17" i="1"/>
  <c r="G17" i="1" s="1"/>
  <c r="C17" i="1"/>
  <c r="K16" i="1"/>
  <c r="J16" i="1"/>
  <c r="I16" i="1"/>
  <c r="H16" i="1"/>
  <c r="F16" i="1"/>
  <c r="C16" i="1"/>
  <c r="K15" i="1"/>
  <c r="J15" i="1"/>
  <c r="I15" i="1"/>
  <c r="H15" i="1"/>
  <c r="G15" i="1"/>
  <c r="F15" i="1"/>
  <c r="D15" i="1"/>
  <c r="C15" i="1"/>
  <c r="K14" i="1"/>
  <c r="J14" i="1"/>
  <c r="I14" i="1"/>
  <c r="H14" i="1"/>
  <c r="G14" i="1"/>
  <c r="F14" i="1"/>
  <c r="D14" i="1"/>
  <c r="E14" i="1" s="1"/>
  <c r="C14" i="1"/>
  <c r="K13" i="1"/>
  <c r="J13" i="1"/>
  <c r="I13" i="1"/>
  <c r="H13" i="1"/>
  <c r="F13" i="1"/>
  <c r="G13" i="1" s="1"/>
  <c r="C13" i="1"/>
  <c r="K12" i="1"/>
  <c r="J12" i="1"/>
  <c r="I12" i="1"/>
  <c r="H12" i="1"/>
  <c r="F12" i="1"/>
  <c r="D12" i="1" s="1"/>
  <c r="E12" i="1" s="1"/>
  <c r="C12" i="1"/>
  <c r="K11" i="1"/>
  <c r="J11" i="1"/>
  <c r="I11" i="1"/>
  <c r="H11" i="1"/>
  <c r="F11" i="1"/>
  <c r="D11" i="1"/>
  <c r="C11" i="1"/>
  <c r="K10" i="1"/>
  <c r="J10" i="1"/>
  <c r="I10" i="1"/>
  <c r="H10" i="1"/>
  <c r="G10" i="1"/>
  <c r="F10" i="1"/>
  <c r="D10" i="1"/>
  <c r="E10" i="1" s="1"/>
  <c r="C10" i="1"/>
  <c r="K9" i="1"/>
  <c r="J9" i="1"/>
  <c r="I9" i="1"/>
  <c r="H9" i="1"/>
  <c r="F9" i="1"/>
  <c r="G9" i="1" s="1"/>
  <c r="C9" i="1"/>
  <c r="K8" i="1"/>
  <c r="J8" i="1"/>
  <c r="I8" i="1"/>
  <c r="H8" i="1"/>
  <c r="F8" i="1"/>
  <c r="C8" i="1"/>
  <c r="K7" i="1"/>
  <c r="J7" i="1"/>
  <c r="I7" i="1"/>
  <c r="H7" i="1"/>
  <c r="G7" i="1"/>
  <c r="F7" i="1"/>
  <c r="D7" i="1"/>
  <c r="C7" i="1"/>
  <c r="K6" i="1"/>
  <c r="J6" i="1"/>
  <c r="I6" i="1"/>
  <c r="H6" i="1"/>
  <c r="G6" i="1"/>
  <c r="F6" i="1"/>
  <c r="D6" i="1"/>
  <c r="E6" i="1" s="1"/>
  <c r="C6" i="1"/>
  <c r="K5" i="1"/>
  <c r="J5" i="1"/>
  <c r="I5" i="1"/>
  <c r="H5" i="1"/>
  <c r="F5" i="1"/>
  <c r="G5" i="1" s="1"/>
  <c r="C5" i="1"/>
  <c r="D5" i="1" l="1"/>
  <c r="E5" i="1" s="1"/>
  <c r="E7" i="1"/>
  <c r="D13" i="1"/>
  <c r="E13" i="1" s="1"/>
  <c r="E15" i="1"/>
  <c r="D21" i="1"/>
  <c r="E21" i="1" s="1"/>
  <c r="E23" i="1"/>
  <c r="D29" i="1"/>
  <c r="E29" i="1" s="1"/>
  <c r="E31" i="1"/>
  <c r="D37" i="1"/>
  <c r="E37" i="1" s="1"/>
  <c r="E39" i="1"/>
  <c r="D45" i="1"/>
  <c r="E45" i="1" s="1"/>
  <c r="E11" i="1"/>
  <c r="E19" i="1"/>
  <c r="E27" i="1"/>
  <c r="E35" i="1"/>
  <c r="E43" i="1"/>
  <c r="E8" i="1"/>
  <c r="G11" i="1"/>
  <c r="G19" i="1"/>
  <c r="G27" i="1"/>
  <c r="G35" i="1"/>
  <c r="G43" i="1"/>
  <c r="G12" i="1"/>
  <c r="G20" i="1"/>
  <c r="G28" i="1"/>
  <c r="G36" i="1"/>
  <c r="G44" i="1"/>
  <c r="G16" i="1"/>
  <c r="G24" i="1"/>
  <c r="G32" i="1"/>
  <c r="D8" i="1"/>
  <c r="D16" i="1"/>
  <c r="E16" i="1" s="1"/>
  <c r="D24" i="1"/>
  <c r="E24" i="1" s="1"/>
  <c r="D32" i="1"/>
  <c r="E32" i="1" s="1"/>
  <c r="D40" i="1"/>
  <c r="E40" i="1" s="1"/>
  <c r="G8" i="1"/>
  <c r="D9" i="1"/>
  <c r="E9" i="1" s="1"/>
  <c r="D17" i="1"/>
  <c r="E17" i="1" s="1"/>
  <c r="D25" i="1"/>
  <c r="E25" i="1" s="1"/>
  <c r="D33" i="1"/>
  <c r="E33" i="1" s="1"/>
  <c r="D41" i="1"/>
  <c r="E41" i="1" s="1"/>
</calcChain>
</file>

<file path=xl/sharedStrings.xml><?xml version="1.0" encoding="utf-8"?>
<sst xmlns="http://schemas.openxmlformats.org/spreadsheetml/2006/main" count="53" uniqueCount="17">
  <si>
    <t>Vodná stavba</t>
  </si>
  <si>
    <t>Dátum</t>
  </si>
  <si>
    <t>Liptovská Mara/ Bešeňová</t>
  </si>
  <si>
    <t>Orava/ Tvrdošín</t>
  </si>
  <si>
    <t>Turček</t>
  </si>
  <si>
    <t>Nová Bystrica</t>
  </si>
  <si>
    <t>Hričov</t>
  </si>
  <si>
    <t>Kráľová</t>
  </si>
  <si>
    <t>Objem zasoby v %</t>
  </si>
  <si>
    <t>Hladina v nádrži (m n.m.)</t>
  </si>
  <si>
    <t>Objem celkový v %</t>
  </si>
  <si>
    <t>Objem celkový (mil. m3)</t>
  </si>
  <si>
    <t>Objem zasoby (mil. m3)</t>
  </si>
  <si>
    <t>Bilancia pritoku (m3.s-1)</t>
  </si>
  <si>
    <t>Bilancia odtoku z nádrže (m3.s-1)</t>
  </si>
  <si>
    <t>Bilancia odberu  (m3.s-1)</t>
  </si>
  <si>
    <t>Teplota vody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</si>
</sst>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yyyy\-mm\-dd;@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Arial CE"/>
      <family val="2"/>
    </font>
    <font>
      <sz val="8"/>
      <name val="Arial"/>
      <family val="2"/>
    </font>
    <font>
      <b/>
      <sz val="10"/>
      <name val="Arial CE"/>
      <family val="2"/>
    </font>
    <font>
      <sz val="7"/>
      <name val="Arial CE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2" fontId="4" fillId="2" borderId="8" xfId="0" applyNumberFormat="1" applyFont="1" applyFill="1" applyBorder="1" applyAlignment="1" applyProtection="1">
      <alignment horizontal="center"/>
      <protection locked="0"/>
    </xf>
    <xf numFmtId="164" fontId="4" fillId="0" borderId="1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64" fontId="4" fillId="2" borderId="8" xfId="0" applyNumberFormat="1" applyFont="1" applyFill="1" applyBorder="1" applyAlignment="1" applyProtection="1">
      <alignment horizontal="center"/>
      <protection locked="0"/>
    </xf>
    <xf numFmtId="165" fontId="4" fillId="2" borderId="3" xfId="0" applyNumberFormat="1" applyFont="1" applyFill="1" applyBorder="1" applyAlignment="1" applyProtection="1">
      <alignment horizontal="center"/>
      <protection locked="0"/>
    </xf>
    <xf numFmtId="165" fontId="4" fillId="2" borderId="20" xfId="0" applyNumberFormat="1" applyFont="1" applyFill="1" applyBorder="1" applyAlignment="1" applyProtection="1">
      <alignment horizontal="center"/>
      <protection locked="0"/>
    </xf>
    <xf numFmtId="165" fontId="4" fillId="2" borderId="5" xfId="0" applyNumberFormat="1" applyFont="1" applyFill="1" applyBorder="1" applyAlignment="1" applyProtection="1">
      <alignment horizontal="center"/>
      <protection locked="0"/>
    </xf>
    <xf numFmtId="2" fontId="4" fillId="2" borderId="13" xfId="0" applyNumberFormat="1" applyFont="1" applyFill="1" applyBorder="1" applyAlignment="1" applyProtection="1">
      <alignment horizontal="center"/>
      <protection locked="0"/>
    </xf>
    <xf numFmtId="164" fontId="4" fillId="0" borderId="13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64" fontId="4" fillId="2" borderId="13" xfId="0" applyNumberFormat="1" applyFont="1" applyFill="1" applyBorder="1" applyAlignment="1" applyProtection="1">
      <alignment horizontal="center"/>
      <protection locked="0"/>
    </xf>
    <xf numFmtId="165" fontId="4" fillId="2" borderId="13" xfId="0" applyNumberFormat="1" applyFont="1" applyFill="1" applyBorder="1" applyAlignment="1" applyProtection="1">
      <alignment horizontal="center"/>
      <protection locked="0"/>
    </xf>
    <xf numFmtId="165" fontId="4" fillId="2" borderId="22" xfId="0" applyNumberFormat="1" applyFont="1" applyFill="1" applyBorder="1" applyAlignment="1" applyProtection="1">
      <alignment horizontal="center"/>
      <protection locked="0"/>
    </xf>
    <xf numFmtId="165" fontId="4" fillId="2" borderId="23" xfId="0" applyNumberFormat="1" applyFont="1" applyFill="1" applyBorder="1" applyAlignment="1" applyProtection="1">
      <alignment horizontal="center"/>
      <protection locked="0"/>
    </xf>
    <xf numFmtId="2" fontId="4" fillId="2" borderId="10" xfId="0" applyNumberFormat="1" applyFont="1" applyFill="1" applyBorder="1" applyAlignment="1" applyProtection="1">
      <alignment horizontal="center"/>
      <protection locked="0"/>
    </xf>
    <xf numFmtId="164" fontId="4" fillId="2" borderId="10" xfId="0" applyNumberFormat="1" applyFont="1" applyFill="1" applyBorder="1" applyAlignment="1" applyProtection="1">
      <alignment horizontal="center"/>
      <protection locked="0"/>
    </xf>
    <xf numFmtId="165" fontId="4" fillId="2" borderId="10" xfId="0" applyNumberFormat="1" applyFont="1" applyFill="1" applyBorder="1" applyAlignment="1" applyProtection="1">
      <alignment horizontal="center"/>
      <protection locked="0"/>
    </xf>
    <xf numFmtId="165" fontId="4" fillId="2" borderId="9" xfId="0" applyNumberFormat="1" applyFont="1" applyFill="1" applyBorder="1" applyAlignment="1" applyProtection="1">
      <alignment horizontal="center"/>
      <protection locked="0"/>
    </xf>
    <xf numFmtId="165" fontId="4" fillId="2" borderId="25" xfId="0" applyNumberFormat="1" applyFon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164" fontId="4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4" fillId="2" borderId="2" xfId="0" applyNumberFormat="1" applyFont="1" applyFill="1" applyBorder="1" applyAlignment="1" applyProtection="1">
      <alignment horizontal="center"/>
      <protection locked="0"/>
    </xf>
    <xf numFmtId="165" fontId="4" fillId="2" borderId="2" xfId="0" applyNumberFormat="1" applyFont="1" applyFill="1" applyBorder="1" applyAlignment="1" applyProtection="1">
      <alignment horizontal="center"/>
      <protection locked="0"/>
    </xf>
    <xf numFmtId="165" fontId="4" fillId="2" borderId="4" xfId="0" applyNumberFormat="1" applyFont="1" applyFill="1" applyBorder="1" applyAlignment="1" applyProtection="1">
      <alignment horizontal="center"/>
      <protection locked="0"/>
    </xf>
    <xf numFmtId="165" fontId="4" fillId="2" borderId="26" xfId="0" applyNumberFormat="1" applyFont="1" applyFill="1" applyBorder="1" applyAlignment="1" applyProtection="1">
      <alignment horizontal="center"/>
      <protection locked="0"/>
    </xf>
    <xf numFmtId="2" fontId="4" fillId="2" borderId="7" xfId="0" applyNumberFormat="1" applyFont="1" applyFill="1" applyBorder="1" applyAlignment="1" applyProtection="1">
      <alignment horizontal="center"/>
      <protection locked="0"/>
    </xf>
    <xf numFmtId="164" fontId="4" fillId="0" borderId="7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64" fontId="4" fillId="2" borderId="7" xfId="0" applyNumberFormat="1" applyFont="1" applyFill="1" applyBorder="1" applyAlignment="1" applyProtection="1">
      <alignment horizontal="center"/>
      <protection locked="0"/>
    </xf>
    <xf numFmtId="165" fontId="4" fillId="2" borderId="7" xfId="0" applyNumberFormat="1" applyFont="1" applyFill="1" applyBorder="1" applyAlignment="1" applyProtection="1">
      <alignment horizontal="center"/>
      <protection locked="0"/>
    </xf>
    <xf numFmtId="165" fontId="4" fillId="2" borderId="14" xfId="0" applyNumberFormat="1" applyFont="1" applyFill="1" applyBorder="1" applyAlignment="1" applyProtection="1">
      <alignment horizontal="center"/>
      <protection locked="0"/>
    </xf>
    <xf numFmtId="165" fontId="4" fillId="2" borderId="15" xfId="0" applyNumberFormat="1" applyFont="1" applyFill="1" applyBorder="1" applyAlignment="1" applyProtection="1">
      <alignment horizontal="center"/>
      <protection locked="0"/>
    </xf>
    <xf numFmtId="164" fontId="4" fillId="0" borderId="8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165" fontId="4" fillId="2" borderId="18" xfId="0" applyNumberFormat="1" applyFont="1" applyFill="1" applyBorder="1" applyAlignment="1" applyProtection="1">
      <alignment horizontal="center"/>
      <protection locked="0"/>
    </xf>
    <xf numFmtId="164" fontId="4" fillId="2" borderId="4" xfId="0" applyNumberFormat="1" applyFont="1" applyFill="1" applyBorder="1" applyAlignment="1" applyProtection="1">
      <alignment horizontal="center"/>
      <protection locked="0"/>
    </xf>
    <xf numFmtId="164" fontId="4" fillId="2" borderId="22" xfId="0" applyNumberFormat="1" applyFont="1" applyFill="1" applyBorder="1" applyAlignment="1" applyProtection="1">
      <alignment horizontal="center"/>
      <protection locked="0"/>
    </xf>
    <xf numFmtId="2" fontId="4" fillId="2" borderId="17" xfId="0" applyNumberFormat="1" applyFont="1" applyFill="1" applyBorder="1" applyAlignment="1" applyProtection="1">
      <alignment horizontal="center"/>
      <protection locked="0"/>
    </xf>
    <xf numFmtId="164" fontId="4" fillId="0" borderId="17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64" fontId="4" fillId="2" borderId="17" xfId="0" applyNumberFormat="1" applyFont="1" applyFill="1" applyBorder="1" applyAlignment="1" applyProtection="1">
      <alignment horizontal="center"/>
      <protection locked="0"/>
    </xf>
    <xf numFmtId="164" fontId="4" fillId="2" borderId="27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 applyProtection="1">
      <alignment horizontal="center"/>
      <protection locked="0"/>
    </xf>
    <xf numFmtId="2" fontId="4" fillId="2" borderId="24" xfId="0" applyNumberFormat="1" applyFont="1" applyFill="1" applyBorder="1" applyAlignment="1" applyProtection="1">
      <alignment horizontal="center"/>
      <protection locked="0"/>
    </xf>
    <xf numFmtId="164" fontId="4" fillId="2" borderId="24" xfId="0" applyNumberFormat="1" applyFont="1" applyFill="1" applyBorder="1" applyAlignment="1" applyProtection="1">
      <alignment horizontal="center"/>
      <protection locked="0"/>
    </xf>
    <xf numFmtId="165" fontId="4" fillId="2" borderId="17" xfId="0" applyNumberFormat="1" applyFont="1" applyFill="1" applyBorder="1" applyAlignment="1" applyProtection="1">
      <alignment horizontal="center"/>
      <protection locked="0"/>
    </xf>
    <xf numFmtId="165" fontId="4" fillId="2" borderId="27" xfId="0" applyNumberFormat="1" applyFont="1" applyFill="1" applyBorder="1" applyAlignment="1" applyProtection="1">
      <alignment horizontal="center"/>
      <protection locked="0"/>
    </xf>
    <xf numFmtId="166" fontId="4" fillId="0" borderId="3" xfId="0" applyNumberFormat="1" applyFont="1" applyBorder="1" applyAlignment="1" applyProtection="1">
      <alignment horizontal="center"/>
      <protection locked="0"/>
    </xf>
    <xf numFmtId="166" fontId="4" fillId="0" borderId="13" xfId="0" applyNumberFormat="1" applyFont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3" fillId="0" borderId="19" xfId="0" applyFont="1" applyBorder="1" applyAlignment="1">
      <alignment vertical="center"/>
    </xf>
    <xf numFmtId="0" fontId="3" fillId="0" borderId="21" xfId="0" applyFont="1" applyBorder="1" applyAlignment="1">
      <alignment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HD/PID/2021/PID-janu&#225;r-2021/PID-2021-01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HD/PID/2021/PID-janu&#225;r-2021/PID-2021-01-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HD/PID/2021/PID-janu&#225;r-2021/PID-2021-01-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HD/PID/2021/PID-janu&#225;r-2021/PID-2021-01-2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VHD/PID/2021/PID-janu&#225;r-2021/PID-2021-01-2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VHD/PID/2021/PID-janu&#225;r-2021/PID-2021-01-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HD/PID/2021/PID-janu&#225;r-2021/PID-2021-01-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vodka"/>
      <sheetName val="List1"/>
      <sheetName val="List2"/>
    </sheetNames>
    <sheetDataSet>
      <sheetData sheetId="0" refreshError="1">
        <row r="9">
          <cell r="C9">
            <v>560.30999999999995</v>
          </cell>
          <cell r="D9">
            <v>255803.16899999999</v>
          </cell>
          <cell r="E9">
            <v>12</v>
          </cell>
          <cell r="F9" t="str">
            <v>0/0</v>
          </cell>
          <cell r="G9" t="str">
            <v>290/31</v>
          </cell>
          <cell r="H9">
            <v>2.1</v>
          </cell>
        </row>
        <row r="10">
          <cell r="C10">
            <v>598.83000000000004</v>
          </cell>
          <cell r="D10">
            <v>245108.34</v>
          </cell>
          <cell r="E10">
            <v>5.2</v>
          </cell>
          <cell r="F10" t="str">
            <v>0/0</v>
          </cell>
          <cell r="G10" t="str">
            <v>0/21</v>
          </cell>
          <cell r="H10">
            <v>1.8</v>
          </cell>
        </row>
        <row r="11">
          <cell r="C11">
            <v>774.8</v>
          </cell>
          <cell r="D11">
            <v>9140.1810000000005</v>
          </cell>
          <cell r="E11">
            <v>0.86899999999999999</v>
          </cell>
          <cell r="F11">
            <v>0.39</v>
          </cell>
          <cell r="G11">
            <v>0.13100000000000001</v>
          </cell>
          <cell r="H11">
            <v>3.5</v>
          </cell>
        </row>
        <row r="12">
          <cell r="C12">
            <v>596.33000000000004</v>
          </cell>
          <cell r="D12">
            <v>26365.806</v>
          </cell>
          <cell r="E12" t="str">
            <v>-</v>
          </cell>
          <cell r="F12">
            <v>1</v>
          </cell>
          <cell r="G12">
            <v>0.22500000000000001</v>
          </cell>
          <cell r="H12">
            <v>1.8</v>
          </cell>
        </row>
        <row r="13">
          <cell r="C13">
            <v>325.17</v>
          </cell>
          <cell r="D13">
            <v>4064.335</v>
          </cell>
          <cell r="E13">
            <v>7.2</v>
          </cell>
          <cell r="F13">
            <v>5</v>
          </cell>
          <cell r="G13">
            <v>0</v>
          </cell>
          <cell r="H13">
            <v>0.4</v>
          </cell>
        </row>
        <row r="14">
          <cell r="C14">
            <v>123.62</v>
          </cell>
          <cell r="D14">
            <v>61360.324000000001</v>
          </cell>
          <cell r="E14" t="str">
            <v>-</v>
          </cell>
          <cell r="F14">
            <v>7</v>
          </cell>
          <cell r="G14">
            <v>0</v>
          </cell>
          <cell r="H14">
            <v>1.2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vodka"/>
      <sheetName val="List1"/>
      <sheetName val="List2"/>
    </sheetNames>
    <sheetDataSet>
      <sheetData sheetId="0" refreshError="1">
        <row r="9">
          <cell r="C9">
            <v>560.17999999999995</v>
          </cell>
          <cell r="D9">
            <v>253455.63500000001</v>
          </cell>
          <cell r="E9">
            <v>11.9</v>
          </cell>
          <cell r="F9" t="str">
            <v>0/0</v>
          </cell>
          <cell r="G9" t="str">
            <v>151/32</v>
          </cell>
          <cell r="H9">
            <v>2.1</v>
          </cell>
        </row>
        <row r="10">
          <cell r="C10">
            <v>598.75</v>
          </cell>
          <cell r="D10">
            <v>242905.05</v>
          </cell>
          <cell r="E10">
            <v>5.3</v>
          </cell>
          <cell r="F10" t="str">
            <v>0/0</v>
          </cell>
          <cell r="G10" t="str">
            <v>0/25</v>
          </cell>
          <cell r="H10">
            <v>1.8</v>
          </cell>
        </row>
        <row r="11">
          <cell r="C11">
            <v>774.78</v>
          </cell>
          <cell r="D11">
            <v>9130.5931999999993</v>
          </cell>
          <cell r="E11">
            <v>0.88600000000000001</v>
          </cell>
          <cell r="F11">
            <v>0.38</v>
          </cell>
          <cell r="G11">
            <v>0.13200000000000001</v>
          </cell>
          <cell r="H11">
            <v>3.8</v>
          </cell>
        </row>
        <row r="12">
          <cell r="C12">
            <v>596.29999999999995</v>
          </cell>
          <cell r="D12">
            <v>26319.109</v>
          </cell>
          <cell r="E12" t="str">
            <v>-</v>
          </cell>
          <cell r="F12">
            <v>1</v>
          </cell>
          <cell r="G12">
            <v>0.23</v>
          </cell>
          <cell r="H12">
            <v>1</v>
          </cell>
        </row>
        <row r="13">
          <cell r="C13">
            <v>324.41000000000003</v>
          </cell>
          <cell r="D13">
            <v>2823.5189999999998</v>
          </cell>
          <cell r="E13">
            <v>5.3</v>
          </cell>
          <cell r="F13">
            <v>5</v>
          </cell>
          <cell r="G13">
            <v>0</v>
          </cell>
          <cell r="H13">
            <v>0.3</v>
          </cell>
        </row>
        <row r="14">
          <cell r="C14">
            <v>123.38</v>
          </cell>
          <cell r="D14">
            <v>58793.635999999999</v>
          </cell>
          <cell r="E14" t="str">
            <v>-</v>
          </cell>
          <cell r="F14">
            <v>7</v>
          </cell>
          <cell r="G14">
            <v>0</v>
          </cell>
          <cell r="H14">
            <v>1.8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vodka"/>
      <sheetName val="List1"/>
      <sheetName val="List2"/>
    </sheetNames>
    <sheetDataSet>
      <sheetData sheetId="0" refreshError="1">
        <row r="9">
          <cell r="C9">
            <v>560.11</v>
          </cell>
          <cell r="D9">
            <v>252196.60200000001</v>
          </cell>
          <cell r="E9">
            <v>12.1</v>
          </cell>
          <cell r="F9" t="str">
            <v>0/0</v>
          </cell>
          <cell r="G9" t="str">
            <v>0/32</v>
          </cell>
          <cell r="H9">
            <v>2.1</v>
          </cell>
        </row>
        <row r="10">
          <cell r="C10">
            <v>598.71</v>
          </cell>
          <cell r="D10">
            <v>241806.69</v>
          </cell>
          <cell r="E10">
            <v>5.3</v>
          </cell>
          <cell r="F10" t="str">
            <v>0/0</v>
          </cell>
          <cell r="G10" t="str">
            <v>0/21</v>
          </cell>
          <cell r="H10">
            <v>1.8</v>
          </cell>
        </row>
        <row r="11">
          <cell r="C11">
            <v>774.77</v>
          </cell>
          <cell r="D11">
            <v>9125.7993000000006</v>
          </cell>
          <cell r="E11">
            <v>0.89800000000000002</v>
          </cell>
          <cell r="F11">
            <v>0.38500000000000001</v>
          </cell>
          <cell r="G11">
            <v>0.126</v>
          </cell>
          <cell r="H11">
            <v>3.9</v>
          </cell>
        </row>
        <row r="12">
          <cell r="C12">
            <v>596.28</v>
          </cell>
          <cell r="D12">
            <v>26287.976999999999</v>
          </cell>
          <cell r="E12" t="str">
            <v>-</v>
          </cell>
          <cell r="F12">
            <v>1</v>
          </cell>
          <cell r="G12">
            <v>0.22</v>
          </cell>
          <cell r="H12">
            <v>1</v>
          </cell>
        </row>
        <row r="13">
          <cell r="C13">
            <v>324.58999999999997</v>
          </cell>
          <cell r="D13">
            <v>3112.4450000000002</v>
          </cell>
          <cell r="E13">
            <v>7.3</v>
          </cell>
          <cell r="F13">
            <v>5</v>
          </cell>
          <cell r="G13">
            <v>0</v>
          </cell>
          <cell r="H13">
            <v>0.1</v>
          </cell>
        </row>
        <row r="14">
          <cell r="C14">
            <v>123.41</v>
          </cell>
          <cell r="D14">
            <v>59113.103999999999</v>
          </cell>
          <cell r="E14" t="str">
            <v>-</v>
          </cell>
          <cell r="F14">
            <v>7</v>
          </cell>
          <cell r="G14">
            <v>0</v>
          </cell>
          <cell r="H14">
            <v>1.8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vodka"/>
      <sheetName val="List1"/>
      <sheetName val="List2"/>
    </sheetNames>
    <sheetDataSet>
      <sheetData sheetId="0" refreshError="1">
        <row r="9">
          <cell r="C9">
            <v>560.04999999999995</v>
          </cell>
          <cell r="D9">
            <v>251120.231</v>
          </cell>
          <cell r="E9">
            <v>12</v>
          </cell>
          <cell r="F9" t="str">
            <v>0/0</v>
          </cell>
          <cell r="G9" t="str">
            <v>0/33</v>
          </cell>
          <cell r="H9">
            <v>2.2999999999999998</v>
          </cell>
        </row>
        <row r="10">
          <cell r="C10">
            <v>598.67999999999995</v>
          </cell>
          <cell r="D10">
            <v>240986.23999999999</v>
          </cell>
          <cell r="E10">
            <v>5.5</v>
          </cell>
          <cell r="F10" t="str">
            <v>0/0</v>
          </cell>
          <cell r="G10" t="str">
            <v>0/22</v>
          </cell>
          <cell r="H10">
            <v>1.8</v>
          </cell>
        </row>
        <row r="11">
          <cell r="C11">
            <v>774.75</v>
          </cell>
          <cell r="D11">
            <v>9116.2114999999994</v>
          </cell>
          <cell r="E11">
            <v>0.875</v>
          </cell>
          <cell r="F11">
            <v>0.38</v>
          </cell>
          <cell r="G11">
            <v>0.13</v>
          </cell>
          <cell r="H11">
            <v>3.9</v>
          </cell>
        </row>
        <row r="12">
          <cell r="C12">
            <v>596.24</v>
          </cell>
          <cell r="D12">
            <v>26225.713</v>
          </cell>
          <cell r="E12" t="str">
            <v>-</v>
          </cell>
          <cell r="F12">
            <v>1</v>
          </cell>
          <cell r="G12">
            <v>0.22500000000000001</v>
          </cell>
          <cell r="H12">
            <v>1</v>
          </cell>
        </row>
        <row r="13">
          <cell r="C13">
            <v>325.3</v>
          </cell>
          <cell r="D13">
            <v>4279.6440000000002</v>
          </cell>
          <cell r="E13">
            <v>7.3</v>
          </cell>
          <cell r="F13">
            <v>5</v>
          </cell>
          <cell r="G13">
            <v>0</v>
          </cell>
          <cell r="H13">
            <v>0.8</v>
          </cell>
        </row>
        <row r="14">
          <cell r="C14">
            <v>123.46</v>
          </cell>
          <cell r="D14">
            <v>59646.351999999999</v>
          </cell>
          <cell r="E14" t="str">
            <v>-</v>
          </cell>
          <cell r="F14">
            <v>7</v>
          </cell>
          <cell r="G14">
            <v>0</v>
          </cell>
          <cell r="H14">
            <v>1.9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vodka"/>
      <sheetName val="List1"/>
      <sheetName val="List2"/>
    </sheetNames>
    <sheetDataSet>
      <sheetData sheetId="0" refreshError="1">
        <row r="9">
          <cell r="C9">
            <v>559.91</v>
          </cell>
          <cell r="D9">
            <v>248618.747</v>
          </cell>
          <cell r="E9">
            <v>12.7</v>
          </cell>
          <cell r="F9" t="str">
            <v>0/0</v>
          </cell>
          <cell r="G9" t="str">
            <v>0/33</v>
          </cell>
          <cell r="H9">
            <v>2.2000000000000002</v>
          </cell>
        </row>
        <row r="10">
          <cell r="C10">
            <v>598.62</v>
          </cell>
          <cell r="D10">
            <v>239348.66</v>
          </cell>
          <cell r="E10">
            <v>5.6</v>
          </cell>
          <cell r="F10" t="str">
            <v>0/0</v>
          </cell>
          <cell r="G10" t="str">
            <v>0/20</v>
          </cell>
          <cell r="H10">
            <v>1.8</v>
          </cell>
        </row>
        <row r="11">
          <cell r="C11">
            <v>774.73</v>
          </cell>
          <cell r="D11">
            <v>9106.6237000000001</v>
          </cell>
          <cell r="E11">
            <v>0.878</v>
          </cell>
          <cell r="F11">
            <v>0.375</v>
          </cell>
          <cell r="G11">
            <v>0.13</v>
          </cell>
          <cell r="H11">
            <v>4</v>
          </cell>
        </row>
        <row r="12">
          <cell r="C12">
            <v>596.19000000000005</v>
          </cell>
          <cell r="D12">
            <v>26147.999</v>
          </cell>
          <cell r="E12" t="str">
            <v>-</v>
          </cell>
          <cell r="F12">
            <v>1</v>
          </cell>
          <cell r="G12">
            <v>0.215</v>
          </cell>
          <cell r="H12">
            <v>1</v>
          </cell>
        </row>
        <row r="13">
          <cell r="C13">
            <v>325.56</v>
          </cell>
          <cell r="D13">
            <v>4711.6229999999996</v>
          </cell>
          <cell r="E13">
            <v>8.1</v>
          </cell>
          <cell r="F13">
            <v>5</v>
          </cell>
          <cell r="G13">
            <v>88</v>
          </cell>
          <cell r="H13">
            <v>1.6</v>
          </cell>
        </row>
        <row r="14">
          <cell r="C14">
            <v>123.53</v>
          </cell>
          <cell r="D14">
            <v>60394.923999999999</v>
          </cell>
          <cell r="E14" t="str">
            <v>-</v>
          </cell>
          <cell r="F14">
            <v>0</v>
          </cell>
          <cell r="G14">
            <v>271</v>
          </cell>
          <cell r="H14">
            <v>1.8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vodka"/>
      <sheetName val="List1"/>
      <sheetName val="List2"/>
    </sheetNames>
    <sheetDataSet>
      <sheetData sheetId="0" refreshError="1">
        <row r="9">
          <cell r="C9">
            <v>559.76</v>
          </cell>
          <cell r="D9">
            <v>245954.198</v>
          </cell>
          <cell r="E9">
            <v>18.8</v>
          </cell>
          <cell r="F9" t="str">
            <v>0/0</v>
          </cell>
          <cell r="G9" t="str">
            <v>0/15</v>
          </cell>
          <cell r="H9">
            <v>2.2999999999999998</v>
          </cell>
        </row>
        <row r="10">
          <cell r="C10">
            <v>598.61</v>
          </cell>
          <cell r="D10">
            <v>239075.73</v>
          </cell>
          <cell r="E10">
            <v>23.7</v>
          </cell>
          <cell r="F10" t="str">
            <v>0/0</v>
          </cell>
          <cell r="G10" t="str">
            <v>0/6</v>
          </cell>
          <cell r="H10">
            <v>1.8</v>
          </cell>
        </row>
        <row r="11">
          <cell r="C11">
            <v>774.72</v>
          </cell>
          <cell r="D11">
            <v>9101.8297999999995</v>
          </cell>
          <cell r="E11">
            <v>0.94</v>
          </cell>
          <cell r="F11">
            <v>0.38</v>
          </cell>
          <cell r="G11">
            <v>0.13</v>
          </cell>
          <cell r="H11">
            <v>4</v>
          </cell>
        </row>
        <row r="12">
          <cell r="C12">
            <v>596.22</v>
          </cell>
          <cell r="D12">
            <v>26194.580999999998</v>
          </cell>
          <cell r="E12" t="str">
            <v>-</v>
          </cell>
          <cell r="F12">
            <v>1</v>
          </cell>
          <cell r="G12">
            <v>0.215</v>
          </cell>
          <cell r="H12">
            <v>1</v>
          </cell>
        </row>
        <row r="13">
          <cell r="C13">
            <v>325.56</v>
          </cell>
          <cell r="D13">
            <v>4711.6229999999996</v>
          </cell>
          <cell r="E13">
            <v>54.5</v>
          </cell>
          <cell r="F13">
            <v>5</v>
          </cell>
          <cell r="G13">
            <v>82</v>
          </cell>
          <cell r="H13">
            <v>0.3</v>
          </cell>
        </row>
        <row r="14">
          <cell r="C14">
            <v>123.37</v>
          </cell>
          <cell r="D14">
            <v>58687.34</v>
          </cell>
          <cell r="E14" t="str">
            <v>-</v>
          </cell>
          <cell r="F14">
            <v>0</v>
          </cell>
          <cell r="G14">
            <v>119</v>
          </cell>
          <cell r="H14">
            <v>2.1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vodka"/>
      <sheetName val="List1"/>
      <sheetName val="List2"/>
    </sheetNames>
    <sheetDataSet>
      <sheetData sheetId="0" refreshError="1">
        <row r="9">
          <cell r="C9">
            <v>560.13</v>
          </cell>
          <cell r="D9">
            <v>252555.967</v>
          </cell>
          <cell r="E9">
            <v>42.4</v>
          </cell>
          <cell r="F9" t="str">
            <v>0/0</v>
          </cell>
          <cell r="G9" t="str">
            <v>0/11</v>
          </cell>
          <cell r="H9">
            <v>2.2000000000000002</v>
          </cell>
        </row>
        <row r="10">
          <cell r="C10">
            <v>598.72</v>
          </cell>
          <cell r="D10">
            <v>242081.28</v>
          </cell>
          <cell r="E10">
            <v>45.3</v>
          </cell>
          <cell r="F10" t="str">
            <v>0/0</v>
          </cell>
          <cell r="G10" t="str">
            <v>0/5</v>
          </cell>
          <cell r="H10">
            <v>2</v>
          </cell>
        </row>
        <row r="11">
          <cell r="C11">
            <v>774.76</v>
          </cell>
          <cell r="D11">
            <v>9121.0054</v>
          </cell>
          <cell r="E11">
            <v>1.05</v>
          </cell>
          <cell r="F11">
            <v>0.4</v>
          </cell>
          <cell r="G11">
            <v>0.13</v>
          </cell>
          <cell r="H11">
            <v>4</v>
          </cell>
        </row>
        <row r="12">
          <cell r="C12">
            <v>596.45000000000005</v>
          </cell>
          <cell r="D12">
            <v>26553.173999999999</v>
          </cell>
          <cell r="E12" t="str">
            <v>-</v>
          </cell>
          <cell r="F12">
            <v>1</v>
          </cell>
          <cell r="G12">
            <v>0.23</v>
          </cell>
          <cell r="H12">
            <v>1</v>
          </cell>
        </row>
        <row r="13">
          <cell r="C13">
            <v>325.45999999999998</v>
          </cell>
          <cell r="D13">
            <v>4545.299</v>
          </cell>
          <cell r="E13">
            <v>90.2</v>
          </cell>
          <cell r="F13">
            <v>5</v>
          </cell>
          <cell r="G13">
            <v>243</v>
          </cell>
          <cell r="H13">
            <v>0.2</v>
          </cell>
        </row>
        <row r="14">
          <cell r="C14">
            <v>123.42</v>
          </cell>
          <cell r="D14">
            <v>59219.62</v>
          </cell>
          <cell r="E14" t="str">
            <v>-</v>
          </cell>
          <cell r="F14">
            <v>0</v>
          </cell>
          <cell r="G14">
            <v>115</v>
          </cell>
          <cell r="H14">
            <v>2.4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0C79-C6C8-4098-B93A-919700DF8961}">
  <dimension ref="A1:K46"/>
  <sheetViews>
    <sheetView tabSelected="1" workbookViewId="0">
      <selection activeCell="O4" sqref="O4"/>
    </sheetView>
  </sheetViews>
  <sheetFormatPr defaultRowHeight="14.4" x14ac:dyDescent="0.3"/>
  <cols>
    <col min="1" max="1" width="29.6640625" customWidth="1"/>
    <col min="4" max="4" width="12.109375" customWidth="1"/>
    <col min="5" max="5" width="10.5546875" customWidth="1"/>
    <col min="7" max="7" width="11.21875" customWidth="1"/>
  </cols>
  <sheetData>
    <row r="1" spans="1:11" ht="14.4" customHeight="1" x14ac:dyDescent="0.3">
      <c r="A1" s="57" t="s">
        <v>0</v>
      </c>
      <c r="B1" s="67" t="s">
        <v>1</v>
      </c>
      <c r="C1" s="51" t="s">
        <v>9</v>
      </c>
      <c r="D1" s="61" t="s">
        <v>12</v>
      </c>
      <c r="E1" s="64" t="s">
        <v>8</v>
      </c>
      <c r="F1" s="61" t="s">
        <v>11</v>
      </c>
      <c r="G1" s="64" t="s">
        <v>10</v>
      </c>
      <c r="H1" s="51" t="s">
        <v>13</v>
      </c>
      <c r="I1" s="51" t="s">
        <v>14</v>
      </c>
      <c r="J1" s="51" t="s">
        <v>15</v>
      </c>
      <c r="K1" s="54" t="s">
        <v>16</v>
      </c>
    </row>
    <row r="2" spans="1:11" ht="14.4" customHeight="1" x14ac:dyDescent="0.3">
      <c r="A2" s="58"/>
      <c r="B2" s="68"/>
      <c r="C2" s="52"/>
      <c r="D2" s="62"/>
      <c r="E2" s="65"/>
      <c r="F2" s="62"/>
      <c r="G2" s="65"/>
      <c r="H2" s="52"/>
      <c r="I2" s="52"/>
      <c r="J2" s="52"/>
      <c r="K2" s="55"/>
    </row>
    <row r="3" spans="1:11" x14ac:dyDescent="0.3">
      <c r="A3" s="59"/>
      <c r="B3" s="69"/>
      <c r="C3" s="52"/>
      <c r="D3" s="62"/>
      <c r="E3" s="65"/>
      <c r="F3" s="62"/>
      <c r="G3" s="65"/>
      <c r="H3" s="52"/>
      <c r="I3" s="52"/>
      <c r="J3" s="52"/>
      <c r="K3" s="55"/>
    </row>
    <row r="4" spans="1:11" ht="15" thickBot="1" x14ac:dyDescent="0.35">
      <c r="A4" s="60"/>
      <c r="B4" s="70"/>
      <c r="C4" s="53"/>
      <c r="D4" s="63"/>
      <c r="E4" s="66"/>
      <c r="F4" s="63"/>
      <c r="G4" s="66"/>
      <c r="H4" s="53"/>
      <c r="I4" s="53"/>
      <c r="J4" s="53"/>
      <c r="K4" s="56"/>
    </row>
    <row r="5" spans="1:11" ht="15" thickBot="1" x14ac:dyDescent="0.35">
      <c r="A5" s="71" t="s">
        <v>2</v>
      </c>
      <c r="B5" s="49">
        <v>44214</v>
      </c>
      <c r="C5" s="1">
        <f>[1]zvodka!$C$9</f>
        <v>560.30999999999995</v>
      </c>
      <c r="D5" s="2">
        <f t="shared" ref="D5:D11" si="0">+IF(F5&lt;=0," ",F5-25)</f>
        <v>230.803169</v>
      </c>
      <c r="E5" s="3">
        <f t="shared" ref="E5:E11" si="1">IF(F5=0," ",IF(D5&gt;320,"100",ROUND(100*D5/320,0)))</f>
        <v>72</v>
      </c>
      <c r="F5" s="4">
        <f>([1]zvodka!$D$9)/1000</f>
        <v>255.803169</v>
      </c>
      <c r="G5" s="3">
        <f t="shared" ref="G5:G11" si="2">IF(F5=0," ",ROUND(100*F5/345.6,0))</f>
        <v>74</v>
      </c>
      <c r="H5" s="5">
        <f>[1]zvodka!$E$9</f>
        <v>12</v>
      </c>
      <c r="I5" s="5" t="str">
        <f>[1]zvodka!$F$9</f>
        <v>0/0</v>
      </c>
      <c r="J5" s="6" t="str">
        <f>[1]zvodka!$G$9</f>
        <v>290/31</v>
      </c>
      <c r="K5" s="7">
        <f>[1]zvodka!$H$9</f>
        <v>2.1</v>
      </c>
    </row>
    <row r="6" spans="1:11" ht="15" thickBot="1" x14ac:dyDescent="0.35">
      <c r="A6" s="71" t="s">
        <v>2</v>
      </c>
      <c r="B6" s="50">
        <v>44215</v>
      </c>
      <c r="C6" s="8">
        <f>[2]zvodka!$C$9</f>
        <v>560.17999999999995</v>
      </c>
      <c r="D6" s="9">
        <f t="shared" si="0"/>
        <v>228.455635</v>
      </c>
      <c r="E6" s="10">
        <f t="shared" si="1"/>
        <v>71</v>
      </c>
      <c r="F6" s="11">
        <f>([2]zvodka!$D$9)/1000</f>
        <v>253.455635</v>
      </c>
      <c r="G6" s="10">
        <f t="shared" si="2"/>
        <v>73</v>
      </c>
      <c r="H6" s="12">
        <f>[2]zvodka!$E$9</f>
        <v>11.9</v>
      </c>
      <c r="I6" s="12" t="str">
        <f>[2]zvodka!$F$9</f>
        <v>0/0</v>
      </c>
      <c r="J6" s="13" t="str">
        <f>[2]zvodka!$G$9</f>
        <v>151/32</v>
      </c>
      <c r="K6" s="14">
        <f>[2]zvodka!$H$9</f>
        <v>2.1</v>
      </c>
    </row>
    <row r="7" spans="1:11" ht="15" thickBot="1" x14ac:dyDescent="0.35">
      <c r="A7" s="71" t="s">
        <v>2</v>
      </c>
      <c r="B7" s="50">
        <v>44216</v>
      </c>
      <c r="C7" s="8">
        <f>[3]zvodka!$C$9</f>
        <v>560.11</v>
      </c>
      <c r="D7" s="9">
        <f t="shared" si="0"/>
        <v>227.19660200000001</v>
      </c>
      <c r="E7" s="10">
        <f t="shared" si="1"/>
        <v>71</v>
      </c>
      <c r="F7" s="11">
        <f>([3]zvodka!$D$9)/1000</f>
        <v>252.19660200000001</v>
      </c>
      <c r="G7" s="10">
        <f t="shared" si="2"/>
        <v>73</v>
      </c>
      <c r="H7" s="12">
        <f>[3]zvodka!$E$9</f>
        <v>12.1</v>
      </c>
      <c r="I7" s="12" t="str">
        <f>[3]zvodka!$F$9</f>
        <v>0/0</v>
      </c>
      <c r="J7" s="13" t="str">
        <f>[3]zvodka!$G$9</f>
        <v>0/32</v>
      </c>
      <c r="K7" s="14">
        <f>[3]zvodka!$H$9</f>
        <v>2.1</v>
      </c>
    </row>
    <row r="8" spans="1:11" ht="15" thickBot="1" x14ac:dyDescent="0.35">
      <c r="A8" s="71" t="s">
        <v>2</v>
      </c>
      <c r="B8" s="50">
        <v>44217</v>
      </c>
      <c r="C8" s="8">
        <f>[4]zvodka!$C$9</f>
        <v>560.04999999999995</v>
      </c>
      <c r="D8" s="9">
        <f t="shared" si="0"/>
        <v>226.12023099999999</v>
      </c>
      <c r="E8" s="10">
        <f t="shared" si="1"/>
        <v>71</v>
      </c>
      <c r="F8" s="11">
        <f>([4]zvodka!$D$9)/1000</f>
        <v>251.12023099999999</v>
      </c>
      <c r="G8" s="10">
        <f t="shared" si="2"/>
        <v>73</v>
      </c>
      <c r="H8" s="12">
        <f>[4]zvodka!$E$9</f>
        <v>12</v>
      </c>
      <c r="I8" s="12" t="str">
        <f>[4]zvodka!$F$9</f>
        <v>0/0</v>
      </c>
      <c r="J8" s="13" t="str">
        <f>[4]zvodka!$G$9</f>
        <v>0/33</v>
      </c>
      <c r="K8" s="14">
        <f>[4]zvodka!$H$9</f>
        <v>2.2999999999999998</v>
      </c>
    </row>
    <row r="9" spans="1:11" ht="15" thickBot="1" x14ac:dyDescent="0.35">
      <c r="A9" s="71" t="s">
        <v>2</v>
      </c>
      <c r="B9" s="50">
        <v>44218</v>
      </c>
      <c r="C9" s="8">
        <f>[5]zvodka!$C$9</f>
        <v>559.91</v>
      </c>
      <c r="D9" s="9">
        <f>+IF(F9&lt;=0," ",F9-25)</f>
        <v>223.61874700000001</v>
      </c>
      <c r="E9" s="10">
        <f>IF(F9=0," ",IF(D9&gt;320,"100",ROUND(100*D9/320,0)))</f>
        <v>70</v>
      </c>
      <c r="F9" s="11">
        <f>([5]zvodka!$D$9)/1000</f>
        <v>248.61874700000001</v>
      </c>
      <c r="G9" s="10">
        <f t="shared" si="2"/>
        <v>72</v>
      </c>
      <c r="H9" s="12">
        <f>[5]zvodka!$E$9</f>
        <v>12.7</v>
      </c>
      <c r="I9" s="12" t="str">
        <f>[5]zvodka!$F$9</f>
        <v>0/0</v>
      </c>
      <c r="J9" s="13" t="str">
        <f>[5]zvodka!$G$9</f>
        <v>0/33</v>
      </c>
      <c r="K9" s="14">
        <f>[5]zvodka!$H$9</f>
        <v>2.2000000000000002</v>
      </c>
    </row>
    <row r="10" spans="1:11" ht="15" thickBot="1" x14ac:dyDescent="0.35">
      <c r="A10" s="71" t="s">
        <v>2</v>
      </c>
      <c r="B10" s="50">
        <v>44219</v>
      </c>
      <c r="C10" s="8">
        <f>[6]zvodka!$C$9</f>
        <v>559.76</v>
      </c>
      <c r="D10" s="9">
        <f t="shared" si="0"/>
        <v>220.95419799999999</v>
      </c>
      <c r="E10" s="10">
        <f t="shared" si="1"/>
        <v>69</v>
      </c>
      <c r="F10" s="11">
        <f>([6]zvodka!$D$9)/1000</f>
        <v>245.95419799999999</v>
      </c>
      <c r="G10" s="10">
        <f t="shared" si="2"/>
        <v>71</v>
      </c>
      <c r="H10" s="12">
        <f>[6]zvodka!$E$9</f>
        <v>18.8</v>
      </c>
      <c r="I10" s="12" t="str">
        <f>[6]zvodka!$F$9</f>
        <v>0/0</v>
      </c>
      <c r="J10" s="13" t="str">
        <f>[6]zvodka!$G$9</f>
        <v>0/15</v>
      </c>
      <c r="K10" s="14">
        <f>[6]zvodka!$H$9</f>
        <v>2.2999999999999998</v>
      </c>
    </row>
    <row r="11" spans="1:11" ht="15" thickBot="1" x14ac:dyDescent="0.35">
      <c r="A11" s="71" t="s">
        <v>2</v>
      </c>
      <c r="B11" s="50">
        <v>44220</v>
      </c>
      <c r="C11" s="15">
        <f>[7]zvodka!$C$9</f>
        <v>560.13</v>
      </c>
      <c r="D11" s="2">
        <f t="shared" si="0"/>
        <v>227.55596700000001</v>
      </c>
      <c r="E11" s="3">
        <f t="shared" si="1"/>
        <v>71</v>
      </c>
      <c r="F11" s="16">
        <f>([7]zvodka!$D$9)/1000</f>
        <v>252.55596700000001</v>
      </c>
      <c r="G11" s="3">
        <f t="shared" si="2"/>
        <v>73</v>
      </c>
      <c r="H11" s="17">
        <f>[7]zvodka!$E$9</f>
        <v>42.4</v>
      </c>
      <c r="I11" s="17" t="str">
        <f>[7]zvodka!$F$9</f>
        <v>0/0</v>
      </c>
      <c r="J11" s="18" t="str">
        <f>[7]zvodka!$G$9</f>
        <v>0/11</v>
      </c>
      <c r="K11" s="19">
        <f>[7]zvodka!$H$9</f>
        <v>2.2000000000000002</v>
      </c>
    </row>
    <row r="12" spans="1:11" x14ac:dyDescent="0.3">
      <c r="A12" s="72" t="s">
        <v>3</v>
      </c>
      <c r="B12" s="49">
        <v>44214</v>
      </c>
      <c r="C12" s="20">
        <f>[1]zvodka!$C$10</f>
        <v>598.83000000000004</v>
      </c>
      <c r="D12" s="21">
        <f t="shared" ref="D12:D18" si="3">+IF(F12&lt;=0," ",F12-32.42)</f>
        <v>212.68833999999998</v>
      </c>
      <c r="E12" s="22">
        <f t="shared" ref="E12:E18" si="4">IF(F12=0," ",IF(D12&gt;303.794,"100",ROUND(100*D12/303.794,0)))</f>
        <v>70</v>
      </c>
      <c r="F12" s="23">
        <f>([1]zvodka!$D$10)/1000</f>
        <v>245.10834</v>
      </c>
      <c r="G12" s="22">
        <f t="shared" ref="G12:G18" si="5">IF(F12=0," ",ROUND(100*F12/336.214,0))</f>
        <v>73</v>
      </c>
      <c r="H12" s="24">
        <f>[1]zvodka!$E$10</f>
        <v>5.2</v>
      </c>
      <c r="I12" s="24" t="str">
        <f>[1]zvodka!$F$10</f>
        <v>0/0</v>
      </c>
      <c r="J12" s="25" t="str">
        <f>[1]zvodka!$G$10</f>
        <v>0/21</v>
      </c>
      <c r="K12" s="26">
        <f>[1]zvodka!$H$10</f>
        <v>1.8</v>
      </c>
    </row>
    <row r="13" spans="1:11" x14ac:dyDescent="0.3">
      <c r="A13" s="72" t="s">
        <v>3</v>
      </c>
      <c r="B13" s="50">
        <v>44215</v>
      </c>
      <c r="C13" s="27">
        <f>[2]zvodka!$C$10</f>
        <v>598.75</v>
      </c>
      <c r="D13" s="28">
        <f t="shared" si="3"/>
        <v>210.48505</v>
      </c>
      <c r="E13" s="29">
        <f t="shared" si="4"/>
        <v>69</v>
      </c>
      <c r="F13" s="30">
        <f>([2]zvodka!$D$10)/1000</f>
        <v>242.90504999999999</v>
      </c>
      <c r="G13" s="29">
        <f t="shared" si="5"/>
        <v>72</v>
      </c>
      <c r="H13" s="31">
        <f>[2]zvodka!$E$10</f>
        <v>5.3</v>
      </c>
      <c r="I13" s="31" t="str">
        <f>[2]zvodka!$F$10</f>
        <v>0/0</v>
      </c>
      <c r="J13" s="32" t="str">
        <f>[2]zvodka!$G$10</f>
        <v>0/25</v>
      </c>
      <c r="K13" s="33">
        <f>[2]zvodka!$H$10</f>
        <v>1.8</v>
      </c>
    </row>
    <row r="14" spans="1:11" x14ac:dyDescent="0.3">
      <c r="A14" s="72" t="s">
        <v>3</v>
      </c>
      <c r="B14" s="50">
        <v>44216</v>
      </c>
      <c r="C14" s="8">
        <f>[3]zvodka!$C$10</f>
        <v>598.71</v>
      </c>
      <c r="D14" s="28">
        <f t="shared" si="3"/>
        <v>209.38668999999999</v>
      </c>
      <c r="E14" s="29">
        <f t="shared" si="4"/>
        <v>69</v>
      </c>
      <c r="F14" s="11">
        <f>([3]zvodka!$D$10)/1000</f>
        <v>241.80669</v>
      </c>
      <c r="G14" s="29">
        <f t="shared" si="5"/>
        <v>72</v>
      </c>
      <c r="H14" s="12">
        <f>[3]zvodka!$E$10</f>
        <v>5.3</v>
      </c>
      <c r="I14" s="12" t="str">
        <f>[3]zvodka!$F$10</f>
        <v>0/0</v>
      </c>
      <c r="J14" s="13" t="str">
        <f>[3]zvodka!$G$10</f>
        <v>0/21</v>
      </c>
      <c r="K14" s="14">
        <f>[3]zvodka!$H$10</f>
        <v>1.8</v>
      </c>
    </row>
    <row r="15" spans="1:11" x14ac:dyDescent="0.3">
      <c r="A15" s="72" t="s">
        <v>3</v>
      </c>
      <c r="B15" s="50">
        <v>44217</v>
      </c>
      <c r="C15" s="8">
        <f>[4]zvodka!$C$10</f>
        <v>598.67999999999995</v>
      </c>
      <c r="D15" s="28">
        <f t="shared" si="3"/>
        <v>208.56623999999999</v>
      </c>
      <c r="E15" s="29">
        <f t="shared" si="4"/>
        <v>69</v>
      </c>
      <c r="F15" s="11">
        <f>([4]zvodka!$D$10)/1000</f>
        <v>240.98623999999998</v>
      </c>
      <c r="G15" s="29">
        <f t="shared" si="5"/>
        <v>72</v>
      </c>
      <c r="H15" s="12">
        <f>[4]zvodka!$E$10</f>
        <v>5.5</v>
      </c>
      <c r="I15" s="12" t="str">
        <f>[4]zvodka!$F$10</f>
        <v>0/0</v>
      </c>
      <c r="J15" s="13" t="str">
        <f>[4]zvodka!$G$10</f>
        <v>0/22</v>
      </c>
      <c r="K15" s="14">
        <f>[4]zvodka!$H$10</f>
        <v>1.8</v>
      </c>
    </row>
    <row r="16" spans="1:11" x14ac:dyDescent="0.3">
      <c r="A16" s="72" t="s">
        <v>3</v>
      </c>
      <c r="B16" s="50">
        <v>44218</v>
      </c>
      <c r="C16" s="8">
        <f>[5]zvodka!$C$10</f>
        <v>598.62</v>
      </c>
      <c r="D16" s="28">
        <f>+IF(F16&lt;=0," ",F16-32.42)</f>
        <v>206.92865999999998</v>
      </c>
      <c r="E16" s="29">
        <f>IF(F16=0," ",IF(D16&gt;303.794,"100",ROUND(100*D16/303.794,0)))</f>
        <v>68</v>
      </c>
      <c r="F16" s="11">
        <f>([5]zvodka!$D$10)/1000</f>
        <v>239.34866</v>
      </c>
      <c r="G16" s="29">
        <f t="shared" si="5"/>
        <v>71</v>
      </c>
      <c r="H16" s="12">
        <f>[5]zvodka!$E$10</f>
        <v>5.6</v>
      </c>
      <c r="I16" s="12" t="str">
        <f>[5]zvodka!$F$10</f>
        <v>0/0</v>
      </c>
      <c r="J16" s="13" t="str">
        <f>[5]zvodka!$G$10</f>
        <v>0/20</v>
      </c>
      <c r="K16" s="14">
        <f>[5]zvodka!$H$10</f>
        <v>1.8</v>
      </c>
    </row>
    <row r="17" spans="1:11" x14ac:dyDescent="0.3">
      <c r="A17" s="72" t="s">
        <v>3</v>
      </c>
      <c r="B17" s="50">
        <v>44219</v>
      </c>
      <c r="C17" s="8">
        <f>[6]zvodka!$C$10</f>
        <v>598.61</v>
      </c>
      <c r="D17" s="28">
        <f t="shared" si="3"/>
        <v>206.65573000000001</v>
      </c>
      <c r="E17" s="29">
        <f t="shared" si="4"/>
        <v>68</v>
      </c>
      <c r="F17" s="11">
        <f>([6]zvodka!$D$10)/1000</f>
        <v>239.07573000000002</v>
      </c>
      <c r="G17" s="29">
        <f t="shared" si="5"/>
        <v>71</v>
      </c>
      <c r="H17" s="12">
        <f>[6]zvodka!$E$10</f>
        <v>23.7</v>
      </c>
      <c r="I17" s="12" t="str">
        <f>[6]zvodka!$F$10</f>
        <v>0/0</v>
      </c>
      <c r="J17" s="13" t="str">
        <f>[6]zvodka!$G$10</f>
        <v>0/6</v>
      </c>
      <c r="K17" s="14">
        <f>[6]zvodka!$H$10</f>
        <v>1.8</v>
      </c>
    </row>
    <row r="18" spans="1:11" ht="15" thickBot="1" x14ac:dyDescent="0.35">
      <c r="A18" s="72" t="s">
        <v>3</v>
      </c>
      <c r="B18" s="50">
        <v>44220</v>
      </c>
      <c r="C18" s="15">
        <f>[7]zvodka!$C$10</f>
        <v>598.72</v>
      </c>
      <c r="D18" s="34">
        <f t="shared" si="3"/>
        <v>209.66127999999998</v>
      </c>
      <c r="E18" s="35">
        <f t="shared" si="4"/>
        <v>69</v>
      </c>
      <c r="F18" s="16">
        <f>([7]zvodka!$D$10)/1000</f>
        <v>242.08127999999999</v>
      </c>
      <c r="G18" s="35">
        <f t="shared" si="5"/>
        <v>72</v>
      </c>
      <c r="H18" s="17">
        <f>[7]zvodka!$E$10</f>
        <v>45.3</v>
      </c>
      <c r="I18" s="17" t="str">
        <f>[7]zvodka!$F$10</f>
        <v>0/0</v>
      </c>
      <c r="J18" s="18" t="str">
        <f>[7]zvodka!$G$10</f>
        <v>0/5</v>
      </c>
      <c r="K18" s="36">
        <f>[7]zvodka!$H$10</f>
        <v>2</v>
      </c>
    </row>
    <row r="19" spans="1:11" ht="15" thickBot="1" x14ac:dyDescent="0.35">
      <c r="A19" s="71" t="s">
        <v>4</v>
      </c>
      <c r="B19" s="49">
        <v>44214</v>
      </c>
      <c r="C19" s="20">
        <f>[1]zvodka!$C$11</f>
        <v>774.8</v>
      </c>
      <c r="D19" s="21">
        <f t="shared" ref="D19:D25" si="6">+IF(F19&lt;=0," ",F19-0.289)</f>
        <v>8.8511810000000004</v>
      </c>
      <c r="E19" s="22">
        <f t="shared" ref="E19:E25" si="7">IF(F19=0," ",IF(D19&gt;9.094,"100",ROUND(100*D19/9.094,0)))</f>
        <v>97</v>
      </c>
      <c r="F19" s="23">
        <f>([1]zvodka!$D$11)/1000</f>
        <v>9.1401810000000001</v>
      </c>
      <c r="G19" s="22">
        <f t="shared" ref="G19:G25" si="8">IF(F19=0," ",ROUND(100*F19/9.787,0))</f>
        <v>93</v>
      </c>
      <c r="H19" s="23">
        <f>[1]zvodka!$E$11</f>
        <v>0.86899999999999999</v>
      </c>
      <c r="I19" s="23">
        <f>[1]zvodka!$F$11</f>
        <v>0.39</v>
      </c>
      <c r="J19" s="37">
        <f>[1]zvodka!$G$11</f>
        <v>0.13100000000000001</v>
      </c>
      <c r="K19" s="33">
        <f>[1]zvodka!$H$11</f>
        <v>3.5</v>
      </c>
    </row>
    <row r="20" spans="1:11" ht="15" thickBot="1" x14ac:dyDescent="0.35">
      <c r="A20" s="71" t="s">
        <v>4</v>
      </c>
      <c r="B20" s="50">
        <v>44215</v>
      </c>
      <c r="C20" s="27">
        <f>[2]zvodka!$C$11</f>
        <v>774.78</v>
      </c>
      <c r="D20" s="9">
        <f t="shared" si="6"/>
        <v>8.8415932000000002</v>
      </c>
      <c r="E20" s="10">
        <f t="shared" si="7"/>
        <v>97</v>
      </c>
      <c r="F20" s="30">
        <f>([2]zvodka!$D$11)/1000</f>
        <v>9.1305931999999999</v>
      </c>
      <c r="G20" s="10">
        <f t="shared" si="8"/>
        <v>93</v>
      </c>
      <c r="H20" s="11">
        <f>[2]zvodka!$E$11</f>
        <v>0.88600000000000001</v>
      </c>
      <c r="I20" s="11">
        <f>[2]zvodka!$F$11</f>
        <v>0.38</v>
      </c>
      <c r="J20" s="38">
        <f>[2]zvodka!$G$11</f>
        <v>0.13200000000000001</v>
      </c>
      <c r="K20" s="14">
        <f>[2]zvodka!$H$11</f>
        <v>3.8</v>
      </c>
    </row>
    <row r="21" spans="1:11" ht="15" thickBot="1" x14ac:dyDescent="0.35">
      <c r="A21" s="71" t="s">
        <v>4</v>
      </c>
      <c r="B21" s="50">
        <v>44216</v>
      </c>
      <c r="C21" s="8">
        <f>[3]zvodka!$C$11</f>
        <v>774.77</v>
      </c>
      <c r="D21" s="9">
        <f t="shared" si="6"/>
        <v>8.8367993000000009</v>
      </c>
      <c r="E21" s="10">
        <f t="shared" si="7"/>
        <v>97</v>
      </c>
      <c r="F21" s="11">
        <f>([3]zvodka!$D$11)/1000</f>
        <v>9.1257993000000006</v>
      </c>
      <c r="G21" s="10">
        <f t="shared" si="8"/>
        <v>93</v>
      </c>
      <c r="H21" s="11">
        <f>[3]zvodka!$E$11</f>
        <v>0.89800000000000002</v>
      </c>
      <c r="I21" s="11">
        <f>[3]zvodka!$F$11</f>
        <v>0.38500000000000001</v>
      </c>
      <c r="J21" s="38">
        <f>[3]zvodka!$G$11</f>
        <v>0.126</v>
      </c>
      <c r="K21" s="14">
        <f>[3]zvodka!$H$11</f>
        <v>3.9</v>
      </c>
    </row>
    <row r="22" spans="1:11" ht="15" thickBot="1" x14ac:dyDescent="0.35">
      <c r="A22" s="71" t="s">
        <v>4</v>
      </c>
      <c r="B22" s="50">
        <v>44217</v>
      </c>
      <c r="C22" s="8">
        <f>[4]zvodka!$C$11</f>
        <v>774.75</v>
      </c>
      <c r="D22" s="9">
        <f t="shared" si="6"/>
        <v>8.8272114999999989</v>
      </c>
      <c r="E22" s="10">
        <f t="shared" si="7"/>
        <v>97</v>
      </c>
      <c r="F22" s="11">
        <f>([4]zvodka!$D$11)/1000</f>
        <v>9.1162114999999986</v>
      </c>
      <c r="G22" s="10">
        <f t="shared" si="8"/>
        <v>93</v>
      </c>
      <c r="H22" s="11">
        <f>[4]zvodka!$E$11</f>
        <v>0.875</v>
      </c>
      <c r="I22" s="11">
        <f>[4]zvodka!$F$11</f>
        <v>0.38</v>
      </c>
      <c r="J22" s="38">
        <f>[4]zvodka!$G$11</f>
        <v>0.13</v>
      </c>
      <c r="K22" s="14">
        <f>[4]zvodka!$H$11</f>
        <v>3.9</v>
      </c>
    </row>
    <row r="23" spans="1:11" ht="15" thickBot="1" x14ac:dyDescent="0.35">
      <c r="A23" s="71" t="s">
        <v>4</v>
      </c>
      <c r="B23" s="50">
        <v>44218</v>
      </c>
      <c r="C23" s="8">
        <f>[5]zvodka!$C$11</f>
        <v>774.73</v>
      </c>
      <c r="D23" s="9">
        <f>+IF(F23&lt;=0," ",F23-0.289)</f>
        <v>8.8176237000000004</v>
      </c>
      <c r="E23" s="10">
        <f>IF(F23=0," ",IF(D23&gt;9.094,"100",ROUND(100*D23/9.094,0)))</f>
        <v>97</v>
      </c>
      <c r="F23" s="11">
        <f>([5]zvodka!$D$11)/1000</f>
        <v>9.1066237000000001</v>
      </c>
      <c r="G23" s="10">
        <f t="shared" si="8"/>
        <v>93</v>
      </c>
      <c r="H23" s="11">
        <f>[5]zvodka!$E$11</f>
        <v>0.878</v>
      </c>
      <c r="I23" s="11">
        <f>[5]zvodka!$F$11</f>
        <v>0.375</v>
      </c>
      <c r="J23" s="38">
        <f>[5]zvodka!$G$11</f>
        <v>0.13</v>
      </c>
      <c r="K23" s="14">
        <f>[5]zvodka!$H$11</f>
        <v>4</v>
      </c>
    </row>
    <row r="24" spans="1:11" ht="15" thickBot="1" x14ac:dyDescent="0.35">
      <c r="A24" s="71" t="s">
        <v>4</v>
      </c>
      <c r="B24" s="50">
        <v>44219</v>
      </c>
      <c r="C24" s="8">
        <f>[6]zvodka!$C$11</f>
        <v>774.72</v>
      </c>
      <c r="D24" s="9">
        <f t="shared" si="6"/>
        <v>8.8128297999999994</v>
      </c>
      <c r="E24" s="10">
        <f t="shared" si="7"/>
        <v>97</v>
      </c>
      <c r="F24" s="11">
        <f>([6]zvodka!$D$11)/1000</f>
        <v>9.1018297999999991</v>
      </c>
      <c r="G24" s="10">
        <f t="shared" si="8"/>
        <v>93</v>
      </c>
      <c r="H24" s="11">
        <f>[6]zvodka!$E$11</f>
        <v>0.94</v>
      </c>
      <c r="I24" s="11">
        <f>[6]zvodka!$F$11</f>
        <v>0.38</v>
      </c>
      <c r="J24" s="38">
        <f>[6]zvodka!$G$11</f>
        <v>0.13</v>
      </c>
      <c r="K24" s="14">
        <f>[6]zvodka!$H$11</f>
        <v>4</v>
      </c>
    </row>
    <row r="25" spans="1:11" ht="15" thickBot="1" x14ac:dyDescent="0.35">
      <c r="A25" s="71" t="s">
        <v>4</v>
      </c>
      <c r="B25" s="50">
        <v>44220</v>
      </c>
      <c r="C25" s="39">
        <f>[7]zvodka!$C$11</f>
        <v>774.76</v>
      </c>
      <c r="D25" s="40">
        <f t="shared" si="6"/>
        <v>8.8320053999999999</v>
      </c>
      <c r="E25" s="41">
        <f t="shared" si="7"/>
        <v>97</v>
      </c>
      <c r="F25" s="42">
        <f>([7]zvodka!$D$11)/1000</f>
        <v>9.1210053999999996</v>
      </c>
      <c r="G25" s="41">
        <f t="shared" si="8"/>
        <v>93</v>
      </c>
      <c r="H25" s="42">
        <f>[7]zvodka!$E$11</f>
        <v>1.05</v>
      </c>
      <c r="I25" s="42">
        <f>[7]zvodka!$F$11</f>
        <v>0.4</v>
      </c>
      <c r="J25" s="43">
        <f>[7]zvodka!$G$11</f>
        <v>0.13</v>
      </c>
      <c r="K25" s="36">
        <f>[7]zvodka!$H$11</f>
        <v>4</v>
      </c>
    </row>
    <row r="26" spans="1:11" x14ac:dyDescent="0.3">
      <c r="A26" s="72" t="s">
        <v>5</v>
      </c>
      <c r="B26" s="49">
        <v>44214</v>
      </c>
      <c r="C26" s="27">
        <f>[1]zvodka!$C$12</f>
        <v>596.33000000000004</v>
      </c>
      <c r="D26" s="28">
        <f t="shared" ref="D26:D32" si="9">+IF(F26&lt;=0," ",F26-0.635)</f>
        <v>25.730805999999998</v>
      </c>
      <c r="E26" s="29">
        <f t="shared" ref="E26:E32" si="10">IF(F26=0," ",IF(D26&gt;29.238,"100",ROUND(100*D26/29.238,0)))</f>
        <v>88</v>
      </c>
      <c r="F26" s="30">
        <f>([1]zvodka!$D$12)/1000</f>
        <v>26.365805999999999</v>
      </c>
      <c r="G26" s="29">
        <f t="shared" ref="G26:G32" si="11">IF(F26=0," ",ROUND(100*F26/29.873,0))</f>
        <v>88</v>
      </c>
      <c r="H26" s="30" t="str">
        <f>[1]zvodka!$E$12</f>
        <v>-</v>
      </c>
      <c r="I26" s="30">
        <f>[1]zvodka!$F$12</f>
        <v>1</v>
      </c>
      <c r="J26" s="44">
        <f>[1]zvodka!$G$12</f>
        <v>0.22500000000000001</v>
      </c>
      <c r="K26" s="33">
        <f>[1]zvodka!$H$12</f>
        <v>1.8</v>
      </c>
    </row>
    <row r="27" spans="1:11" x14ac:dyDescent="0.3">
      <c r="A27" s="72" t="s">
        <v>5</v>
      </c>
      <c r="B27" s="50">
        <v>44215</v>
      </c>
      <c r="C27" s="27">
        <f>[2]zvodka!$C$12</f>
        <v>596.29999999999995</v>
      </c>
      <c r="D27" s="9">
        <f t="shared" si="9"/>
        <v>25.684108999999999</v>
      </c>
      <c r="E27" s="10">
        <f t="shared" si="10"/>
        <v>88</v>
      </c>
      <c r="F27" s="30">
        <f>([2]zvodka!$D$12)/1000</f>
        <v>26.319109000000001</v>
      </c>
      <c r="G27" s="10">
        <f t="shared" si="11"/>
        <v>88</v>
      </c>
      <c r="H27" s="11" t="str">
        <f>[2]zvodka!$E$12</f>
        <v>-</v>
      </c>
      <c r="I27" s="11">
        <f>[2]zvodka!$F$12</f>
        <v>1</v>
      </c>
      <c r="J27" s="38">
        <f>[2]zvodka!$G$12</f>
        <v>0.23</v>
      </c>
      <c r="K27" s="14">
        <f>[2]zvodka!$H$12</f>
        <v>1</v>
      </c>
    </row>
    <row r="28" spans="1:11" x14ac:dyDescent="0.3">
      <c r="A28" s="72" t="s">
        <v>5</v>
      </c>
      <c r="B28" s="50">
        <v>44216</v>
      </c>
      <c r="C28" s="8">
        <f>[3]zvodka!$C$12</f>
        <v>596.28</v>
      </c>
      <c r="D28" s="9">
        <f t="shared" si="9"/>
        <v>25.652976999999996</v>
      </c>
      <c r="E28" s="10">
        <f t="shared" si="10"/>
        <v>88</v>
      </c>
      <c r="F28" s="11">
        <f>([3]zvodka!$D$12)/1000</f>
        <v>26.287976999999998</v>
      </c>
      <c r="G28" s="10">
        <f t="shared" si="11"/>
        <v>88</v>
      </c>
      <c r="H28" s="11" t="str">
        <f>[3]zvodka!$E$12</f>
        <v>-</v>
      </c>
      <c r="I28" s="11">
        <f>[3]zvodka!$F$12</f>
        <v>1</v>
      </c>
      <c r="J28" s="38">
        <f>[3]zvodka!$G$12</f>
        <v>0.22</v>
      </c>
      <c r="K28" s="14">
        <f>[3]zvodka!$H$12</f>
        <v>1</v>
      </c>
    </row>
    <row r="29" spans="1:11" x14ac:dyDescent="0.3">
      <c r="A29" s="72" t="s">
        <v>5</v>
      </c>
      <c r="B29" s="50">
        <v>44217</v>
      </c>
      <c r="C29" s="27">
        <f>[4]zvodka!$C$12</f>
        <v>596.24</v>
      </c>
      <c r="D29" s="9">
        <f t="shared" si="9"/>
        <v>25.590712999999997</v>
      </c>
      <c r="E29" s="10">
        <f t="shared" si="10"/>
        <v>88</v>
      </c>
      <c r="F29" s="30">
        <f>([4]zvodka!$D$12)/1000</f>
        <v>26.225712999999999</v>
      </c>
      <c r="G29" s="10">
        <f t="shared" si="11"/>
        <v>88</v>
      </c>
      <c r="H29" s="11" t="str">
        <f>[4]zvodka!$E$12</f>
        <v>-</v>
      </c>
      <c r="I29" s="11">
        <f>[4]zvodka!$F$12</f>
        <v>1</v>
      </c>
      <c r="J29" s="38">
        <f>[4]zvodka!$G$12</f>
        <v>0.22500000000000001</v>
      </c>
      <c r="K29" s="14">
        <f>[4]zvodka!$H$12</f>
        <v>1</v>
      </c>
    </row>
    <row r="30" spans="1:11" x14ac:dyDescent="0.3">
      <c r="A30" s="72" t="s">
        <v>5</v>
      </c>
      <c r="B30" s="50">
        <v>44218</v>
      </c>
      <c r="C30" s="27">
        <f>[5]zvodka!$C$12</f>
        <v>596.19000000000005</v>
      </c>
      <c r="D30" s="9">
        <f>+IF(F30&lt;=0," ",F30-0.635)</f>
        <v>25.512998999999997</v>
      </c>
      <c r="E30" s="10">
        <f>IF(F30=0," ",IF(D30&gt;29.238,"100",ROUND(100*D30/29.238,0)))</f>
        <v>87</v>
      </c>
      <c r="F30" s="30">
        <f>([5]zvodka!$D$12)/1000</f>
        <v>26.147998999999999</v>
      </c>
      <c r="G30" s="10">
        <f t="shared" si="11"/>
        <v>88</v>
      </c>
      <c r="H30" s="11" t="str">
        <f>[5]zvodka!$E$12</f>
        <v>-</v>
      </c>
      <c r="I30" s="11">
        <f>[5]zvodka!$F$12</f>
        <v>1</v>
      </c>
      <c r="J30" s="38">
        <f>[5]zvodka!$G$12</f>
        <v>0.215</v>
      </c>
      <c r="K30" s="14">
        <f>[5]zvodka!$H$12</f>
        <v>1</v>
      </c>
    </row>
    <row r="31" spans="1:11" x14ac:dyDescent="0.3">
      <c r="A31" s="72" t="s">
        <v>5</v>
      </c>
      <c r="B31" s="50">
        <v>44219</v>
      </c>
      <c r="C31" s="27">
        <f>[6]zvodka!$C$12</f>
        <v>596.22</v>
      </c>
      <c r="D31" s="9">
        <f t="shared" si="9"/>
        <v>25.559580999999998</v>
      </c>
      <c r="E31" s="10">
        <f t="shared" si="10"/>
        <v>87</v>
      </c>
      <c r="F31" s="30">
        <f>([6]zvodka!$D$12)/1000</f>
        <v>26.194580999999999</v>
      </c>
      <c r="G31" s="10">
        <f t="shared" si="11"/>
        <v>88</v>
      </c>
      <c r="H31" s="11" t="str">
        <f>[6]zvodka!$E$12</f>
        <v>-</v>
      </c>
      <c r="I31" s="11">
        <f>[6]zvodka!$F$12</f>
        <v>1</v>
      </c>
      <c r="J31" s="38">
        <f>[6]zvodka!$G$12</f>
        <v>0.215</v>
      </c>
      <c r="K31" s="14">
        <f>[6]zvodka!$H$12</f>
        <v>1</v>
      </c>
    </row>
    <row r="32" spans="1:11" ht="15" thickBot="1" x14ac:dyDescent="0.35">
      <c r="A32" s="72" t="s">
        <v>5</v>
      </c>
      <c r="B32" s="50">
        <v>44220</v>
      </c>
      <c r="C32" s="45">
        <f>[7]zvodka!$C$12</f>
        <v>596.45000000000005</v>
      </c>
      <c r="D32" s="40">
        <f t="shared" si="9"/>
        <v>25.918173999999997</v>
      </c>
      <c r="E32" s="41">
        <f t="shared" si="10"/>
        <v>89</v>
      </c>
      <c r="F32" s="46">
        <f>([7]zvodka!$D$12)/1000</f>
        <v>26.553173999999999</v>
      </c>
      <c r="G32" s="41">
        <f t="shared" si="11"/>
        <v>89</v>
      </c>
      <c r="H32" s="42" t="str">
        <f>[7]zvodka!$E$12</f>
        <v>-</v>
      </c>
      <c r="I32" s="42">
        <f>[7]zvodka!$F$12</f>
        <v>1</v>
      </c>
      <c r="J32" s="43">
        <f>[7]zvodka!$G$12</f>
        <v>0.23</v>
      </c>
      <c r="K32" s="36">
        <f>[7]zvodka!$H$12</f>
        <v>1</v>
      </c>
    </row>
    <row r="33" spans="1:11" ht="15" thickBot="1" x14ac:dyDescent="0.35">
      <c r="A33" s="71" t="s">
        <v>6</v>
      </c>
      <c r="B33" s="49">
        <v>44214</v>
      </c>
      <c r="C33" s="20">
        <f>[1]zvodka!$C$13</f>
        <v>325.17</v>
      </c>
      <c r="D33" s="21">
        <f t="shared" ref="D33:D39" si="12">+IF(F33&lt;=0," ",F33-1.691)</f>
        <v>2.373335</v>
      </c>
      <c r="E33" s="22">
        <f t="shared" ref="E33:E39" si="13">IF(F33=0," ",IF(D33&gt;3.923,"100",ROUND(100*D33/3.923,0)))</f>
        <v>60</v>
      </c>
      <c r="F33" s="23">
        <f>([1]zvodka!$D$13)/1000</f>
        <v>4.0643349999999998</v>
      </c>
      <c r="G33" s="22">
        <f t="shared" ref="G33:G39" si="14">IF(F33=0," ",ROUND(100*F33/5.614,0))</f>
        <v>72</v>
      </c>
      <c r="H33" s="24">
        <f>[1]zvodka!$E$13</f>
        <v>7.2</v>
      </c>
      <c r="I33" s="24">
        <f>[1]zvodka!$F$13</f>
        <v>5</v>
      </c>
      <c r="J33" s="25">
        <f>[1]zvodka!$G$13</f>
        <v>0</v>
      </c>
      <c r="K33" s="26">
        <f>[1]zvodka!$H$13</f>
        <v>0.4</v>
      </c>
    </row>
    <row r="34" spans="1:11" ht="15" thickBot="1" x14ac:dyDescent="0.35">
      <c r="A34" s="71" t="s">
        <v>6</v>
      </c>
      <c r="B34" s="50">
        <v>44215</v>
      </c>
      <c r="C34" s="27">
        <f>[2]zvodka!$C$13</f>
        <v>324.41000000000003</v>
      </c>
      <c r="D34" s="9">
        <f t="shared" si="12"/>
        <v>1.1325189999999996</v>
      </c>
      <c r="E34" s="10">
        <f t="shared" si="13"/>
        <v>29</v>
      </c>
      <c r="F34" s="30">
        <f>([2]zvodka!$D$13)/1000</f>
        <v>2.8235189999999997</v>
      </c>
      <c r="G34" s="10">
        <f t="shared" si="14"/>
        <v>50</v>
      </c>
      <c r="H34" s="12">
        <f>[2]zvodka!$E$13</f>
        <v>5.3</v>
      </c>
      <c r="I34" s="12">
        <f>[2]zvodka!$F$13</f>
        <v>5</v>
      </c>
      <c r="J34" s="13">
        <f>[2]zvodka!$G$13</f>
        <v>0</v>
      </c>
      <c r="K34" s="14">
        <f>[2]zvodka!$H$13</f>
        <v>0.3</v>
      </c>
    </row>
    <row r="35" spans="1:11" ht="15" thickBot="1" x14ac:dyDescent="0.35">
      <c r="A35" s="71" t="s">
        <v>6</v>
      </c>
      <c r="B35" s="50">
        <v>44216</v>
      </c>
      <c r="C35" s="8">
        <f>[3]zvodka!$C$13</f>
        <v>324.58999999999997</v>
      </c>
      <c r="D35" s="9">
        <f t="shared" si="12"/>
        <v>1.4214450000000001</v>
      </c>
      <c r="E35" s="10">
        <f t="shared" si="13"/>
        <v>36</v>
      </c>
      <c r="F35" s="11">
        <f>([3]zvodka!$D$13)/1000</f>
        <v>3.1124450000000001</v>
      </c>
      <c r="G35" s="10">
        <f t="shared" si="14"/>
        <v>55</v>
      </c>
      <c r="H35" s="12">
        <f>[3]zvodka!$E$13</f>
        <v>7.3</v>
      </c>
      <c r="I35" s="12">
        <f>[3]zvodka!$F$13</f>
        <v>5</v>
      </c>
      <c r="J35" s="13">
        <f>[3]zvodka!$G$13</f>
        <v>0</v>
      </c>
      <c r="K35" s="14">
        <f>[3]zvodka!$H$13</f>
        <v>0.1</v>
      </c>
    </row>
    <row r="36" spans="1:11" ht="15" thickBot="1" x14ac:dyDescent="0.35">
      <c r="A36" s="71" t="s">
        <v>6</v>
      </c>
      <c r="B36" s="50">
        <v>44217</v>
      </c>
      <c r="C36" s="8">
        <f>[4]zvodka!$C$13</f>
        <v>325.3</v>
      </c>
      <c r="D36" s="9">
        <f t="shared" si="12"/>
        <v>2.5886440000000004</v>
      </c>
      <c r="E36" s="10">
        <f t="shared" si="13"/>
        <v>66</v>
      </c>
      <c r="F36" s="11">
        <f>([4]zvodka!$D$13)/1000</f>
        <v>4.2796440000000002</v>
      </c>
      <c r="G36" s="10">
        <f t="shared" si="14"/>
        <v>76</v>
      </c>
      <c r="H36" s="12">
        <f>[4]zvodka!$E$13</f>
        <v>7.3</v>
      </c>
      <c r="I36" s="12">
        <f>[4]zvodka!$F$13</f>
        <v>5</v>
      </c>
      <c r="J36" s="13">
        <f>[4]zvodka!$G$13</f>
        <v>0</v>
      </c>
      <c r="K36" s="14">
        <f>[4]zvodka!$H$13</f>
        <v>0.8</v>
      </c>
    </row>
    <row r="37" spans="1:11" ht="15" thickBot="1" x14ac:dyDescent="0.35">
      <c r="A37" s="71" t="s">
        <v>6</v>
      </c>
      <c r="B37" s="50">
        <v>44218</v>
      </c>
      <c r="C37" s="8">
        <f>[5]zvodka!$C$13</f>
        <v>325.56</v>
      </c>
      <c r="D37" s="9">
        <f>+IF(F37&lt;=0," ",F37-1.691)</f>
        <v>3.0206229999999996</v>
      </c>
      <c r="E37" s="10">
        <f>IF(F37=0," ",IF(D37&gt;3.923,"100",ROUND(100*D37/3.923,0)))</f>
        <v>77</v>
      </c>
      <c r="F37" s="11">
        <f>([5]zvodka!$D$13)/1000</f>
        <v>4.7116229999999995</v>
      </c>
      <c r="G37" s="10">
        <f t="shared" si="14"/>
        <v>84</v>
      </c>
      <c r="H37" s="12">
        <f>[5]zvodka!$E$13</f>
        <v>8.1</v>
      </c>
      <c r="I37" s="12">
        <f>[5]zvodka!$F$13</f>
        <v>5</v>
      </c>
      <c r="J37" s="13">
        <f>[5]zvodka!$G$13</f>
        <v>88</v>
      </c>
      <c r="K37" s="14">
        <f>[5]zvodka!$H$13</f>
        <v>1.6</v>
      </c>
    </row>
    <row r="38" spans="1:11" ht="15" thickBot="1" x14ac:dyDescent="0.35">
      <c r="A38" s="71" t="s">
        <v>6</v>
      </c>
      <c r="B38" s="50">
        <v>44219</v>
      </c>
      <c r="C38" s="8">
        <f>[6]zvodka!$C$13</f>
        <v>325.56</v>
      </c>
      <c r="D38" s="9">
        <f t="shared" si="12"/>
        <v>3.0206229999999996</v>
      </c>
      <c r="E38" s="10">
        <f t="shared" si="13"/>
        <v>77</v>
      </c>
      <c r="F38" s="11">
        <f>([6]zvodka!$D$13)/1000</f>
        <v>4.7116229999999995</v>
      </c>
      <c r="G38" s="10">
        <f t="shared" si="14"/>
        <v>84</v>
      </c>
      <c r="H38" s="12">
        <f>[6]zvodka!$E$13</f>
        <v>54.5</v>
      </c>
      <c r="I38" s="12">
        <f>[6]zvodka!$F$13</f>
        <v>5</v>
      </c>
      <c r="J38" s="13">
        <f>[6]zvodka!$G$13</f>
        <v>82</v>
      </c>
      <c r="K38" s="14">
        <f>[6]zvodka!$H$13</f>
        <v>0.3</v>
      </c>
    </row>
    <row r="39" spans="1:11" ht="15" thickBot="1" x14ac:dyDescent="0.35">
      <c r="A39" s="71" t="s">
        <v>6</v>
      </c>
      <c r="B39" s="50">
        <v>44220</v>
      </c>
      <c r="C39" s="39">
        <f>[7]zvodka!$C$13</f>
        <v>325.45999999999998</v>
      </c>
      <c r="D39" s="40">
        <f t="shared" si="12"/>
        <v>2.8542990000000001</v>
      </c>
      <c r="E39" s="41">
        <f t="shared" si="13"/>
        <v>73</v>
      </c>
      <c r="F39" s="42">
        <f>([7]zvodka!$D$13)/1000</f>
        <v>4.545299</v>
      </c>
      <c r="G39" s="41">
        <f t="shared" si="14"/>
        <v>81</v>
      </c>
      <c r="H39" s="47">
        <f>[7]zvodka!$E$13</f>
        <v>90.2</v>
      </c>
      <c r="I39" s="47">
        <f>[7]zvodka!$F$13</f>
        <v>5</v>
      </c>
      <c r="J39" s="48">
        <f>[7]zvodka!$G$13</f>
        <v>243</v>
      </c>
      <c r="K39" s="36">
        <f>[7]zvodka!$H$13</f>
        <v>0.2</v>
      </c>
    </row>
    <row r="40" spans="1:11" ht="15" thickBot="1" x14ac:dyDescent="0.35">
      <c r="A40" s="71" t="s">
        <v>7</v>
      </c>
      <c r="B40" s="49">
        <v>44214</v>
      </c>
      <c r="C40" s="27">
        <f>[1]zvodka!$C$14</f>
        <v>123.62</v>
      </c>
      <c r="D40" s="28">
        <f t="shared" ref="D40:D46" si="15">+IF(F40&lt;=0," ",F40-45.022)</f>
        <v>16.338324</v>
      </c>
      <c r="E40" s="29">
        <f t="shared" ref="E40:E46" si="16">IF(F40=0," ",IF(D40&gt;20.446,"100",ROUND(100*D40/20.446,0)))</f>
        <v>80</v>
      </c>
      <c r="F40" s="30">
        <f>([1]zvodka!$D$14)/1000</f>
        <v>61.360323999999999</v>
      </c>
      <c r="G40" s="29">
        <f t="shared" ref="G40:G46" si="17">IF(F40=0," ",ROUND(100*F40/65.468,0))</f>
        <v>94</v>
      </c>
      <c r="H40" s="31" t="str">
        <f>[1]zvodka!$E$14</f>
        <v>-</v>
      </c>
      <c r="I40" s="31">
        <f>[1]zvodka!$F$14</f>
        <v>7</v>
      </c>
      <c r="J40" s="32">
        <f>[1]zvodka!$G$14</f>
        <v>0</v>
      </c>
      <c r="K40" s="33">
        <f>[1]zvodka!$H$14</f>
        <v>1.2</v>
      </c>
    </row>
    <row r="41" spans="1:11" ht="15" thickBot="1" x14ac:dyDescent="0.35">
      <c r="A41" s="71" t="s">
        <v>7</v>
      </c>
      <c r="B41" s="50">
        <v>44215</v>
      </c>
      <c r="C41" s="27">
        <f>[2]zvodka!$C$14</f>
        <v>123.38</v>
      </c>
      <c r="D41" s="9">
        <f t="shared" si="15"/>
        <v>13.771636000000001</v>
      </c>
      <c r="E41" s="10">
        <f t="shared" si="16"/>
        <v>67</v>
      </c>
      <c r="F41" s="30">
        <f>([2]zvodka!$D$14)/1000</f>
        <v>58.793635999999999</v>
      </c>
      <c r="G41" s="10">
        <f t="shared" si="17"/>
        <v>90</v>
      </c>
      <c r="H41" s="12" t="str">
        <f>[2]zvodka!$E$14</f>
        <v>-</v>
      </c>
      <c r="I41" s="12">
        <f>[2]zvodka!$F$14</f>
        <v>7</v>
      </c>
      <c r="J41" s="13">
        <f>[2]zvodka!$G$14</f>
        <v>0</v>
      </c>
      <c r="K41" s="14">
        <f>[2]zvodka!$H$14</f>
        <v>1.8</v>
      </c>
    </row>
    <row r="42" spans="1:11" ht="15" thickBot="1" x14ac:dyDescent="0.35">
      <c r="A42" s="71" t="s">
        <v>7</v>
      </c>
      <c r="B42" s="50">
        <v>44216</v>
      </c>
      <c r="C42" s="8">
        <f>[3]zvodka!$C$14</f>
        <v>123.41</v>
      </c>
      <c r="D42" s="9">
        <f t="shared" si="15"/>
        <v>14.091104000000001</v>
      </c>
      <c r="E42" s="10">
        <f t="shared" si="16"/>
        <v>69</v>
      </c>
      <c r="F42" s="11">
        <f>([3]zvodka!$D$14)/1000</f>
        <v>59.113104</v>
      </c>
      <c r="G42" s="10">
        <f t="shared" si="17"/>
        <v>90</v>
      </c>
      <c r="H42" s="12" t="str">
        <f>[3]zvodka!$E$14</f>
        <v>-</v>
      </c>
      <c r="I42" s="12">
        <f>[3]zvodka!$F$14</f>
        <v>7</v>
      </c>
      <c r="J42" s="13">
        <f>[3]zvodka!$G$14</f>
        <v>0</v>
      </c>
      <c r="K42" s="14">
        <f>[3]zvodka!$H$14</f>
        <v>1.8</v>
      </c>
    </row>
    <row r="43" spans="1:11" ht="15" thickBot="1" x14ac:dyDescent="0.35">
      <c r="A43" s="71" t="s">
        <v>7</v>
      </c>
      <c r="B43" s="50">
        <v>44217</v>
      </c>
      <c r="C43" s="8">
        <f>[4]zvodka!$C$14</f>
        <v>123.46</v>
      </c>
      <c r="D43" s="9">
        <f t="shared" si="15"/>
        <v>14.624352000000002</v>
      </c>
      <c r="E43" s="10">
        <f t="shared" si="16"/>
        <v>72</v>
      </c>
      <c r="F43" s="11">
        <f>([4]zvodka!$D$14)/1000</f>
        <v>59.646352</v>
      </c>
      <c r="G43" s="10">
        <f t="shared" si="17"/>
        <v>91</v>
      </c>
      <c r="H43" s="12" t="str">
        <f>[4]zvodka!$E$14</f>
        <v>-</v>
      </c>
      <c r="I43" s="12">
        <f>[4]zvodka!$F$14</f>
        <v>7</v>
      </c>
      <c r="J43" s="13">
        <f>[4]zvodka!$G$14</f>
        <v>0</v>
      </c>
      <c r="K43" s="14">
        <f>[4]zvodka!$H$14</f>
        <v>1.9</v>
      </c>
    </row>
    <row r="44" spans="1:11" ht="15" thickBot="1" x14ac:dyDescent="0.35">
      <c r="A44" s="71" t="s">
        <v>7</v>
      </c>
      <c r="B44" s="50">
        <v>44218</v>
      </c>
      <c r="C44" s="8">
        <f>[5]zvodka!$C$14</f>
        <v>123.53</v>
      </c>
      <c r="D44" s="9">
        <f>+IF(F44&lt;=0," ",F44-45.022)</f>
        <v>15.372923999999998</v>
      </c>
      <c r="E44" s="10">
        <f>IF(F44=0," ",IF(D44&gt;20.446,"100",ROUND(100*D44/20.446,0)))</f>
        <v>75</v>
      </c>
      <c r="F44" s="11">
        <f>([5]zvodka!$D$14)/1000</f>
        <v>60.394923999999996</v>
      </c>
      <c r="G44" s="10">
        <f t="shared" si="17"/>
        <v>92</v>
      </c>
      <c r="H44" s="12" t="str">
        <f>[5]zvodka!$E$14</f>
        <v>-</v>
      </c>
      <c r="I44" s="12">
        <f>[5]zvodka!$F$14</f>
        <v>0</v>
      </c>
      <c r="J44" s="13">
        <f>[5]zvodka!$G$14</f>
        <v>271</v>
      </c>
      <c r="K44" s="14">
        <f>[5]zvodka!$H$14</f>
        <v>1.8</v>
      </c>
    </row>
    <row r="45" spans="1:11" ht="15" thickBot="1" x14ac:dyDescent="0.35">
      <c r="A45" s="71" t="s">
        <v>7</v>
      </c>
      <c r="B45" s="50">
        <v>44219</v>
      </c>
      <c r="C45" s="8">
        <f>[6]zvodka!$C$14</f>
        <v>123.37</v>
      </c>
      <c r="D45" s="9">
        <f t="shared" si="15"/>
        <v>13.66534</v>
      </c>
      <c r="E45" s="10">
        <f t="shared" si="16"/>
        <v>67</v>
      </c>
      <c r="F45" s="11">
        <f>([6]zvodka!$D$14)/1000</f>
        <v>58.687339999999999</v>
      </c>
      <c r="G45" s="10">
        <f t="shared" si="17"/>
        <v>90</v>
      </c>
      <c r="H45" s="12" t="str">
        <f>[6]zvodka!$E$14</f>
        <v>-</v>
      </c>
      <c r="I45" s="12">
        <f>[6]zvodka!$F$14</f>
        <v>0</v>
      </c>
      <c r="J45" s="13">
        <f>[6]zvodka!$G$14</f>
        <v>119</v>
      </c>
      <c r="K45" s="14">
        <f>[6]zvodka!$H$14</f>
        <v>2.1</v>
      </c>
    </row>
    <row r="46" spans="1:11" ht="15" thickBot="1" x14ac:dyDescent="0.35">
      <c r="A46" s="71" t="s">
        <v>7</v>
      </c>
      <c r="B46" s="50">
        <v>44220</v>
      </c>
      <c r="C46" s="39">
        <f>[7]zvodka!$C$14</f>
        <v>123.42</v>
      </c>
      <c r="D46" s="40">
        <f t="shared" si="15"/>
        <v>14.197620000000008</v>
      </c>
      <c r="E46" s="41">
        <f t="shared" si="16"/>
        <v>69</v>
      </c>
      <c r="F46" s="42">
        <f>([7]zvodka!$D$14)/1000</f>
        <v>59.219620000000006</v>
      </c>
      <c r="G46" s="41">
        <f t="shared" si="17"/>
        <v>90</v>
      </c>
      <c r="H46" s="47" t="str">
        <f>[7]zvodka!$E$14</f>
        <v>-</v>
      </c>
      <c r="I46" s="47">
        <f>[7]zvodka!$F$14</f>
        <v>0</v>
      </c>
      <c r="J46" s="48">
        <f>[7]zvodka!$G$14</f>
        <v>115</v>
      </c>
      <c r="K46" s="36">
        <f>[7]zvodka!$H$14</f>
        <v>2.4</v>
      </c>
    </row>
  </sheetData>
  <mergeCells count="11">
    <mergeCell ref="C1:C4"/>
    <mergeCell ref="I1:I4"/>
    <mergeCell ref="J1:J4"/>
    <mergeCell ref="K1:K4"/>
    <mergeCell ref="H1:H4"/>
    <mergeCell ref="A1:A4"/>
    <mergeCell ref="D1:D4"/>
    <mergeCell ref="E1:E4"/>
    <mergeCell ref="F1:F4"/>
    <mergeCell ref="G1:G4"/>
    <mergeCell ref="B1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Branislav Socha</dc:creator>
  <cp:lastModifiedBy>Branislav Socha</cp:lastModifiedBy>
  <dcterms:created xsi:type="dcterms:W3CDTF">2022-01-23T15:37:41Z</dcterms:created>
  <dcterms:modified xsi:type="dcterms:W3CDTF">2022-01-23T17:53:40Z</dcterms:modified>
</cp:coreProperties>
</file>